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Users\maxad\Documents\git_projects\LC_Unity\Documentation\"/>
    </mc:Choice>
  </mc:AlternateContent>
  <xr:revisionPtr revIDLastSave="0" documentId="13_ncr:1_{2D234157-381C-4B7B-B38F-CA818595A14E}" xr6:coauthVersionLast="47" xr6:coauthVersionMax="47" xr10:uidLastSave="{00000000-0000-0000-0000-000000000000}"/>
  <bookViews>
    <workbookView xWindow="14400" yWindow="0" windowWidth="14400" windowHeight="15600" tabRatio="696" firstSheet="9" activeTab="14" xr2:uid="{EA6D107C-C583-4F45-9DA7-DCFEC8078555}"/>
  </bookViews>
  <sheets>
    <sheet name="ListOfItems" sheetId="1" r:id="rId1"/>
    <sheet name="PowerRuling" sheetId="3" r:id="rId2"/>
    <sheet name="Swords" sheetId="2" r:id="rId3"/>
    <sheet name="Daggers" sheetId="4" r:id="rId4"/>
    <sheet name="Axes" sheetId="5" r:id="rId5"/>
    <sheet name="Claws" sheetId="6" r:id="rId6"/>
    <sheet name="Scepters" sheetId="7" r:id="rId7"/>
    <sheet name="Staves" sheetId="8" r:id="rId8"/>
    <sheet name="Grimoire" sheetId="9" r:id="rId9"/>
    <sheet name="Bow" sheetId="10" r:id="rId10"/>
    <sheet name="Arbalest" sheetId="11" r:id="rId11"/>
    <sheet name="Spears" sheetId="12" r:id="rId12"/>
    <sheet name="Maces" sheetId="13" r:id="rId13"/>
    <sheet name="Firearms" sheetId="14" r:id="rId14"/>
    <sheet name="Scythes" sheetId="15"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0" i="15" l="1"/>
  <c r="O9" i="15"/>
  <c r="O8" i="15"/>
  <c r="O7" i="15"/>
  <c r="O6" i="15"/>
  <c r="O5" i="15"/>
  <c r="O4" i="15"/>
  <c r="O3" i="15"/>
  <c r="O11" i="14"/>
  <c r="O10" i="14"/>
  <c r="O9" i="14"/>
  <c r="O8" i="14"/>
  <c r="O7" i="14"/>
  <c r="O6" i="14"/>
  <c r="O5" i="14"/>
  <c r="O4" i="14"/>
  <c r="O15" i="13"/>
  <c r="O14" i="13"/>
  <c r="O13" i="13"/>
  <c r="O12" i="13"/>
  <c r="O11" i="13"/>
  <c r="O10" i="13"/>
  <c r="O9" i="13"/>
  <c r="O8" i="13"/>
  <c r="O7" i="13"/>
  <c r="O6" i="13"/>
  <c r="O5" i="13"/>
  <c r="O4" i="13"/>
  <c r="O3" i="13"/>
  <c r="O2" i="13"/>
  <c r="O2" i="15"/>
  <c r="O3" i="14"/>
  <c r="O2" i="14"/>
  <c r="O23" i="12"/>
  <c r="O22" i="12"/>
  <c r="O21" i="12"/>
  <c r="O20" i="12"/>
  <c r="O19" i="12"/>
  <c r="O18" i="12"/>
  <c r="O17" i="12"/>
  <c r="O16" i="12"/>
  <c r="O15" i="12"/>
  <c r="O14" i="12"/>
  <c r="O13" i="12"/>
  <c r="O12" i="12"/>
  <c r="O11" i="12"/>
  <c r="O10" i="12"/>
  <c r="O9" i="12"/>
  <c r="O8" i="12"/>
  <c r="O7" i="12"/>
  <c r="O6" i="12"/>
  <c r="O5" i="12"/>
  <c r="O4" i="12"/>
  <c r="O3" i="12"/>
  <c r="O2" i="12"/>
  <c r="O12" i="11"/>
  <c r="O11" i="11"/>
  <c r="O10" i="11"/>
  <c r="O9" i="11"/>
  <c r="O8" i="11"/>
  <c r="O7" i="11"/>
  <c r="O6" i="11"/>
  <c r="O5" i="11"/>
  <c r="O3" i="11"/>
  <c r="O4" i="11"/>
  <c r="O2" i="11"/>
  <c r="O24" i="10"/>
  <c r="O23" i="10"/>
  <c r="O22" i="10"/>
  <c r="O21" i="10"/>
  <c r="O20" i="10"/>
  <c r="O19" i="10"/>
  <c r="O18" i="10"/>
  <c r="O17" i="10"/>
  <c r="O16" i="10"/>
  <c r="O15" i="10"/>
  <c r="O11" i="10"/>
  <c r="O14" i="10"/>
  <c r="O13" i="9"/>
  <c r="O12" i="9"/>
  <c r="O11" i="9"/>
  <c r="O10" i="9"/>
  <c r="O9" i="9"/>
  <c r="O8" i="9"/>
  <c r="O7" i="9"/>
  <c r="O6" i="9"/>
  <c r="O5" i="9"/>
  <c r="O4" i="9"/>
  <c r="O3" i="9"/>
  <c r="O2" i="9"/>
  <c r="O25" i="10"/>
  <c r="O13" i="10"/>
  <c r="O12" i="10"/>
  <c r="O10" i="10"/>
  <c r="O9" i="10"/>
  <c r="O8" i="10"/>
  <c r="O7" i="10"/>
  <c r="O6" i="10"/>
  <c r="O5" i="10"/>
  <c r="O4" i="10"/>
  <c r="O2" i="10"/>
  <c r="O3" i="10"/>
  <c r="O16" i="8"/>
  <c r="O15" i="8"/>
  <c r="O14" i="8"/>
  <c r="O13" i="8"/>
  <c r="O12" i="8"/>
  <c r="O11" i="8"/>
  <c r="O10" i="8"/>
  <c r="O9" i="8"/>
  <c r="O8" i="8"/>
  <c r="O7" i="8"/>
  <c r="O6" i="8"/>
  <c r="O5" i="8"/>
  <c r="O4" i="8"/>
  <c r="O3" i="8"/>
  <c r="O2" i="8"/>
  <c r="O24" i="7"/>
  <c r="O23" i="7"/>
  <c r="O22" i="7"/>
  <c r="O21" i="7"/>
  <c r="O20" i="7"/>
  <c r="O19" i="7"/>
  <c r="O18" i="7"/>
  <c r="O15" i="7"/>
  <c r="O16" i="7"/>
  <c r="O17" i="7"/>
  <c r="O14" i="7"/>
  <c r="O13" i="7"/>
  <c r="O12" i="7"/>
  <c r="O9" i="7"/>
  <c r="O10" i="7"/>
  <c r="O11" i="7"/>
  <c r="O8" i="7"/>
  <c r="O7" i="7"/>
  <c r="O6" i="7"/>
  <c r="O5" i="7"/>
  <c r="O4" i="7"/>
  <c r="O3" i="7"/>
  <c r="O2" i="7"/>
  <c r="O15" i="6"/>
  <c r="O14" i="6"/>
  <c r="O13" i="6"/>
  <c r="O25" i="2"/>
  <c r="O12" i="6"/>
  <c r="O11" i="6"/>
  <c r="O10" i="6"/>
  <c r="O9" i="6"/>
  <c r="O8" i="6"/>
  <c r="O7" i="6"/>
  <c r="O6" i="6"/>
  <c r="O5" i="6"/>
  <c r="O4" i="6"/>
  <c r="O3" i="6"/>
  <c r="O2" i="6"/>
  <c r="O18" i="5"/>
  <c r="O19" i="5"/>
  <c r="O17" i="5"/>
  <c r="O16" i="5"/>
  <c r="O15" i="5"/>
  <c r="O14" i="5"/>
  <c r="O13" i="5"/>
  <c r="O12" i="5"/>
  <c r="O11" i="5"/>
  <c r="O10" i="5"/>
  <c r="O9" i="5"/>
  <c r="O8" i="5"/>
  <c r="O7" i="5"/>
  <c r="O6" i="5"/>
  <c r="O5" i="5"/>
  <c r="O3" i="5"/>
  <c r="O4" i="5"/>
  <c r="O2" i="5"/>
  <c r="O21" i="4"/>
  <c r="O20" i="4"/>
  <c r="O19" i="4"/>
  <c r="O18" i="4"/>
  <c r="O17" i="4"/>
  <c r="O16" i="4"/>
  <c r="O15" i="4"/>
  <c r="O14" i="4"/>
  <c r="O13" i="4"/>
  <c r="O12" i="4"/>
  <c r="O11" i="4"/>
  <c r="O10" i="4"/>
  <c r="O9" i="4"/>
  <c r="O8" i="4"/>
  <c r="O7" i="4"/>
  <c r="O6" i="4"/>
  <c r="O5" i="4"/>
  <c r="O4" i="4"/>
  <c r="O3" i="4"/>
  <c r="O2" i="4"/>
  <c r="O32" i="2"/>
  <c r="O31" i="2"/>
  <c r="O30" i="2"/>
  <c r="O29" i="2"/>
  <c r="O28" i="2"/>
  <c r="O27" i="2"/>
  <c r="O26" i="2"/>
  <c r="O24" i="2"/>
  <c r="O23" i="2"/>
  <c r="O22" i="2"/>
  <c r="O21" i="2"/>
  <c r="O20" i="2"/>
  <c r="O19" i="2"/>
  <c r="O18" i="2"/>
  <c r="O17" i="2"/>
  <c r="O16" i="2"/>
  <c r="O15" i="2"/>
  <c r="O14" i="2"/>
  <c r="O13" i="2"/>
  <c r="O12" i="2"/>
  <c r="O11" i="2"/>
  <c r="O10" i="2"/>
  <c r="O6" i="2"/>
  <c r="O9" i="2"/>
  <c r="O8" i="2"/>
  <c r="O7" i="2"/>
  <c r="O5" i="2"/>
  <c r="O4" i="2"/>
  <c r="O3" i="2"/>
  <c r="O2" i="2"/>
</calcChain>
</file>

<file path=xl/sharedStrings.xml><?xml version="1.0" encoding="utf-8"?>
<sst xmlns="http://schemas.openxmlformats.org/spreadsheetml/2006/main" count="1848" uniqueCount="763">
  <si>
    <t>ID</t>
  </si>
  <si>
    <t>Name</t>
  </si>
  <si>
    <t>Potion</t>
  </si>
  <si>
    <t>Description</t>
  </si>
  <si>
    <t>Restores 40% of the target's max Health.</t>
  </si>
  <si>
    <t>Max Potion</t>
  </si>
  <si>
    <t>Mana Potion</t>
  </si>
  <si>
    <t>Restores 40% of the target's max Mana.</t>
  </si>
  <si>
    <t>Mana Infusion</t>
  </si>
  <si>
    <t>Restores 100% of the target's max Health.</t>
  </si>
  <si>
    <t>Phoenix Ashes</t>
  </si>
  <si>
    <t>Revives a Fallen ally and restores 25% of it's max Health.</t>
  </si>
  <si>
    <t>Phoenix Tears</t>
  </si>
  <si>
    <t>Revives a Fallen ally and restores 100% of it's max Health.</t>
  </si>
  <si>
    <t>Antidote</t>
  </si>
  <si>
    <t>Removes Poison from the target.</t>
  </si>
  <si>
    <t>Echo Herbs</t>
  </si>
  <si>
    <t>Removes Silence from the target.</t>
  </si>
  <si>
    <t>Eye Drops</t>
  </si>
  <si>
    <t>Removes Blind from the target.</t>
  </si>
  <si>
    <t>Bandage</t>
  </si>
  <si>
    <t>Removes Hemorrhage and Bleed from the target.</t>
  </si>
  <si>
    <t>Remedy</t>
  </si>
  <si>
    <t>Removes all negative status effects from the target.</t>
  </si>
  <si>
    <t>Type</t>
  </si>
  <si>
    <t>Consumable</t>
  </si>
  <si>
    <t>Broadsword</t>
  </si>
  <si>
    <t>Slicer</t>
  </si>
  <si>
    <t>Notes</t>
  </si>
  <si>
    <t>Rank I</t>
  </si>
  <si>
    <t>Rank II</t>
  </si>
  <si>
    <t>Steel Sword</t>
  </si>
  <si>
    <t>A simple blade, fit for battle.</t>
  </si>
  <si>
    <t>Rank II, Upgrades from Broadsword</t>
  </si>
  <si>
    <t>Longsword</t>
  </si>
  <si>
    <t>Rank III, Upgrades from Steel Sword</t>
  </si>
  <si>
    <t>Sanguine Blade</t>
  </si>
  <si>
    <t>A blade that can inflict Bleed I. Holds the ability Drain Slash.</t>
  </si>
  <si>
    <t>A blade that can inflict Bleed I.</t>
  </si>
  <si>
    <t>Rank III, Upgrades from Slicer</t>
  </si>
  <si>
    <t>Bastard Sword</t>
  </si>
  <si>
    <t>A simple blade, fir for battle.</t>
  </si>
  <si>
    <t>Rank IV, Upgrades from Longsword</t>
  </si>
  <si>
    <t>Executioner's Blade</t>
  </si>
  <si>
    <t>A blade that can inflict Hemorrage I.</t>
  </si>
  <si>
    <t>Rank IV</t>
  </si>
  <si>
    <t>Rapier</t>
  </si>
  <si>
    <t>A fast and precise blade. Increases Accuracy, Critical Strike Chance and Agility.</t>
  </si>
  <si>
    <t>Rank V</t>
  </si>
  <si>
    <t>Bloodthirster</t>
  </si>
  <si>
    <t>Rank V, Upgrades from Sanguine Blade + Executioner's Blade</t>
  </si>
  <si>
    <t>A blade that can inflict Bleed I and Hemorrhage I. Holds the ability Drain Slash.</t>
  </si>
  <si>
    <t>Claymore</t>
  </si>
  <si>
    <t>A blade with defensive properties.</t>
  </si>
  <si>
    <t>Rank V, Upgrades from Bastard Sword</t>
  </si>
  <si>
    <t>Whistling Blade</t>
  </si>
  <si>
    <t>A fast and precise blade. Increases Accuracy, Critical Strike Chance and Agility. Holds the ability Weak Point.</t>
  </si>
  <si>
    <t>Sharp Fang</t>
  </si>
  <si>
    <t>Rank VI, Upgrades from Bloodthirster</t>
  </si>
  <si>
    <t>Magiblade</t>
  </si>
  <si>
    <t>A blade infused with Magic properties. Reduces Magic Defense on impact.</t>
  </si>
  <si>
    <t>Rank VI</t>
  </si>
  <si>
    <t>Paralyzing Blade</t>
  </si>
  <si>
    <t>A blade that can inflict Bleed I, Hemorrhage I and Slow I. Holds the ability Drain Slash.</t>
  </si>
  <si>
    <t>Knight Sword</t>
  </si>
  <si>
    <t>A blade with defensive properties. Holds the ability Knight's Vow.</t>
  </si>
  <si>
    <t>Rank VII, Upgrades from Claymore</t>
  </si>
  <si>
    <t>Refined Blade</t>
  </si>
  <si>
    <t>A fast and precise blade. Increases Accuracy, Critical Strike Chance, Critical Strike Damage and Agility. Holds the ability Weak Point.</t>
  </si>
  <si>
    <t>Rank VII, Upgrades from Whistling Blade</t>
  </si>
  <si>
    <t>Calamity</t>
  </si>
  <si>
    <t>A blade that can inflict Bleed I, Hemorrhage I, Slow I, Poison and Blind. Holds the ability Drain Slash.</t>
  </si>
  <si>
    <t>Rank VIII, Upgrades from Paralyzing Blade</t>
  </si>
  <si>
    <t>Wizard's Edge</t>
  </si>
  <si>
    <t>A blade infused with Magic properties. Reduces Magic Defense on impact. Holds the ability Magical Impact.</t>
  </si>
  <si>
    <t>Rank VIII, Upgrades from Magiblade</t>
  </si>
  <si>
    <t>Bound Blade Axium</t>
  </si>
  <si>
    <t>A blade that reduces MP costs by 40%.</t>
  </si>
  <si>
    <t>Rank VIII</t>
  </si>
  <si>
    <t>Bound Blade Sanctum</t>
  </si>
  <si>
    <t>A blade that provides Blind and Silence immunity.</t>
  </si>
  <si>
    <t>Durandal</t>
  </si>
  <si>
    <t>Cursed Razor</t>
  </si>
  <si>
    <t>A blade that can inflict Bleed I, Hemorrhage I, Slow I, Poison and Blind. Reduces Defense and Magic Defense on hit. Holds the ability Drain Slash.</t>
  </si>
  <si>
    <t>Rank IX, Upgrades from Knight Sword</t>
  </si>
  <si>
    <t>Rank IX, Upgrades from Calamity</t>
  </si>
  <si>
    <t>Rampage</t>
  </si>
  <si>
    <t>A blade that can inflict Bleed I, Hemorrhage I, Slow I, Poison and Blind. Removes Shell and Protect on hit. Holds the ability Drain Slash.</t>
  </si>
  <si>
    <t>Zweihander</t>
  </si>
  <si>
    <t>Rank X, Upgrades from Durandal</t>
  </si>
  <si>
    <t>Duelist's Edge</t>
  </si>
  <si>
    <t>A fast and precise blade.Has 100% accuracy, Critical Strike Chance, Critical Strike Damage and Agility. Holds the ability Weak Point. Increases Evasion.</t>
  </si>
  <si>
    <t>Rank X, Upgrades from Refined Blade</t>
  </si>
  <si>
    <t>Alankhrem</t>
  </si>
  <si>
    <t>A blade that recudes MP costs by 40% and provides Blind and Silence immunity. Holds the ability Abode of souls.</t>
  </si>
  <si>
    <t>Rank X, Upgrades from Bound Blade Axium + Bould Blade Sanctum</t>
  </si>
  <si>
    <t>Soul Sword</t>
  </si>
  <si>
    <t>Rank XI, Upgrades from Wizard's Edge.</t>
  </si>
  <si>
    <t>Crystal Blade</t>
  </si>
  <si>
    <t>A 2-handed blade with high defensive properties. Holds the ability Knight's Vow.</t>
  </si>
  <si>
    <t>A blade infused with Magic properties. Reduces Magic Defense on impact. Holds the abilities Magical Impact and Trance.</t>
  </si>
  <si>
    <t>A blade with defensive properties. Holds the abilities Knight's Vow and Crystal Guard.</t>
  </si>
  <si>
    <t>Rank XI, Upgrades from Durandal.</t>
  </si>
  <si>
    <t>Catastrophe</t>
  </si>
  <si>
    <t>Ascalon</t>
  </si>
  <si>
    <t>A fast and precise blade.Has 100% accuracy, Critical Strike Chance, Critical Strike Damage and Agility. Holds the abilities Weak Point and Evasive Dance. Increases Evasion.</t>
  </si>
  <si>
    <t>Rank XI, Upgrades from Duelist's Edge.</t>
  </si>
  <si>
    <t>A blade that can inflict Bleed I, Hemorrhage I, Slow I, Poison and Blind. Holds the ability Drain Slash. User suffers from Bleed III. Provides tremendous Strength.</t>
  </si>
  <si>
    <t>Rank XII, Upgrades from Calamity.</t>
  </si>
  <si>
    <t>Excalibur</t>
  </si>
  <si>
    <t>A blade infused with Magic properties. Reduces Magic Defense on impact. Holds the abilities Magical Impact , Trance and Holy Wrath.</t>
  </si>
  <si>
    <t>Rank XII, Upgrades from Soul Sword.</t>
  </si>
  <si>
    <t>Ragnarok</t>
  </si>
  <si>
    <t>A legendary blade, only held by the bravest heroes.</t>
  </si>
  <si>
    <t>Rank XII, Loug's ultimate weapon.</t>
  </si>
  <si>
    <t>Leather Doublet</t>
  </si>
  <si>
    <t>Leather Helmet</t>
  </si>
  <si>
    <t>A simple and light leather body protection.</t>
  </si>
  <si>
    <t>A simple and light leather head protection.</t>
  </si>
  <si>
    <t>Wooden Shield</t>
  </si>
  <si>
    <t>Body</t>
  </si>
  <si>
    <t>Head</t>
  </si>
  <si>
    <t>Shield</t>
  </si>
  <si>
    <t>A rudimentary shield made of different types of wood.</t>
  </si>
  <si>
    <t>Sword</t>
  </si>
  <si>
    <t>Dagger</t>
  </si>
  <si>
    <t>Blunt Knife</t>
  </si>
  <si>
    <t>Dirk</t>
  </si>
  <si>
    <t>A short blade, perfect for backstabs.</t>
  </si>
  <si>
    <t>Rank II, Upgrades from Blunt Knife</t>
  </si>
  <si>
    <t>A short blade with a blunt thread.</t>
  </si>
  <si>
    <t>Herbalist's Billhook</t>
  </si>
  <si>
    <t>A short blade, made to harvest plants in the wild. Increases the effectiveness of potions.</t>
  </si>
  <si>
    <t>Poisoned Blade</t>
  </si>
  <si>
    <t>A blade imbued with deadly concoctions. Inflicts Poison on hit.</t>
  </si>
  <si>
    <t>Sneaky Steel</t>
  </si>
  <si>
    <t>A short blade, perfect for backstabs. Reduces Provocation of the user.</t>
  </si>
  <si>
    <t>Rank III, Upgrades from Dirk</t>
  </si>
  <si>
    <t>Venomous Blade</t>
  </si>
  <si>
    <t>A blade imbued with deadly concoctions. Inflicts Poison on hit. Holds the ability Sinister Strike.</t>
  </si>
  <si>
    <t>Rank III, Upgrades from Poisoned Blade</t>
  </si>
  <si>
    <t>Silver Dagger</t>
  </si>
  <si>
    <t>A short blade, perfect for backstabs. Reduces Provocation of the user. Deals bonus damage against Undeads on hit.</t>
  </si>
  <si>
    <t>Rank IV, Upgrades from Sneaky Steel</t>
  </si>
  <si>
    <t>Alchemist Knife</t>
  </si>
  <si>
    <t>A short blade, made to harvest plants in the wild. Increases the effectiveness of potions. Holds the ability First Aid.</t>
  </si>
  <si>
    <t>Rank IV, Upgrades from Herbalists' Billhook</t>
  </si>
  <si>
    <t>Anelace</t>
  </si>
  <si>
    <t>Rank V, Upgrades from Silver Dagger</t>
  </si>
  <si>
    <t>Baselard</t>
  </si>
  <si>
    <t>A short blade, perfect for backstabs. Significantly reduces Provocation of the user. Deals bonus damage against Undeads on hit.</t>
  </si>
  <si>
    <t>Rank VI, Upgrades from Anelace</t>
  </si>
  <si>
    <t>Badik</t>
  </si>
  <si>
    <t>A blade imbued with deadly concoctions. Inflicts Poison and Blind on hit. Holds the ability Sinister Strike. Increases critical strike chance.</t>
  </si>
  <si>
    <t>Rank VI, Upgrades from Venomous Blade</t>
  </si>
  <si>
    <t>Scholar Steel</t>
  </si>
  <si>
    <t>A short blade, made to harvest plants in the wild. Increases the effectiveness of potions. Holds the ability First Aid. Increases Magic.</t>
  </si>
  <si>
    <t>Rank VI, Upgrades from Alchemist Knife</t>
  </si>
  <si>
    <t>Kris</t>
  </si>
  <si>
    <t>Rank VII</t>
  </si>
  <si>
    <t>Khanjali</t>
  </si>
  <si>
    <t>A short blade, perfect for backstabs. Holds the ability Camouflage. Deals heavy bonus damage against Undeads on hit.</t>
  </si>
  <si>
    <t>Rank VII, Upgrades from Baselard</t>
  </si>
  <si>
    <t>Killing Doll</t>
  </si>
  <si>
    <t>An ominous blade that strikes its target multiple times.</t>
  </si>
  <si>
    <t>Rank XII, Kolibri's ultimate Weapon</t>
  </si>
  <si>
    <t>Rank IX, Upgrades from Kris</t>
  </si>
  <si>
    <t>Rank IX, Upgrades from Khanjali</t>
  </si>
  <si>
    <t>Rank X, Upgrades from Kris</t>
  </si>
  <si>
    <t>Rank X, Upgrades from Badik</t>
  </si>
  <si>
    <t>Rank XI, Upgrade from Scholar Steel</t>
  </si>
  <si>
    <t>Yoroi Doshi</t>
  </si>
  <si>
    <t xml:space="preserve">Rank XII, Upgrades from Khanjali </t>
  </si>
  <si>
    <t>A short blade, perfect for backstabs. Holds the ability Camouflage. Deals heavy bonus damage against Undeads on hit. Significantly increases critical strike damage.</t>
  </si>
  <si>
    <t>A wavy blade that cuts through flesh like butter. Inflicts Hemorrhage and Bleed on hit.</t>
  </si>
  <si>
    <t>Spectral Cutlass</t>
  </si>
  <si>
    <t>A curved blade as pale as a dead body. Grants 50% damage reduction against Darkness attacks. Inflicts Hemorrhage and Bleed on Hit.</t>
  </si>
  <si>
    <t>A short blade, perfect for backstabs. Holds the ability Camouflage. Deals heavy bonus damage against Undeads on hit. Increases critical strike damage.</t>
  </si>
  <si>
    <t>Cinquedea</t>
  </si>
  <si>
    <t>Kalis</t>
  </si>
  <si>
    <t>A wavy blade that cuts through flesh like butter. Inflicts Hemorrhage and Bleed on hit. Increases damage against targets suffering from negative status ailments.</t>
  </si>
  <si>
    <t>Bad Omens</t>
  </si>
  <si>
    <t>A blade imbued with deadly concoctions. Inflicts Poison, Blind and Silence on hit. Holds the abilities Sinister Strike and Bloody Murder. Increases critical strike chance.</t>
  </si>
  <si>
    <t>Kila</t>
  </si>
  <si>
    <t>A short blade, made to harvest plants in the wild. Increases the effectiveness of potions. Holds the abilities First Aid and Curative Fog. Increases Magic and Magic Defense.</t>
  </si>
  <si>
    <t>Axe</t>
  </si>
  <si>
    <t>Iron Axe</t>
  </si>
  <si>
    <t>Steel Axe</t>
  </si>
  <si>
    <t>Ono</t>
  </si>
  <si>
    <t>Francisca</t>
  </si>
  <si>
    <t>Yue</t>
  </si>
  <si>
    <t>Parashu</t>
  </si>
  <si>
    <t>Sagaris</t>
  </si>
  <si>
    <t>Tomahawk</t>
  </si>
  <si>
    <t>Battle Axe</t>
  </si>
  <si>
    <t>The Cleaver</t>
  </si>
  <si>
    <t>The Crusher</t>
  </si>
  <si>
    <t>Blood Angel</t>
  </si>
  <si>
    <t>Splitting Axe</t>
  </si>
  <si>
    <t>Lumberjack's Dream</t>
  </si>
  <si>
    <t>The Sanguine</t>
  </si>
  <si>
    <t>Golden Axe</t>
  </si>
  <si>
    <t>Warchief's Axe</t>
  </si>
  <si>
    <t>Warlord's Steel</t>
  </si>
  <si>
    <t>A simple axe, very effective to cut through many things.</t>
  </si>
  <si>
    <t>Rank II, Upgrades from Iron Axe</t>
  </si>
  <si>
    <t>Rank III, Upgrades from Steel Axe</t>
  </si>
  <si>
    <t>A light axe, with better precision but less strength. Inflicts Bleed on hit.</t>
  </si>
  <si>
    <t>An axe that deals heavy blows on hit. Inflicts Slow on hit.</t>
  </si>
  <si>
    <t>Rank IV, Upgrades from Splitting Axe</t>
  </si>
  <si>
    <t>A heavy axe with a large blade. Provides additional parry.</t>
  </si>
  <si>
    <t>Rank V, Upgrades from Splitting Axe</t>
  </si>
  <si>
    <t>An light axe than can cut through wood, or anything, with ease. Inflicts Bleed on hit. Increases critical strike chance.</t>
  </si>
  <si>
    <t>Rank V, Upgrades from Sagaris</t>
  </si>
  <si>
    <t>A short axe with a sharp and well-defined blade. Inflicts Slow and Hemorrhage on hit.</t>
  </si>
  <si>
    <t>Rank VI, Upgrades from Tomahawk</t>
  </si>
  <si>
    <t>A short axe with a long horizontal blade. Inflicts Bleed on hit. Holds the ability Axe Throw.</t>
  </si>
  <si>
    <t>Rank VII, Upgrades from Sagaris</t>
  </si>
  <si>
    <t>A large axe with a blade capable of cutting through almost everything. Inflicts Bleed on hit. Increases critical strike chance. Holds the ability Cleave.</t>
  </si>
  <si>
    <t>Rank VIII, Upgrades from Lumberjack's Dream</t>
  </si>
  <si>
    <t>A heavy axe with a long haft. Its weight is often enough to heavily damage its foes, without even cutting through them. Provides additional parry. Holds the ability Crush.</t>
  </si>
  <si>
    <t>Rank VIII, Upgrades from Battle Axe</t>
  </si>
  <si>
    <t>A red-tainted axe, from the blood of its deceased foes. Holds the ability Bloodbath. Heals for a portion of damage dealt.</t>
  </si>
  <si>
    <t>A short axe made of rare ore. It makes it light-weighted. Inflicts Bleed on hit. Holds the ability Axe Throw. Increases Agility and Precision.</t>
  </si>
  <si>
    <t>Rank IX, Upgrades from Francisca</t>
  </si>
  <si>
    <t>A long haft with a small but very sharp blade. Inflicts Slow and Hemorrhage on hit. Holds the ability Execute.</t>
  </si>
  <si>
    <t>Rank IX, Upgrades from Ono</t>
  </si>
  <si>
    <t>A heavy axe made of precious ore that prevents its blade from deteriorating. Inflicts Bleed on hit. Holds the abilities Axe Throw and Endless Rampage. Increases Agility and Precision.</t>
  </si>
  <si>
    <t>Rank X, Upgrades from Parashu</t>
  </si>
  <si>
    <t>Rank XII, Warlok's ultimate weapon</t>
  </si>
  <si>
    <t>A gigantic blade, that brings his foes closer to another realm.</t>
  </si>
  <si>
    <t>A large axe that sweeps everything in its path. Provides additional parry and critical strike chance. Inflicts Bleed on hit. Holds the abilities Cleave and Crush.</t>
  </si>
  <si>
    <t>Rank XI, Upgrades from The Cleaver + The Crusher</t>
  </si>
  <si>
    <t>A large, red-tainted blade, testimony of its wielder's glorious past. Provides additional Parry. Heals for a portion of damage dealt. Holds the abilities Bloodbath and Crush.</t>
  </si>
  <si>
    <t>Rank XI, Upgrades from the Crusher + The Sanguine</t>
  </si>
  <si>
    <t>Claws</t>
  </si>
  <si>
    <t>Steel Claws</t>
  </si>
  <si>
    <t>Tiger's Fury</t>
  </si>
  <si>
    <t>Soul of the Wolf</t>
  </si>
  <si>
    <t>Deadly Paws</t>
  </si>
  <si>
    <t>Silver Fangs</t>
  </si>
  <si>
    <t>Torments</t>
  </si>
  <si>
    <t>Crystal Claws</t>
  </si>
  <si>
    <t>Astral Fangs</t>
  </si>
  <si>
    <t>Hands of Doom</t>
  </si>
  <si>
    <t>The Gloves</t>
  </si>
  <si>
    <t>Night Prawler</t>
  </si>
  <si>
    <t>Feline Wrath</t>
  </si>
  <si>
    <t>Moonfang</t>
  </si>
  <si>
    <t>Snake Bite</t>
  </si>
  <si>
    <t>A pair of gloves mounted with steel blades.</t>
  </si>
  <si>
    <t>Rank III</t>
  </si>
  <si>
    <t>A pair of gloves mounted with very sharp blades, akin to certain felines.</t>
  </si>
  <si>
    <t>Rank IV, Upgrades from Steel Claws</t>
  </si>
  <si>
    <t>Mounted blades that slash as hard as a wolf's. Holds the ability Howling Moon.</t>
  </si>
  <si>
    <t>A pair of gloves mounted with very sharp blades, akin to certain felines. Increases critical strike chance.</t>
  </si>
  <si>
    <t>Rank V, Upgrades from Tiger's Fury</t>
  </si>
  <si>
    <t>Silver blades that can cut through most materials. Increases Strength.</t>
  </si>
  <si>
    <t>Dark magic infused claws, dooming any target. Inflicts Bleed and Silence on hit.</t>
  </si>
  <si>
    <t>Very refined gloves mounted with well defined blades. Increases Strength and critical strike chance.</t>
  </si>
  <si>
    <t>Rank VIII, Upgrades from Deadly Paws + Silver Fangs</t>
  </si>
  <si>
    <t>A pair of gloves mounted with very sharp blades, akin to certain felines. Increases critical strike chance. Holds the ability Howling Moon.</t>
  </si>
  <si>
    <t>Rank VIII, Upgrades from Deadly Paws + Soul of the Wolf</t>
  </si>
  <si>
    <t>Dark magic infused claws, dooming any target. Inflicts Bleed, Poison and Silence on hit.</t>
  </si>
  <si>
    <t>Rank IX, Upgrades from Torments</t>
  </si>
  <si>
    <t>Very refined gloves mounted with well defined blades. Increases Strength and critical strike chance. Holds the ability Claw Storm.</t>
  </si>
  <si>
    <t>Rank IX, Upgrades from The Gloves</t>
  </si>
  <si>
    <t>Rank X, Upgrades from Night Prawler</t>
  </si>
  <si>
    <t>Rank XI, Upgrades from Snake Bite</t>
  </si>
  <si>
    <t>Rank XII, Upgrades from Feline Wrath</t>
  </si>
  <si>
    <t>Rank XII, Upgrades from Moonfang</t>
  </si>
  <si>
    <t>A pair of gloves mounted with very sharp blades, akin to certain felines. Increases critical strike chance. Holds the ability Howling Moon. Increases damage against targets below 40% HP.</t>
  </si>
  <si>
    <t>Dark magic infused claws, dooming any target. Inflicts Bleed, Poison and Silence on hit. Deals significantly more damage against targets with negative status ailments.</t>
  </si>
  <si>
    <t>Very refined gloves mounted with well defined blades. Increases Strength and critical strike chance. Holds the abilities Claw Storm and Crystal Breach.</t>
  </si>
  <si>
    <t>A pair of gloves mounted with very sharp blades, akin to certain felines. Increases critical strike chance and critical strike damage. Holds the ability Howling Moon. Increases damage against targets below 40% HP.</t>
  </si>
  <si>
    <t>Scepter</t>
  </si>
  <si>
    <t>Rod of Wisdom</t>
  </si>
  <si>
    <t>Cleric's Scepter</t>
  </si>
  <si>
    <t>Apprentice Gift</t>
  </si>
  <si>
    <t>Elemental Rod</t>
  </si>
  <si>
    <t>Protective Scepter</t>
  </si>
  <si>
    <t>Essence Rod</t>
  </si>
  <si>
    <t>Glass Scepter</t>
  </si>
  <si>
    <t>Darkbark Rod</t>
  </si>
  <si>
    <t>Ice Stick</t>
  </si>
  <si>
    <t>Flame Stick</t>
  </si>
  <si>
    <t>Thunderstruck Rod</t>
  </si>
  <si>
    <t>Tidal Rod</t>
  </si>
  <si>
    <t>Rank IV, Upgrades from Rod of Wisdom</t>
  </si>
  <si>
    <t>Rank IV, Upgrades from Clerci's Scepter</t>
  </si>
  <si>
    <t>Rank V, Upgrades from Apprentice Gift</t>
  </si>
  <si>
    <t>Rank VI, Upgrades from Elemental Rod</t>
  </si>
  <si>
    <t>Rank VI, Upgrades from Protectective Scepter</t>
  </si>
  <si>
    <t>Rank VII, Upgrades from Essence Rod</t>
  </si>
  <si>
    <t>Gust Cane</t>
  </si>
  <si>
    <t>Boulder Rod</t>
  </si>
  <si>
    <t>Lumina</t>
  </si>
  <si>
    <t>Obscuro</t>
  </si>
  <si>
    <t>Gaia's Scepter</t>
  </si>
  <si>
    <t>Rank VIII, Upgrades from Elemental Rod</t>
  </si>
  <si>
    <t>Rank XII,  Upgrades from all 8 elemental scepters</t>
  </si>
  <si>
    <t>Ivory Cane</t>
  </si>
  <si>
    <t>Guardian Scepter</t>
  </si>
  <si>
    <t>Imbued Rod</t>
  </si>
  <si>
    <t>Ganymede's Embrace</t>
  </si>
  <si>
    <t>The Lifestream</t>
  </si>
  <si>
    <t>Scepter of the Archmage</t>
  </si>
  <si>
    <t>Rank IX, Upgrades from Glass Scepter</t>
  </si>
  <si>
    <t>Rank IX, Upgrades from Darkbark Rod</t>
  </si>
  <si>
    <t>Rank X, Upgrades from Imbued Rod</t>
  </si>
  <si>
    <t>Rank X, Upgrades from Guardian Scepter</t>
  </si>
  <si>
    <t>Rank XI, Upgrades from Ivory Cane</t>
  </si>
  <si>
    <t>Rank XII, Upgrades from The Lifestream</t>
  </si>
  <si>
    <t>A magical scepter, wielded by those who seek knowledge. Increases Elemental damage by 10%.</t>
  </si>
  <si>
    <t>A short scepter, used in religious ceremonies. Increases Healing potency by 25%.</t>
  </si>
  <si>
    <t>A nicely sculpted rod, usually gifted to those who succeeded in high education courses. Increases Magic.</t>
  </si>
  <si>
    <t>A magical scepter, imbued with Elemental Magic. Increases Elemental damage by 15%. Reduces the cost of Elemental abilities by 20%.</t>
  </si>
  <si>
    <t>A short scepter, used in religious ceremonies. Increases Healing potency by 25%. Reduces the cost of healing abilities by 20%.</t>
  </si>
  <si>
    <t>A nicely sculpted rod, usually gifted to those who succeeded in high education courses. Increases Magic. Holds the ability Essence Boost.</t>
  </si>
  <si>
    <t>A short scepter, used in religious ceremonies. Increases Healing potency by 25%. Reduces the cost of healing abilities by 20%. Holds the ability Hand of Protection.</t>
  </si>
  <si>
    <t>A nicely sculpted rod, usually gifted to those who succeeded in high education courses. Increases Magic and Mana passive regeneration. Holds the ability Essence Boost.</t>
  </si>
  <si>
    <t>A short scepter, used in religious ceremonies. Increases Healing potency by 35%. Reduces the cost of healing abilities by 40%. Holds the ability Hand of Protection. Grants immunity to Silence.</t>
  </si>
  <si>
    <t>A nicely sculpted rod, usually gifted to those who succeeded in high education courses. Increases Magic, Magic Defense and Mana passive regeneration. Holds the ability Essence Boost.</t>
  </si>
  <si>
    <t>A nicely sculpted rod, usually gifted to those who succeeded in high education courses. Increases Magic, Magic Defense and Mana passive regeneration. Holds the abilities Essence Boost and Essence Flux.</t>
  </si>
  <si>
    <t>A short scepter, used in religious ceremonies. Increases Healing potency by 50%. Reduces the cost of healing abilities by 40%. Holds the abilities Hand of Protection and Saving Light. Grants immunity to Silence.</t>
  </si>
  <si>
    <t>A short scepter, used in religious ceremonies. Increases Healing potency by 50%. Reduces the cost of healing abilities by 50%. Holds the abilities Hand of Protection and Saving Light. Grants immunity to Silence and Slow.</t>
  </si>
  <si>
    <t>A nicely sculpted rod, usually gifted to those who succeeded in high education courses. Increases Magic, Magic Defense and Mana passive regeneration. Holds the abilities Essence Boost and Essence Flux. Grants immunity to Earth and Wind elemental attacks.</t>
  </si>
  <si>
    <t>The embodiment of all elements in one single scepter. Increases Elemental damage by 50% and reduces the cost of Elemental abilities by 50%. Exploiting a target's elemental weakness grants bonus Magic and restores Mana.</t>
  </si>
  <si>
    <t>An ice-imbued scepter. Increases Elemental damage by 20%. Reduces the cost of Elemental abilities by 25%. Restores mana when exploiting Ice elemental weakness.</t>
  </si>
  <si>
    <t>A fire-imbued scepter. Increases Elemental damage by 20%. Reduces the cost of Elemental abilities by 25%. Restores mana when exploiting Fire elemental weakness.</t>
  </si>
  <si>
    <t>A thunder-imbued scepter. Increases Elemental damage by 20%. Reduces the cost of Elemental abilities by 25%. Restores mana when exploiting Thunder elemental weakness.</t>
  </si>
  <si>
    <t>A water-imbued scepter. Increases Elemental damage by 20%. Reduces the cost of Elemental abilities by 25%. Restores mana when exploiting Water elemental weakness.</t>
  </si>
  <si>
    <t>A wind-imbued scepter. Increases Elemental damage by 30%. Reduces the cost of Elemental abilities by 35%. Restores mana when exploiting Wind elemental weakness.</t>
  </si>
  <si>
    <t>An earth-imbued scepter. Increases Elemental damage by 30%. Reduces the cost of Elemental abilities by 35%. Restores mana when exploiting Earth elemental weakness.</t>
  </si>
  <si>
    <t>A light-imbued scepter. Increases Elemental damage by 30%. Reduces the cost of Elemental abilities by 35%. Restores mana when exploiting Holy elemental weakness.</t>
  </si>
  <si>
    <t>A darkness-imbued scepter. Increases Elemental damage by 30%. Reduces the cost of Elemental abilities by 35%. Restores mana when exploiting Darkness elemental weakness.</t>
  </si>
  <si>
    <t>Rank VI, Upgrades from Rapier</t>
  </si>
  <si>
    <t>Staff</t>
  </si>
  <si>
    <t>Cypress Rod</t>
  </si>
  <si>
    <t>Cedar Rod</t>
  </si>
  <si>
    <t>Taxus Rod</t>
  </si>
  <si>
    <t>Prunus Rod</t>
  </si>
  <si>
    <t>Old Oak Rod</t>
  </si>
  <si>
    <t>Limbo Stick</t>
  </si>
  <si>
    <t>Wizard's Staff</t>
  </si>
  <si>
    <t>Cleric's Cane</t>
  </si>
  <si>
    <t>Rod of Ages</t>
  </si>
  <si>
    <t>Aether Staff</t>
  </si>
  <si>
    <t>Princess Guard</t>
  </si>
  <si>
    <t>Staff of the Magi</t>
  </si>
  <si>
    <t>Void Staff</t>
  </si>
  <si>
    <t>Stick of Truth</t>
  </si>
  <si>
    <t>Enchanter's Rod</t>
  </si>
  <si>
    <t>Rank IV, Upgrades from Wizard's Staff</t>
  </si>
  <si>
    <t>Rank IV, Upgrades from Cleric's Cane</t>
  </si>
  <si>
    <t>Rank V, Upgrades from Cypress Rod</t>
  </si>
  <si>
    <t>Rank VI, Upgrades from Limbo Stick</t>
  </si>
  <si>
    <t>Rank VI, Upgrades from Cedar Rod</t>
  </si>
  <si>
    <t>Rank VII, Upgrades from Stick of Truth</t>
  </si>
  <si>
    <t>Rank VII, Upgrades from Stick the Truth</t>
  </si>
  <si>
    <t>Rank IX, Upgrades from Taxus Rod</t>
  </si>
  <si>
    <t>Rank X, Upgrades from Enchanter's Rod + Rod of Ages</t>
  </si>
  <si>
    <t>Rank XI, Upgrades from Staff of the Magi</t>
  </si>
  <si>
    <t>Rank XII, Upgrades from Prunus Rod</t>
  </si>
  <si>
    <t>A long rod sculpted in cypress wood.</t>
  </si>
  <si>
    <t>A short cane used for white magic.</t>
  </si>
  <si>
    <t>Legends tell of a stick that can bring absolute knowledge to whomever wields it. Increases Magic. Grants immunity to Silence.</t>
  </si>
  <si>
    <t>A staff that increases its wielder's magic potency.</t>
  </si>
  <si>
    <t>A staff that increases its wielder's magic potency. Increases the duration of positive status ailments cast on targets by 2 turns.</t>
  </si>
  <si>
    <t>A long rod sculpted in cedar wood. Increases Magic and Magic Defense. Provides additional parry.</t>
  </si>
  <si>
    <t>A thorn-shaped rod. Holds the ability Negate. Reduces MP costs by 10%.</t>
  </si>
  <si>
    <t>A long, cylindric rod. Holds the abilities Negate and Void Beam. Reduces MP costs by 15%.</t>
  </si>
  <si>
    <t>A long rod sculpted in taxus wood. Increases Magic and Magic Defense. Provides additional parry. Refills MP upon parrying.</t>
  </si>
  <si>
    <t>A timeworn rod, testimony of its past glory. Increases Magic, HP and MP. Grants immunity to Silence. Inflicts Slow III on hit.</t>
  </si>
  <si>
    <t>Its haft is incrusted by precious tone, granting it prodigious powers. Increases Magic. Grants Immunity to Silence. Magic abilities ignore 40% of the target's Magic Defense on hit.</t>
  </si>
  <si>
    <t>A long rod sculpted in taxus wood. Increases Magic and Magic Defense. Provides additional parry. Refills MP upon parrying. Holds the ability Magic Counter.</t>
  </si>
  <si>
    <t>A royal staff, used in high-class ceremonies. Increases Magic, MP and HP. Grants Immunity to Silence. Inflicts Slow III on hit. Increases the duration of positive status ailments cast on targets by 3 turns.</t>
  </si>
  <si>
    <t>A staff so light it could be made of air in movement. Increases Magic. Grants Immunity to Silence. Magic abilities ignore 40% of the target's Magic Defense on hit. Refunds MP on enemy kill.</t>
  </si>
  <si>
    <t>A long rod sculpted in taxus wood. Increases Defense, Magic and Magic Defense. Provides additional parry. Refills MP upon parrying. Holds the abilities Magic Counter and Jouvence.</t>
  </si>
  <si>
    <t>Grimoire</t>
  </si>
  <si>
    <t>Necronomicon</t>
  </si>
  <si>
    <t>Cursed Chapter</t>
  </si>
  <si>
    <t>Book of the Dead</t>
  </si>
  <si>
    <t>Bible of Doom</t>
  </si>
  <si>
    <t>Last Gospel</t>
  </si>
  <si>
    <t>Genesis</t>
  </si>
  <si>
    <t>Scroll of the Ancients</t>
  </si>
  <si>
    <t>Wizard's Diary</t>
  </si>
  <si>
    <t>Lost Chapter</t>
  </si>
  <si>
    <t>Dark Pages</t>
  </si>
  <si>
    <t>Purification Tome</t>
  </si>
  <si>
    <t>Forgotten Scroll</t>
  </si>
  <si>
    <t>Rank IX, Upgrades from Forgotten Scroll + Lost Chapter</t>
  </si>
  <si>
    <t>Rank X, Upgrades from Dark Pages + Book of the Dead</t>
  </si>
  <si>
    <t>Rank X, Upgrades from Book of the Dead + Forgotten Scroll</t>
  </si>
  <si>
    <t>Rank XI, Upgrades from Lost Chapter + Bible of Doom</t>
  </si>
  <si>
    <t>Rank XII, Upgrades from Wizar's Diary + Genesis</t>
  </si>
  <si>
    <t>A small notebook used to keep notes from academic lessons. Holds the ability Wisdom.</t>
  </si>
  <si>
    <t>A book whose content was lost through the ages. Only a few can decipher it. Holds the ability Mana Well.</t>
  </si>
  <si>
    <t>Its pages are so black that only Holy magic can reveal its content. Holds the ability Pain Blast.</t>
  </si>
  <si>
    <t>This book tells about all the different rituals used through the ages to exorcise curses. Hold the ability Purify.</t>
  </si>
  <si>
    <t>A long sheet of paper, inked with old symbols, dating from before Gallilean times. Holds the ability Flare.</t>
  </si>
  <si>
    <t xml:space="preserve">A charred book, marked with a skull on its cover. Holds the ability Doom. </t>
  </si>
  <si>
    <t>Talented wizards around the world gathered to try and decipher this scroll, only to obtain a very tiny fraction of what it truly holds. Holds the abilities Flare and Mana Well.</t>
  </si>
  <si>
    <t>Perhaps this tells us the fate of a parallel world… or ours? Holds the abilities Pain Blast + Doom.</t>
  </si>
  <si>
    <t>This book contains stories so horrific than simply reading them could cause your own death… of fear. Holds the abilities Doom + Flare.</t>
  </si>
  <si>
    <t>Whoever holds this book cannot get their hands off it. Reading it slowly turns your mind into a black hole. Holds the abilities Mana Well + Pain Blast + Doom.</t>
  </si>
  <si>
    <t>The tales of the very beginning… but then something else had to end, right? Holds the abilities Purify + Flare + Mana Well.</t>
  </si>
  <si>
    <t>The final chapter of this story… the quill is in your hands now. Holds the abilities Wisdom + Purify + Flare + Mana Well.</t>
  </si>
  <si>
    <t>Rank XI, Upgrades from Purification Tome + Scroll of the Ancients</t>
  </si>
  <si>
    <t>Bow</t>
  </si>
  <si>
    <t>Recurve Bow</t>
  </si>
  <si>
    <t>Longbow</t>
  </si>
  <si>
    <t>Compound Bow</t>
  </si>
  <si>
    <t>Composite Bow</t>
  </si>
  <si>
    <t>Gakgung</t>
  </si>
  <si>
    <t>Pandarus Bow</t>
  </si>
  <si>
    <t>Epirus Bow</t>
  </si>
  <si>
    <t>Artemis's Bow</t>
  </si>
  <si>
    <t>The Silent Arrow</t>
  </si>
  <si>
    <t>Silver Bow</t>
  </si>
  <si>
    <t>Ivory Bow</t>
  </si>
  <si>
    <t>Crystal Bow</t>
  </si>
  <si>
    <t>Hunter's Bow</t>
  </si>
  <si>
    <t>The Heart Piercer</t>
  </si>
  <si>
    <t>Sagittarius</t>
  </si>
  <si>
    <t>Dark Angel Bow</t>
  </si>
  <si>
    <t>The Sunrise</t>
  </si>
  <si>
    <t>The Cloud Piercer</t>
  </si>
  <si>
    <t>Bow of the Battleborns</t>
  </si>
  <si>
    <t>Trueaim Crescent</t>
  </si>
  <si>
    <t>Scorched Bow</t>
  </si>
  <si>
    <t>Bow of the Steppes</t>
  </si>
  <si>
    <t>Gallileic Bow</t>
  </si>
  <si>
    <t>A strong bow, perfect for shooting arrows at fast speed.</t>
  </si>
  <si>
    <t>A bow designed to shoot projectiles at a very long distance.</t>
  </si>
  <si>
    <t>Training Bow</t>
  </si>
  <si>
    <t>A bow used mainly for training new archers. There are to be found in barracks or at certain fairs, for competitions.</t>
  </si>
  <si>
    <t>It is claimed that this bow will increase your aim by 100%. Or perhaps you should learn how to aim properly.</t>
  </si>
  <si>
    <t>Rank II, Upgrades from Training Bow</t>
  </si>
  <si>
    <t>A bow made of wood and animal horns, creating an interesting design. Has increases critical strike damage.</t>
  </si>
  <si>
    <t>Rank II, upgrades from Recurve Bow.</t>
  </si>
  <si>
    <t>Design to hunt game, this bow shoots its arrows silently. Has fast projectiles and good precision.</t>
  </si>
  <si>
    <t>Rank III, Upgrades from Longbow</t>
  </si>
  <si>
    <t>Rank IV, Upgrades from Hunter's Bow</t>
  </si>
  <si>
    <t>Rank V, Upgrades from Trueaim Crescent</t>
  </si>
  <si>
    <t>The signature bow of a battle clan from the steppes of Relaga. Has great range and high precision.</t>
  </si>
  <si>
    <t>A bow that uses a levering system, increasing the strength provided to the arrow when shot. Deals more damage to closer targets. Has fast projectiles and good precision.</t>
  </si>
  <si>
    <t>This bow is gifted to those who have proven significant prowesses in hunting. Has 100% precision and deals bonus damage against Undeads.</t>
  </si>
  <si>
    <t>This bow survived the flames, giving it a black tint. Strangely enough, the fire did not seem to affect its durability. Grants 40% damage reduction against Fire. Increases Ice-damage taken by 25%.</t>
  </si>
  <si>
    <t>Rank VII, Upgrades from Artemis's Bow + Composite Bow</t>
  </si>
  <si>
    <t>An elegant weapon made of silver ore. It is said that it was crafted based on the weapon of a goddess. Has 100% precision and deals bonus damage against Undeads. Has increases critical strike damage.</t>
  </si>
  <si>
    <t>Rank VIII, Upgrades from Compound Bow + Bow of the Battleborns</t>
  </si>
  <si>
    <t>The shape of this bow is typical of the Vambulian steppes, where a lot of wyverns are hunted. Has great range and high precision.. Deals more damage to closer targets. Has fast projectiles.</t>
  </si>
  <si>
    <t>Rank VIII, Upgrades from Recurve Bow + Trueaim Crescent</t>
  </si>
  <si>
    <t>A small bow with very flexible limbs, typically used by mounted archers. Has 100% precision and very fast projectiles.</t>
  </si>
  <si>
    <t>Rank VIII, Upgrades from Scroched Bow</t>
  </si>
  <si>
    <t>Rank IX, Upgrades from Silver Bow</t>
  </si>
  <si>
    <t>A white bow made horns of rare game. Its crafting is very controversial. Has 100% precision and deals bonus damage against Undeads. Has increases critical strike damage and critical strike chance.</t>
  </si>
  <si>
    <t>Rank IX, Upgrades from Atermis's Bow</t>
  </si>
  <si>
    <t>According to some old tales, this bow, imbued with divine energy, allows its user to with all battles. Has 100% precision and deals bonus damage against Undeads. Grants Bravery at the start of the battle.</t>
  </si>
  <si>
    <t>Rank X, Upgrades from Gakgung</t>
  </si>
  <si>
    <t>A 1000-year old design, a fine and effective weapon, based on the works of a long lost civilization. Has 100% precision and very fast projectiles. Inflicts Bleed I and Hemorrhage on hit.</t>
  </si>
  <si>
    <t>Rank X, Upgrades from the Heart Piercer + Bow of the Steppes</t>
  </si>
  <si>
    <t>You are not throwing away your shot, are you? Grants 40% damage reduction against Fire. Increases Ice-damage taken by 25%. Deals extra damage against undamaged targets.</t>
  </si>
  <si>
    <t>This bow can shoot arrows so fast, it is said the Gods raise the Sun each morning by shotting an arrow with it. Deals more damage to closer targets. Has fast projectiles. Grants 50% damage reduction against Fire. Increases Ice-damage taken by 20%. Deals extra damage against undamaged targets.</t>
  </si>
  <si>
    <t>Rank XI, Upgrades from Pandarus Bow</t>
  </si>
  <si>
    <t>A single arrow shot by this would would make the sky clear. But then why is it still rainy all the time? Has 100% precision and deals bonus damage against Undeads. Grants Bravery at the start of the battle. Grants immunity to Blind.</t>
  </si>
  <si>
    <t>Rank XI, Upgrades from Bow of the Steppes + Ivory Bow</t>
  </si>
  <si>
    <t>3…2…1… Headshot! Has 100% precision and deals bonus damage against Undeads. Has increases critical strike damage and critical strike chance. Deals more damage to closer targets. Has fast projectiles. Has great range.</t>
  </si>
  <si>
    <t>Rank XI, Upgrades from Gallileic Bow + Pandarus Bow</t>
  </si>
  <si>
    <t>A very ancient design of recurve bow, known to have great warfare properties. Has 100% precision and very fast projectiles. Inflicts Bleed I and Hemorrhage on hit. Deals bonus damage against Undeads. Grants Bravery at the start of the battle.</t>
  </si>
  <si>
    <t>Rank XII, Upgrades from Ivory Bow</t>
  </si>
  <si>
    <t>A luxury bow, only wielded by very talented archers, who would not take risks to damage it. Has 100% precision and deals bonus damage against Undeads. Has increases critical strike damage and critical strike chance. Physical attacks ignore 40% of the target's Defense.</t>
  </si>
  <si>
    <t>Rank XII, Upgrades from The Sunrise</t>
  </si>
  <si>
    <t>Not only heroes shoot arrows. Bows can also serve the ones you do not want to be shot by. Deals more damage to closer targets. Has fast projectiles. Grants 50% damage reduction against Fire and 30% against Holy. Ignores the Defense of undamage targets when landing a physical attack.</t>
  </si>
  <si>
    <t>Rank XII, Magnus's ultimate weapon</t>
  </si>
  <si>
    <t>Precise and strong enough to shoot the stars from the ground… and pierce through them.</t>
  </si>
  <si>
    <t>Arbalest</t>
  </si>
  <si>
    <t>Crossbow</t>
  </si>
  <si>
    <t>Recurve Crossbow</t>
  </si>
  <si>
    <t>Compound Crossbow</t>
  </si>
  <si>
    <t>Chuguo nu</t>
  </si>
  <si>
    <t>Gastraphetes</t>
  </si>
  <si>
    <t>Cranequin</t>
  </si>
  <si>
    <t>A regular crossbow, capable to fire deadly quarrels.</t>
  </si>
  <si>
    <t>A crossbow that fire botls at a very fast pace.</t>
  </si>
  <si>
    <t>A levering system is providing this crossbow additional strength upon firing quarrels.</t>
  </si>
  <si>
    <t>Also known as double shot repeating crossbow, this weapon can fire 2 projectiles in rapid succession.</t>
  </si>
  <si>
    <t>This very simple weapon is based on a composite bow, and provides a lot of strength upon firing its bolts.</t>
  </si>
  <si>
    <t>Rank VI, Upgrades from Crossbow</t>
  </si>
  <si>
    <t>Rank V, Upgrades from Crossbow</t>
  </si>
  <si>
    <t>Sauterelle</t>
  </si>
  <si>
    <t>This heavier crossbow is designed to fire explosive projectiles. Upon landing, the bolt deals physical damage to its primary target, then deals Fire damage to any unit in an area around the target.</t>
  </si>
  <si>
    <t>Rank VII, Upgrades from Compound Crossbow</t>
  </si>
  <si>
    <t>Rank VII, Upgrades from Recurve Crossbow</t>
  </si>
  <si>
    <t>This steel crossbow is particularly useful when fighting mounted. Has increased precision and fires at a very fast pace.</t>
  </si>
  <si>
    <t>An ancient version of the crossbow, which is also very light and effective on the battlefield. Increases Agility.</t>
  </si>
  <si>
    <t>Wallarmbrust</t>
  </si>
  <si>
    <t>A heavy 2 -handed siege weapon, capable of fire really powerful bolts that ignore 50% of the target's defense. Has a really slow firing rate.</t>
  </si>
  <si>
    <t>Rank IX, Upgrades from Compound Bow</t>
  </si>
  <si>
    <t>Rank VIII, Upgrades from Gastraphetes.</t>
  </si>
  <si>
    <t>Cheiroballistra</t>
  </si>
  <si>
    <t>A metal-based crossbow, capable of firing small, thin, iron bolts, that deal more damage based on how wounded their target is.</t>
  </si>
  <si>
    <t>Rank X, Upgrades from Cranequin</t>
  </si>
  <si>
    <t>The Art of War</t>
  </si>
  <si>
    <t>A deadly, mighty crossbow, crafted for the most renown archers. Its bolts travel at lightning speed, giving close to no chance to its enemies. Its light weight also grants its wielder bonus Agility and fires 2 bolts successively.</t>
  </si>
  <si>
    <t>Rank XI, Upgrades from Chuguo nu  + Arcuballista</t>
  </si>
  <si>
    <t>Arcuballista</t>
  </si>
  <si>
    <t>Spear</t>
  </si>
  <si>
    <t>Pike</t>
  </si>
  <si>
    <t>Glaive</t>
  </si>
  <si>
    <t>Halberd</t>
  </si>
  <si>
    <t>Goedendag</t>
  </si>
  <si>
    <t>Partisan</t>
  </si>
  <si>
    <t>Arbir</t>
  </si>
  <si>
    <t>Qiang</t>
  </si>
  <si>
    <t>Ox Tongue</t>
  </si>
  <si>
    <t>Trishula</t>
  </si>
  <si>
    <t>Naginata</t>
  </si>
  <si>
    <t>Boar Spear</t>
  </si>
  <si>
    <t>Trident</t>
  </si>
  <si>
    <t>Hoeroa</t>
  </si>
  <si>
    <t>Tepoztopilli</t>
  </si>
  <si>
    <t>Xyston</t>
  </si>
  <si>
    <t>Sibat</t>
  </si>
  <si>
    <t>Yari</t>
  </si>
  <si>
    <t>Fork</t>
  </si>
  <si>
    <t>Spetum</t>
  </si>
  <si>
    <t>A 2-handed wooden shaft with a steel spearhead. Effective at parrying and dealing damage to shielded enemies.</t>
  </si>
  <si>
    <t>A rather long wooden shaft with a leaf-shaped blade. Provides additional parry. Counterattacks upon parrying.</t>
  </si>
  <si>
    <t>A long pole with a rather large steel blade on top. Provides additional parry and bonus damage to shielded enemies. Holds the ability Deadly Spin.</t>
  </si>
  <si>
    <t>Rank II, Upgrades from Pike.</t>
  </si>
  <si>
    <t>A long pole, with a well defined blade. Effective at parrying. Counterattacks upon parrying. Inflicts Bleed I on impact.</t>
  </si>
  <si>
    <t>Rank II, Upgrades from Qiang</t>
  </si>
  <si>
    <t>Ax axe mounted on top of a rather short shaft. Holds the ability Shatter.</t>
  </si>
  <si>
    <t>Brandistock</t>
  </si>
  <si>
    <t>A three-pronged spear, primarly used for fishing. Provides additional parry and water resistance.</t>
  </si>
  <si>
    <t>A rather stiff club mounted with a blade. Provides additional parry and bonus damage against shielded enemies. Holds the ability Deadly Spin. Damage increases with distance travelled.</t>
  </si>
  <si>
    <t>Rank IV, Upgrades from Glaive</t>
  </si>
  <si>
    <t>A long spear with 2 heads. Very effective at parrying. Counterattacks upon parrying. Inflicts Bleed I on impact.</t>
  </si>
  <si>
    <t>Rank IV, Upgrades from Arbir</t>
  </si>
  <si>
    <t>A rather short spear, with two lugs on the spearsocket to prevent extensive penetration of the blade. Inflicts Slow I on impact.</t>
  </si>
  <si>
    <t>Fauchard</t>
  </si>
  <si>
    <t>A heavy spear with a curved blade. Provides additional parry and bonus damage against shielded enemies. Holds the ability Deadly Spin. Inflicts Hemorrhage I on impact.</t>
  </si>
  <si>
    <t>Rank VI, Upgrades from Glaive</t>
  </si>
  <si>
    <t>Long wooden shaft mounted with a spearhead and protrusions of the sides, to help parrying attacks. Provides additional parry. Inflicts Slow I on impact.</t>
  </si>
  <si>
    <t>Rank VI, Upgrades from Boar Spear</t>
  </si>
  <si>
    <t>A polearm with 3 retractable blades. Provides additional parry and water resistance. Inflicts Bleed I on impact.</t>
  </si>
  <si>
    <t>Rank VII, Upgrades from Trident</t>
  </si>
  <si>
    <t>A broad-headed double-edged spear with protusions from the middle of the blades. Provides additional parry. Inflicts Slow I and Bleed I on impact.</t>
  </si>
  <si>
    <t>Rank VIII, Upgrades from Partisan</t>
  </si>
  <si>
    <t>A very light spear, with a multipurpose blade. Provides additional parry. Counterattacks upon parrying. Inflicts Bleed I on impact. Holds the ability Impair.</t>
  </si>
  <si>
    <t>Rank VIII, Upgrades from Xyston</t>
  </si>
  <si>
    <t>A whalebone long club. Very effective and both smashing and thrusting. Holds the ability Shatter. Inflicts Hemorrhage I on impact.</t>
  </si>
  <si>
    <t>Rank VIII, Upgrades from Halberd.</t>
  </si>
  <si>
    <t>Ahlspiess</t>
  </si>
  <si>
    <t>A short spear, very effective in close combat. Its light weight allows for fast strikes. Increases Agility, Critical Strike chances and increases attack priority.</t>
  </si>
  <si>
    <t>Rank IX</t>
  </si>
  <si>
    <t>A metal pole with a curved single-edged blade on the end. Its shaft also contains a hidden blade. Provides additional parry and bonus damage against shielded enemies. Holds the abilities Deadly Spin and Swift Strike. Inflicts Hemorrhage I on impact.</t>
  </si>
  <si>
    <t>Rank IX, Upgrades from Fauchard</t>
  </si>
  <si>
    <t>A powerful 3-headed spear that can cut through most shells. Provides additional parry and water resistance. Deals bonus damage against shielded enemies. Inflicts Bleed I on impact.</t>
  </si>
  <si>
    <t>Rank X, Upgrades from Brandistock</t>
  </si>
  <si>
    <t>A rather short shaft mounted with an obsidian blade, very effective at both slashing and thrusting. Holds the ability Shatter. Inflicts Hemorrhage I on immact. Provides additional Agility.</t>
  </si>
  <si>
    <t>Rank X, Upgrades from Hoeroa</t>
  </si>
  <si>
    <t>A ceremonial triden, marked with deity signs. Provides additional parry and water resistance. Inflicts Bleed I on impact. Significantly increases Magic and Magic Defense.</t>
  </si>
  <si>
    <t>Rank XI, Upgrades from Brandistock</t>
  </si>
  <si>
    <t xml:space="preserve">A long shaft mounted with a long, pointy blade, and two side blades. The primary blade is used for thrusting, while the secondary blade and for slashing. Provides additional parry. Inflicts Slow I, Hemorrhage I and Bleed I on impact. Holds the ability Deadly Spin. Deals bonus damage against shielded enemies. </t>
  </si>
  <si>
    <t>Rank XI, Upgrades from Ox Tongue + Fauchard</t>
  </si>
  <si>
    <t>A shaft with a very long and sharp blade, used by very skilled and renowned warriors. Increases Agility, Critical Strike chances and increases attack priority. Provides additional parry and bonus damage against shielded enemies. Holds the abilities Deadly Spin and Swift Strike. Inflicts Hemorrhage I on impact.</t>
  </si>
  <si>
    <t>Rank XII, Upgrades from Naginata + Ahlspiess</t>
  </si>
  <si>
    <t>Mace</t>
  </si>
  <si>
    <t>Gada</t>
  </si>
  <si>
    <t>Pernach</t>
  </si>
  <si>
    <t>Quauhololli</t>
  </si>
  <si>
    <t>Roundhead</t>
  </si>
  <si>
    <t>Sharur</t>
  </si>
  <si>
    <t>Bozdogan</t>
  </si>
  <si>
    <t>Shishpar</t>
  </si>
  <si>
    <t>Shestopyor</t>
  </si>
  <si>
    <t>Marshal Mace</t>
  </si>
  <si>
    <t>Bulava</t>
  </si>
  <si>
    <t>Morning Star</t>
  </si>
  <si>
    <t>War Hammer</t>
  </si>
  <si>
    <t>A heavy, one handed mace, very useful to break armors. Inflicts Break I on impact.</t>
  </si>
  <si>
    <t>A round-shape mace mounted with a spike. Effective as a melee weapon and a magic staff. Increases the effectiveness of healing abilities.</t>
  </si>
  <si>
    <t>Kanabo</t>
  </si>
  <si>
    <t>A long mace with iron stud on the end. Effective at parrying. Inflicts Bleed I on impact.</t>
  </si>
  <si>
    <t>A winged-mace, capable of breaking through heavy plates. Inflicts Break I and Magic Break I on impact.</t>
  </si>
  <si>
    <t>Rank IV, Upgrades from War Hammer</t>
  </si>
  <si>
    <t>A long shaft with a heavy rock, effective at crushing bones. Increases the effectiveness of healing abilities. Inflicts Break I on impact.</t>
  </si>
  <si>
    <t>Rank V, Upgrades from War Hammer + Gada</t>
  </si>
  <si>
    <t>A long staff with a 12 spikes head. Effective at parrying. Inflicts Bleed II on impact.</t>
  </si>
  <si>
    <t>Rank V, Upgrades from Kanabo</t>
  </si>
  <si>
    <t>A winged, black tainted metal mace. Inflicts Break II and Magic Break II on impact.</t>
  </si>
  <si>
    <t>Rank VII, Upgrades from Pernach</t>
  </si>
  <si>
    <t>A mace with eight flanges and a spike. Increases the effectiveness of healing abilities. Inflicts Break III on impact.</t>
  </si>
  <si>
    <t>Rank VIII, Upgrades from Quauhololli</t>
  </si>
  <si>
    <t>A heavy long shaft with a spiky head, combining blunt force and puncture attacks to kill its enemies. Effective at parrying. Inflicts Bleed II and Slow I on impact.</t>
  </si>
  <si>
    <t>Rank VIII, Upgrades from Roundhead</t>
  </si>
  <si>
    <t>A winged, black tainted metal mace. Inflicts Break II and Magic Break II on impact. Also increases the effectiveness of healing abilities.</t>
  </si>
  <si>
    <t>Rank IX, Upgrades from Bozdogan</t>
  </si>
  <si>
    <t>Trench Raiding Club</t>
  </si>
  <si>
    <t>A short wooden spiky club, very effective at disarming opponents. Inflicts Slow II, Bleed II and Break II on impact. Increases critical strike chance.</t>
  </si>
  <si>
    <t>A mace used in religious ceremonies. Significantly increases the effectiveness of healing abilities. Reduces MP costs by 30%.</t>
  </si>
  <si>
    <t>Rank X, Upgrades from Gada</t>
  </si>
  <si>
    <t>A short studded mace, used in close combat. Inflicts Slow II, Bleed II and Break II on impact. Increases critical strike chance. Increases Magic.</t>
  </si>
  <si>
    <t>Rank XI, Upgrades from Trench Raiding Club</t>
  </si>
  <si>
    <t>The smasher of thousands. This enchanted mace can defeat any demon it faces. Significants increases the effectiveness of healing abilities. Reduces MP costs by 30%. Inflicts Break III and Magic Break III on impact.</t>
  </si>
  <si>
    <t>Rank XII, Upgrades from Shestopyor + Marshal Mace</t>
  </si>
  <si>
    <t>Firearm</t>
  </si>
  <si>
    <t>Musket</t>
  </si>
  <si>
    <t>Blunderbluss</t>
  </si>
  <si>
    <t>Arquebus</t>
  </si>
  <si>
    <t>Huochong</t>
  </si>
  <si>
    <t>Lancaster</t>
  </si>
  <si>
    <t>Ribauldequin</t>
  </si>
  <si>
    <t>San Yan Chong</t>
  </si>
  <si>
    <t>Xun Lei Chong</t>
  </si>
  <si>
    <t>Fomalhaut</t>
  </si>
  <si>
    <t>Long gun with fast but unreliable projectile that deals magic damage.</t>
  </si>
  <si>
    <t>An effective, short range firearm. Ineffective at longer range.</t>
  </si>
  <si>
    <t>Long gun with fast but unreliable projectile that deals magic damage. Inflicts Break I on impact.</t>
  </si>
  <si>
    <t>Rank VI, Upgrades from Arquebus</t>
  </si>
  <si>
    <t>Hand cannon. The projectile explodes on hit, dealing magic damage in an area.</t>
  </si>
  <si>
    <t>Tanegashima</t>
  </si>
  <si>
    <t>Rank VII, Upgrades from Blunderbluss</t>
  </si>
  <si>
    <t>A small pistol with great rate of fire and high precision. Capable of shooting 2 bullets in succession.</t>
  </si>
  <si>
    <t>A volley gun that shoots bullets in a cone. The center bullet is aimed at the primary target, while a total of 7 bullets are fired, 3 on each side. Multiple bullets hitting the same target deal 30% damage.</t>
  </si>
  <si>
    <t>Rank VIII, Upgrades from Huochong</t>
  </si>
  <si>
    <t>Three barrel hand cannon. Its projectiles explode on hit, dealing damage in an area. The primary projectile hits the targets, while the 2 other projectiles create a cone shape around the main fire line. Multiple bullets hitting the same target deal 60% damage.</t>
  </si>
  <si>
    <t>Revolving-barrel, spear-combined musket.The 5 cannons of the weapon destroys any armor it faces. Inflicts Break II and Magic Break II on impact.</t>
  </si>
  <si>
    <t>Rank IX, Upgrades from Musket</t>
  </si>
  <si>
    <t>A large, modern rifle with high precision. Its deadly bullets with pierce through any target, dealing damage to all units in their path. Deals 10% reduced damage of each successive enemy hit, up to a minimum of 60%. Inflicts Bleed II on impact.</t>
  </si>
  <si>
    <t>A firearm with slow fire rate and short range. Inflicts Bleed I on impact.</t>
  </si>
  <si>
    <t>Rank XI, Upgrades from Tanegashima</t>
  </si>
  <si>
    <t>Post Mortem</t>
  </si>
  <si>
    <t>Scythe</t>
  </si>
  <si>
    <t>Sickle</t>
  </si>
  <si>
    <t>Khopesh</t>
  </si>
  <si>
    <t>Kama</t>
  </si>
  <si>
    <t>Billhook</t>
  </si>
  <si>
    <t>War Scythe</t>
  </si>
  <si>
    <t>Harpe</t>
  </si>
  <si>
    <t>Omen of Death</t>
  </si>
  <si>
    <t>Omen of Hope</t>
  </si>
  <si>
    <t>A short, curvy blade, used to harvest. Anything.</t>
  </si>
  <si>
    <t>Short sword, capable of pulling an enemy towards its wielder. Holds the ability Attraction.</t>
  </si>
  <si>
    <t>Traditional tool to reap crops. Can also be used as a short range blade. Increases agility. Increases the efficacy of healing items.</t>
  </si>
  <si>
    <t>A short tool with a blade made of carbon. Increases Magic. Increases the efficacy of healing items.</t>
  </si>
  <si>
    <t>Rank V, Upgrades from Khopesh.</t>
  </si>
  <si>
    <t>A long shaft with a curvy, sharp blade. Effective at parrying. Holds the ability Attraction. Follows any action that differs from basic attacks with a basic attack.</t>
  </si>
  <si>
    <t>Rank VII, Upgrades from Billhook + Kama</t>
  </si>
  <si>
    <t>Adamantine blade, known to be wielded by deities. Increases Magic and Agility. Increases the efficacy of healing items and abilities.</t>
  </si>
  <si>
    <t>A large scythe, whose own shadow reaps through its enemies. Increases Darkness damage dealt by 30%. Increases Magic. Basic attacks steal additional health on hit.</t>
  </si>
  <si>
    <t>Rank X</t>
  </si>
  <si>
    <t>A large scythe, whose aura manifests great power and bravery. Increases Holy damage dealt by 30%. Increases Magic. Grants Faith at the start of the battle.</t>
  </si>
  <si>
    <t>The symbol of the gatekeeper between the realms of life and death. Increases Darkness and Holy damage by 30%. Greatly increases Magic. Basic attacks steal additional health on hit. Grants Faith at the start of the battle.</t>
  </si>
  <si>
    <t>Rank XII, Agrid's ultimate weapon. Upgrades from Omen of Death + Omen of Hope</t>
  </si>
  <si>
    <t>Rank III, Upgrades from Sickle</t>
  </si>
  <si>
    <t>Blood Ring</t>
  </si>
  <si>
    <t>Accessory</t>
  </si>
  <si>
    <t>A rind that boosts its owner's maximum HP</t>
  </si>
  <si>
    <t>Resource</t>
  </si>
  <si>
    <t>Iron Ore</t>
  </si>
  <si>
    <t>Sealed Medallion</t>
  </si>
  <si>
    <t>Key Item</t>
  </si>
  <si>
    <t>Health</t>
  </si>
  <si>
    <t>Mana</t>
  </si>
  <si>
    <t>Essence</t>
  </si>
  <si>
    <t>Strength</t>
  </si>
  <si>
    <t>Defense</t>
  </si>
  <si>
    <t>Magic</t>
  </si>
  <si>
    <t>Magic Defense</t>
  </si>
  <si>
    <t>Agility</t>
  </si>
  <si>
    <t>Luck</t>
  </si>
  <si>
    <t>Each weapon has a calculated power value, which is based on the stats and effects it gives. Rank provides a decent indication of how powerful a weapon is.</t>
  </si>
  <si>
    <t>Each stat, besides HP, Mana and Essence gives 1 power for 1 point. HP gives 1 power per 10 HP, Mana 1 power per 5 MP and Essence 1 power per 5 EP</t>
  </si>
  <si>
    <t>Power</t>
  </si>
  <si>
    <t>Inflicting status also raises the power. The following negative status inflicted have the indicated power :</t>
  </si>
  <si>
    <t>Bleed I</t>
  </si>
  <si>
    <t>Bleed II</t>
  </si>
  <si>
    <t>Bleed III</t>
  </si>
  <si>
    <t>Hemo I</t>
  </si>
  <si>
    <t>Poison</t>
  </si>
  <si>
    <t>Blind</t>
  </si>
  <si>
    <t>Silence</t>
  </si>
  <si>
    <t>Break I</t>
  </si>
  <si>
    <t>Break II</t>
  </si>
  <si>
    <t>Break III</t>
  </si>
  <si>
    <t>Magic Break I</t>
  </si>
  <si>
    <t>Magic Break II</t>
  </si>
  <si>
    <t>Magic Break III</t>
  </si>
  <si>
    <t>The following bound abilities add power :</t>
  </si>
  <si>
    <t>Drain Slash</t>
  </si>
  <si>
    <t>Weak Point</t>
  </si>
  <si>
    <t>Slow I</t>
  </si>
  <si>
    <t>Slow II</t>
  </si>
  <si>
    <t>Slow III</t>
  </si>
  <si>
    <t>Knight's Vow</t>
  </si>
  <si>
    <t>Magical Impact</t>
  </si>
  <si>
    <t>Immunity</t>
  </si>
  <si>
    <t>MP cost reduction is 5 power per 10%</t>
  </si>
  <si>
    <t>Removes</t>
  </si>
  <si>
    <t>Shell</t>
  </si>
  <si>
    <t>Protect</t>
  </si>
  <si>
    <t>Abode of Souls</t>
  </si>
  <si>
    <t>Trance</t>
  </si>
  <si>
    <t>Crystal Guard</t>
  </si>
  <si>
    <t>Evasive Dance</t>
  </si>
  <si>
    <t>Suffers from</t>
  </si>
  <si>
    <t>Holy Wrath</t>
  </si>
  <si>
    <t>Rank XII, Louga's ultimate weapon.</t>
  </si>
  <si>
    <t>Effectiveness of potions</t>
  </si>
  <si>
    <t>Sinister Strike</t>
  </si>
  <si>
    <t>Deals bonus dmg against type</t>
  </si>
  <si>
    <t>regular</t>
  </si>
  <si>
    <t>strong</t>
  </si>
  <si>
    <t>First Aid</t>
  </si>
  <si>
    <t>Camouflage</t>
  </si>
  <si>
    <t>Elemental affinity dmg reduction (1 per 10% per element)</t>
  </si>
  <si>
    <t>Bloody Murder</t>
  </si>
  <si>
    <t>Curative Fog</t>
  </si>
  <si>
    <t>Axe Throw</t>
  </si>
  <si>
    <t>Cleave</t>
  </si>
  <si>
    <t>Crush</t>
  </si>
  <si>
    <t>Grounded</t>
  </si>
  <si>
    <t>Lifedrain</t>
  </si>
  <si>
    <t>Bloodbath</t>
  </si>
  <si>
    <t>Execute</t>
  </si>
  <si>
    <t>Endless Rampage</t>
  </si>
  <si>
    <t>Howling Moon</t>
  </si>
  <si>
    <t>Claw Storm</t>
  </si>
  <si>
    <t>Weapon is 2-handed (per rank)</t>
  </si>
  <si>
    <t>Crystal Breach</t>
  </si>
  <si>
    <t>Elemental dmg increase (1 per 10%)</t>
  </si>
  <si>
    <t>Essence Boost</t>
  </si>
  <si>
    <t>Hand of Protection</t>
  </si>
  <si>
    <t>Essence Flux</t>
  </si>
  <si>
    <t>Saving Light</t>
  </si>
  <si>
    <t>Slow</t>
  </si>
  <si>
    <t>Negate</t>
  </si>
  <si>
    <t>Void Beam</t>
  </si>
  <si>
    <t>Magic Counter</t>
  </si>
  <si>
    <t>Jouvence</t>
  </si>
  <si>
    <t>Wisdom</t>
  </si>
  <si>
    <t>Mana Well</t>
  </si>
  <si>
    <t>Pain Blast</t>
  </si>
  <si>
    <t>Purify</t>
  </si>
  <si>
    <t>Flare</t>
  </si>
  <si>
    <t>Doom</t>
  </si>
  <si>
    <t>Grants</t>
  </si>
  <si>
    <t>Bravery</t>
  </si>
  <si>
    <t>Faith</t>
  </si>
  <si>
    <t>Twin strike malus per rank</t>
  </si>
  <si>
    <t>Bonus to shields</t>
  </si>
  <si>
    <t>Counterattacks on parry</t>
  </si>
  <si>
    <t>Deadly Spin</t>
  </si>
  <si>
    <t>Shatter</t>
  </si>
  <si>
    <t>Impair</t>
  </si>
  <si>
    <t>Faster attack</t>
  </si>
  <si>
    <t>Swift Strike</t>
  </si>
  <si>
    <t>Attraction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</si>
</sst>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63883-2701-4B73-BA24-C20413007C34}">
  <dimension ref="B2:F244"/>
  <sheetViews>
    <sheetView topLeftCell="A232" workbookViewId="0">
      <selection activeCell="B230" sqref="B230:F238"/>
    </sheetView>
  </sheetViews>
  <sheetFormatPr baseColWidth="10" defaultRowHeight="15" x14ac:dyDescent="0.25"/>
  <cols>
    <col min="3" max="3" width="22.28515625" bestFit="1" customWidth="1"/>
    <col min="4" max="4" width="13.7109375" customWidth="1"/>
    <col min="5" max="5" width="47.5703125" customWidth="1"/>
    <col min="6" max="6" width="60.28515625" bestFit="1" customWidth="1"/>
  </cols>
  <sheetData>
    <row r="2" spans="2:6" x14ac:dyDescent="0.25">
      <c r="B2" t="s">
        <v>0</v>
      </c>
      <c r="C2" t="s">
        <v>1</v>
      </c>
      <c r="D2" t="s">
        <v>24</v>
      </c>
      <c r="E2" t="s">
        <v>3</v>
      </c>
      <c r="F2" t="s">
        <v>28</v>
      </c>
    </row>
    <row r="3" spans="2:6" x14ac:dyDescent="0.25">
      <c r="B3">
        <v>0</v>
      </c>
      <c r="C3" t="s">
        <v>2</v>
      </c>
      <c r="D3" t="s">
        <v>25</v>
      </c>
      <c r="E3" s="1" t="s">
        <v>4</v>
      </c>
    </row>
    <row r="4" spans="2:6" x14ac:dyDescent="0.25">
      <c r="B4">
        <v>1</v>
      </c>
      <c r="C4" t="s">
        <v>5</v>
      </c>
      <c r="D4" t="s">
        <v>25</v>
      </c>
      <c r="E4" s="1" t="s">
        <v>9</v>
      </c>
    </row>
    <row r="5" spans="2:6" x14ac:dyDescent="0.25">
      <c r="B5">
        <v>2</v>
      </c>
      <c r="C5" t="s">
        <v>6</v>
      </c>
      <c r="D5" t="s">
        <v>25</v>
      </c>
      <c r="E5" s="1" t="s">
        <v>7</v>
      </c>
    </row>
    <row r="6" spans="2:6" x14ac:dyDescent="0.25">
      <c r="B6">
        <v>3</v>
      </c>
      <c r="C6" t="s">
        <v>8</v>
      </c>
      <c r="D6" t="s">
        <v>25</v>
      </c>
      <c r="E6" s="1" t="s">
        <v>9</v>
      </c>
    </row>
    <row r="7" spans="2:6" ht="30" x14ac:dyDescent="0.25">
      <c r="B7">
        <v>4</v>
      </c>
      <c r="C7" t="s">
        <v>10</v>
      </c>
      <c r="D7" t="s">
        <v>25</v>
      </c>
      <c r="E7" s="1" t="s">
        <v>11</v>
      </c>
    </row>
    <row r="8" spans="2:6" ht="30" x14ac:dyDescent="0.25">
      <c r="B8">
        <v>5</v>
      </c>
      <c r="C8" t="s">
        <v>12</v>
      </c>
      <c r="D8" t="s">
        <v>25</v>
      </c>
      <c r="E8" s="1" t="s">
        <v>13</v>
      </c>
    </row>
    <row r="9" spans="2:6" x14ac:dyDescent="0.25">
      <c r="B9">
        <v>6</v>
      </c>
      <c r="C9" t="s">
        <v>14</v>
      </c>
      <c r="D9" t="s">
        <v>25</v>
      </c>
      <c r="E9" s="1" t="s">
        <v>15</v>
      </c>
    </row>
    <row r="10" spans="2:6" x14ac:dyDescent="0.25">
      <c r="B10">
        <v>7</v>
      </c>
      <c r="C10" t="s">
        <v>16</v>
      </c>
      <c r="D10" t="s">
        <v>25</v>
      </c>
      <c r="E10" s="1" t="s">
        <v>17</v>
      </c>
    </row>
    <row r="11" spans="2:6" x14ac:dyDescent="0.25">
      <c r="B11">
        <v>8</v>
      </c>
      <c r="C11" t="s">
        <v>18</v>
      </c>
      <c r="D11" t="s">
        <v>25</v>
      </c>
      <c r="E11" s="1" t="s">
        <v>19</v>
      </c>
    </row>
    <row r="12" spans="2:6" x14ac:dyDescent="0.25">
      <c r="B12">
        <v>9</v>
      </c>
      <c r="C12" t="s">
        <v>20</v>
      </c>
      <c r="D12" t="s">
        <v>25</v>
      </c>
      <c r="E12" s="1" t="s">
        <v>21</v>
      </c>
    </row>
    <row r="13" spans="2:6" x14ac:dyDescent="0.25">
      <c r="B13">
        <v>10</v>
      </c>
      <c r="C13" t="s">
        <v>22</v>
      </c>
      <c r="D13" t="s">
        <v>25</v>
      </c>
      <c r="E13" s="1" t="s">
        <v>23</v>
      </c>
    </row>
    <row r="14" spans="2:6" x14ac:dyDescent="0.25">
      <c r="B14">
        <v>1000</v>
      </c>
      <c r="C14" t="s">
        <v>26</v>
      </c>
      <c r="D14" t="s">
        <v>124</v>
      </c>
      <c r="E14" s="1" t="s">
        <v>32</v>
      </c>
      <c r="F14" t="s">
        <v>29</v>
      </c>
    </row>
    <row r="15" spans="2:6" x14ac:dyDescent="0.25">
      <c r="B15">
        <v>1001</v>
      </c>
      <c r="C15" t="s">
        <v>27</v>
      </c>
      <c r="D15" t="s">
        <v>124</v>
      </c>
      <c r="E15" s="1" t="s">
        <v>38</v>
      </c>
      <c r="F15" t="s">
        <v>30</v>
      </c>
    </row>
    <row r="16" spans="2:6" x14ac:dyDescent="0.25">
      <c r="B16">
        <v>1002</v>
      </c>
      <c r="C16" t="s">
        <v>31</v>
      </c>
      <c r="D16" t="s">
        <v>124</v>
      </c>
      <c r="E16" s="1" t="s">
        <v>32</v>
      </c>
      <c r="F16" t="s">
        <v>33</v>
      </c>
    </row>
    <row r="17" spans="2:6" x14ac:dyDescent="0.25">
      <c r="B17">
        <v>1003</v>
      </c>
      <c r="C17" t="s">
        <v>34</v>
      </c>
      <c r="D17" t="s">
        <v>124</v>
      </c>
      <c r="E17" s="1" t="s">
        <v>32</v>
      </c>
      <c r="F17" t="s">
        <v>35</v>
      </c>
    </row>
    <row r="18" spans="2:6" ht="30" x14ac:dyDescent="0.25">
      <c r="B18">
        <v>1004</v>
      </c>
      <c r="C18" t="s">
        <v>36</v>
      </c>
      <c r="D18" t="s">
        <v>124</v>
      </c>
      <c r="E18" s="1" t="s">
        <v>37</v>
      </c>
      <c r="F18" t="s">
        <v>39</v>
      </c>
    </row>
    <row r="19" spans="2:6" x14ac:dyDescent="0.25">
      <c r="B19">
        <v>1005</v>
      </c>
      <c r="C19" t="s">
        <v>40</v>
      </c>
      <c r="D19" t="s">
        <v>124</v>
      </c>
      <c r="E19" s="1" t="s">
        <v>41</v>
      </c>
      <c r="F19" t="s">
        <v>42</v>
      </c>
    </row>
    <row r="20" spans="2:6" x14ac:dyDescent="0.25">
      <c r="B20">
        <v>1006</v>
      </c>
      <c r="C20" t="s">
        <v>43</v>
      </c>
      <c r="D20" t="s">
        <v>124</v>
      </c>
      <c r="E20" s="1" t="s">
        <v>44</v>
      </c>
      <c r="F20" t="s">
        <v>45</v>
      </c>
    </row>
    <row r="21" spans="2:6" ht="30" x14ac:dyDescent="0.25">
      <c r="B21">
        <v>1007</v>
      </c>
      <c r="C21" t="s">
        <v>46</v>
      </c>
      <c r="D21" t="s">
        <v>124</v>
      </c>
      <c r="E21" s="1" t="s">
        <v>47</v>
      </c>
      <c r="F21" t="s">
        <v>48</v>
      </c>
    </row>
    <row r="22" spans="2:6" ht="30" x14ac:dyDescent="0.25">
      <c r="B22">
        <v>1008</v>
      </c>
      <c r="C22" t="s">
        <v>49</v>
      </c>
      <c r="D22" t="s">
        <v>124</v>
      </c>
      <c r="E22" s="1" t="s">
        <v>51</v>
      </c>
      <c r="F22" t="s">
        <v>50</v>
      </c>
    </row>
    <row r="23" spans="2:6" x14ac:dyDescent="0.25">
      <c r="B23">
        <v>1009</v>
      </c>
      <c r="C23" t="s">
        <v>52</v>
      </c>
      <c r="D23" t="s">
        <v>124</v>
      </c>
      <c r="E23" s="1" t="s">
        <v>53</v>
      </c>
      <c r="F23" t="s">
        <v>54</v>
      </c>
    </row>
    <row r="24" spans="2:6" ht="45" x14ac:dyDescent="0.25">
      <c r="B24">
        <v>1010</v>
      </c>
      <c r="C24" t="s">
        <v>55</v>
      </c>
      <c r="D24" t="s">
        <v>124</v>
      </c>
      <c r="E24" s="1" t="s">
        <v>56</v>
      </c>
      <c r="F24" t="s">
        <v>336</v>
      </c>
    </row>
    <row r="25" spans="2:6" ht="30" x14ac:dyDescent="0.25">
      <c r="B25">
        <v>1011</v>
      </c>
      <c r="C25" t="s">
        <v>57</v>
      </c>
      <c r="D25" t="s">
        <v>124</v>
      </c>
      <c r="E25" s="1" t="s">
        <v>51</v>
      </c>
      <c r="F25" t="s">
        <v>58</v>
      </c>
    </row>
    <row r="26" spans="2:6" ht="30" x14ac:dyDescent="0.25">
      <c r="B26">
        <v>1012</v>
      </c>
      <c r="C26" t="s">
        <v>59</v>
      </c>
      <c r="D26" t="s">
        <v>124</v>
      </c>
      <c r="E26" s="1" t="s">
        <v>60</v>
      </c>
      <c r="F26" t="s">
        <v>61</v>
      </c>
    </row>
    <row r="27" spans="2:6" ht="30" x14ac:dyDescent="0.25">
      <c r="B27">
        <v>1013</v>
      </c>
      <c r="C27" t="s">
        <v>62</v>
      </c>
      <c r="D27" t="s">
        <v>124</v>
      </c>
      <c r="E27" s="1" t="s">
        <v>63</v>
      </c>
      <c r="F27" t="s">
        <v>58</v>
      </c>
    </row>
    <row r="28" spans="2:6" ht="30" x14ac:dyDescent="0.25">
      <c r="B28">
        <v>1014</v>
      </c>
      <c r="C28" t="s">
        <v>64</v>
      </c>
      <c r="D28" t="s">
        <v>124</v>
      </c>
      <c r="E28" s="1" t="s">
        <v>65</v>
      </c>
      <c r="F28" t="s">
        <v>66</v>
      </c>
    </row>
    <row r="29" spans="2:6" ht="45" x14ac:dyDescent="0.25">
      <c r="B29">
        <v>1015</v>
      </c>
      <c r="C29" t="s">
        <v>67</v>
      </c>
      <c r="D29" t="s">
        <v>124</v>
      </c>
      <c r="E29" s="1" t="s">
        <v>68</v>
      </c>
      <c r="F29" t="s">
        <v>69</v>
      </c>
    </row>
    <row r="30" spans="2:6" ht="30" x14ac:dyDescent="0.25">
      <c r="B30">
        <v>1016</v>
      </c>
      <c r="C30" t="s">
        <v>70</v>
      </c>
      <c r="D30" t="s">
        <v>124</v>
      </c>
      <c r="E30" s="1" t="s">
        <v>71</v>
      </c>
      <c r="F30" t="s">
        <v>72</v>
      </c>
    </row>
    <row r="31" spans="2:6" ht="45" x14ac:dyDescent="0.25">
      <c r="B31">
        <v>1017</v>
      </c>
      <c r="C31" t="s">
        <v>73</v>
      </c>
      <c r="D31" t="s">
        <v>124</v>
      </c>
      <c r="E31" s="1" t="s">
        <v>74</v>
      </c>
      <c r="F31" t="s">
        <v>75</v>
      </c>
    </row>
    <row r="32" spans="2:6" x14ac:dyDescent="0.25">
      <c r="B32">
        <v>1018</v>
      </c>
      <c r="C32" t="s">
        <v>76</v>
      </c>
      <c r="D32" t="s">
        <v>124</v>
      </c>
      <c r="E32" s="1" t="s">
        <v>77</v>
      </c>
      <c r="F32" t="s">
        <v>78</v>
      </c>
    </row>
    <row r="33" spans="2:6" x14ac:dyDescent="0.25">
      <c r="B33">
        <v>1019</v>
      </c>
      <c r="C33" t="s">
        <v>79</v>
      </c>
      <c r="D33" t="s">
        <v>124</v>
      </c>
      <c r="E33" s="1" t="s">
        <v>80</v>
      </c>
      <c r="F33" t="s">
        <v>78</v>
      </c>
    </row>
    <row r="34" spans="2:6" ht="30" x14ac:dyDescent="0.25">
      <c r="B34">
        <v>1020</v>
      </c>
      <c r="C34" t="s">
        <v>81</v>
      </c>
      <c r="D34" t="s">
        <v>124</v>
      </c>
      <c r="E34" s="1" t="s">
        <v>65</v>
      </c>
      <c r="F34" t="s">
        <v>84</v>
      </c>
    </row>
    <row r="35" spans="2:6" ht="45" x14ac:dyDescent="0.25">
      <c r="B35">
        <v>1021</v>
      </c>
      <c r="C35" t="s">
        <v>82</v>
      </c>
      <c r="D35" t="s">
        <v>124</v>
      </c>
      <c r="E35" s="1" t="s">
        <v>83</v>
      </c>
      <c r="F35" t="s">
        <v>85</v>
      </c>
    </row>
    <row r="36" spans="2:6" ht="45" x14ac:dyDescent="0.25">
      <c r="B36">
        <v>1022</v>
      </c>
      <c r="C36" t="s">
        <v>86</v>
      </c>
      <c r="D36" t="s">
        <v>124</v>
      </c>
      <c r="E36" s="1" t="s">
        <v>87</v>
      </c>
      <c r="F36" t="s">
        <v>85</v>
      </c>
    </row>
    <row r="37" spans="2:6" ht="30" x14ac:dyDescent="0.25">
      <c r="B37">
        <v>1023</v>
      </c>
      <c r="C37" t="s">
        <v>88</v>
      </c>
      <c r="D37" t="s">
        <v>124</v>
      </c>
      <c r="E37" s="1" t="s">
        <v>99</v>
      </c>
      <c r="F37" t="s">
        <v>89</v>
      </c>
    </row>
    <row r="38" spans="2:6" ht="60" x14ac:dyDescent="0.25">
      <c r="B38">
        <v>1024</v>
      </c>
      <c r="C38" t="s">
        <v>90</v>
      </c>
      <c r="D38" t="s">
        <v>124</v>
      </c>
      <c r="E38" s="1" t="s">
        <v>91</v>
      </c>
      <c r="F38" t="s">
        <v>92</v>
      </c>
    </row>
    <row r="39" spans="2:6" ht="45" x14ac:dyDescent="0.25">
      <c r="B39">
        <v>1025</v>
      </c>
      <c r="C39" t="s">
        <v>93</v>
      </c>
      <c r="D39" t="s">
        <v>124</v>
      </c>
      <c r="E39" s="1" t="s">
        <v>94</v>
      </c>
      <c r="F39" t="s">
        <v>95</v>
      </c>
    </row>
    <row r="40" spans="2:6" ht="45" x14ac:dyDescent="0.25">
      <c r="B40">
        <v>1026</v>
      </c>
      <c r="C40" t="s">
        <v>96</v>
      </c>
      <c r="D40" t="s">
        <v>124</v>
      </c>
      <c r="E40" s="1" t="s">
        <v>100</v>
      </c>
      <c r="F40" t="s">
        <v>97</v>
      </c>
    </row>
    <row r="41" spans="2:6" ht="30" x14ac:dyDescent="0.25">
      <c r="B41">
        <v>1027</v>
      </c>
      <c r="C41" t="s">
        <v>98</v>
      </c>
      <c r="D41" t="s">
        <v>124</v>
      </c>
      <c r="E41" s="1" t="s">
        <v>101</v>
      </c>
      <c r="F41" t="s">
        <v>102</v>
      </c>
    </row>
    <row r="42" spans="2:6" ht="60" x14ac:dyDescent="0.25">
      <c r="B42">
        <v>1028</v>
      </c>
      <c r="C42" t="s">
        <v>104</v>
      </c>
      <c r="D42" t="s">
        <v>124</v>
      </c>
      <c r="E42" s="1" t="s">
        <v>105</v>
      </c>
      <c r="F42" t="s">
        <v>106</v>
      </c>
    </row>
    <row r="43" spans="2:6" ht="60" x14ac:dyDescent="0.25">
      <c r="B43">
        <v>1029</v>
      </c>
      <c r="C43" t="s">
        <v>103</v>
      </c>
      <c r="D43" t="s">
        <v>124</v>
      </c>
      <c r="E43" s="1" t="s">
        <v>107</v>
      </c>
      <c r="F43" t="s">
        <v>108</v>
      </c>
    </row>
    <row r="44" spans="2:6" ht="45" x14ac:dyDescent="0.25">
      <c r="B44">
        <v>1030</v>
      </c>
      <c r="C44" t="s">
        <v>109</v>
      </c>
      <c r="D44" t="s">
        <v>124</v>
      </c>
      <c r="E44" s="1" t="s">
        <v>110</v>
      </c>
      <c r="F44" t="s">
        <v>111</v>
      </c>
    </row>
    <row r="45" spans="2:6" x14ac:dyDescent="0.25">
      <c r="B45">
        <v>1031</v>
      </c>
      <c r="C45" t="s">
        <v>112</v>
      </c>
      <c r="D45" t="s">
        <v>124</v>
      </c>
      <c r="E45" s="1" t="s">
        <v>113</v>
      </c>
      <c r="F45" t="s">
        <v>114</v>
      </c>
    </row>
    <row r="46" spans="2:6" x14ac:dyDescent="0.25">
      <c r="B46">
        <v>1032</v>
      </c>
      <c r="C46" t="s">
        <v>126</v>
      </c>
      <c r="D46" t="s">
        <v>125</v>
      </c>
      <c r="E46" s="1" t="s">
        <v>130</v>
      </c>
      <c r="F46" t="s">
        <v>29</v>
      </c>
    </row>
    <row r="47" spans="2:6" x14ac:dyDescent="0.25">
      <c r="B47">
        <v>1033</v>
      </c>
      <c r="C47" t="s">
        <v>127</v>
      </c>
      <c r="D47" t="s">
        <v>125</v>
      </c>
      <c r="E47" s="1" t="s">
        <v>128</v>
      </c>
      <c r="F47" t="s">
        <v>129</v>
      </c>
    </row>
    <row r="48" spans="2:6" ht="30" x14ac:dyDescent="0.25">
      <c r="B48">
        <v>1034</v>
      </c>
      <c r="C48" t="s">
        <v>131</v>
      </c>
      <c r="D48" t="s">
        <v>125</v>
      </c>
      <c r="E48" s="1" t="s">
        <v>132</v>
      </c>
      <c r="F48" t="s">
        <v>30</v>
      </c>
    </row>
    <row r="49" spans="2:6" ht="30" x14ac:dyDescent="0.25">
      <c r="B49">
        <v>1035</v>
      </c>
      <c r="C49" t="s">
        <v>133</v>
      </c>
      <c r="D49" t="s">
        <v>125</v>
      </c>
      <c r="E49" s="1" t="s">
        <v>134</v>
      </c>
      <c r="F49" t="s">
        <v>30</v>
      </c>
    </row>
    <row r="50" spans="2:6" ht="30" x14ac:dyDescent="0.25">
      <c r="B50">
        <v>1036</v>
      </c>
      <c r="C50" t="s">
        <v>135</v>
      </c>
      <c r="D50" t="s">
        <v>125</v>
      </c>
      <c r="E50" s="1" t="s">
        <v>136</v>
      </c>
      <c r="F50" t="s">
        <v>137</v>
      </c>
    </row>
    <row r="51" spans="2:6" ht="30" x14ac:dyDescent="0.25">
      <c r="B51">
        <v>1037</v>
      </c>
      <c r="C51" t="s">
        <v>138</v>
      </c>
      <c r="D51" t="s">
        <v>125</v>
      </c>
      <c r="E51" s="1" t="s">
        <v>139</v>
      </c>
      <c r="F51" t="s">
        <v>140</v>
      </c>
    </row>
    <row r="52" spans="2:6" ht="45" x14ac:dyDescent="0.25">
      <c r="B52">
        <v>1038</v>
      </c>
      <c r="C52" t="s">
        <v>141</v>
      </c>
      <c r="D52" t="s">
        <v>125</v>
      </c>
      <c r="E52" s="1" t="s">
        <v>142</v>
      </c>
      <c r="F52" t="s">
        <v>143</v>
      </c>
    </row>
    <row r="53" spans="2:6" ht="45" x14ac:dyDescent="0.25">
      <c r="B53">
        <v>1039</v>
      </c>
      <c r="C53" t="s">
        <v>144</v>
      </c>
      <c r="D53" t="s">
        <v>125</v>
      </c>
      <c r="E53" s="1" t="s">
        <v>145</v>
      </c>
      <c r="F53" t="s">
        <v>146</v>
      </c>
    </row>
    <row r="54" spans="2:6" ht="45" x14ac:dyDescent="0.25">
      <c r="B54">
        <v>1040</v>
      </c>
      <c r="C54" t="s">
        <v>147</v>
      </c>
      <c r="D54" t="s">
        <v>125</v>
      </c>
      <c r="E54" s="1" t="s">
        <v>142</v>
      </c>
      <c r="F54" t="s">
        <v>148</v>
      </c>
    </row>
    <row r="55" spans="2:6" ht="45" x14ac:dyDescent="0.25">
      <c r="B55">
        <v>1041</v>
      </c>
      <c r="C55" t="s">
        <v>149</v>
      </c>
      <c r="D55" t="s">
        <v>125</v>
      </c>
      <c r="E55" s="1" t="s">
        <v>150</v>
      </c>
      <c r="F55" t="s">
        <v>151</v>
      </c>
    </row>
    <row r="56" spans="2:6" ht="45" x14ac:dyDescent="0.25">
      <c r="B56">
        <v>1042</v>
      </c>
      <c r="C56" t="s">
        <v>152</v>
      </c>
      <c r="D56" t="s">
        <v>125</v>
      </c>
      <c r="E56" s="1" t="s">
        <v>153</v>
      </c>
      <c r="F56" t="s">
        <v>154</v>
      </c>
    </row>
    <row r="57" spans="2:6" ht="45" x14ac:dyDescent="0.25">
      <c r="B57">
        <v>1043</v>
      </c>
      <c r="C57" t="s">
        <v>155</v>
      </c>
      <c r="D57" t="s">
        <v>125</v>
      </c>
      <c r="E57" s="1" t="s">
        <v>156</v>
      </c>
      <c r="F57" t="s">
        <v>157</v>
      </c>
    </row>
    <row r="58" spans="2:6" ht="30" x14ac:dyDescent="0.25">
      <c r="B58">
        <v>1044</v>
      </c>
      <c r="C58" t="s">
        <v>158</v>
      </c>
      <c r="D58" t="s">
        <v>125</v>
      </c>
      <c r="E58" s="1" t="s">
        <v>174</v>
      </c>
      <c r="F58" t="s">
        <v>159</v>
      </c>
    </row>
    <row r="59" spans="2:6" ht="45" x14ac:dyDescent="0.25">
      <c r="B59">
        <v>1045</v>
      </c>
      <c r="C59" t="s">
        <v>160</v>
      </c>
      <c r="D59" t="s">
        <v>125</v>
      </c>
      <c r="E59" s="1" t="s">
        <v>161</v>
      </c>
      <c r="F59" t="s">
        <v>162</v>
      </c>
    </row>
    <row r="60" spans="2:6" ht="45" x14ac:dyDescent="0.25">
      <c r="B60">
        <v>1046</v>
      </c>
      <c r="C60" t="s">
        <v>175</v>
      </c>
      <c r="D60" t="s">
        <v>125</v>
      </c>
      <c r="E60" s="1" t="s">
        <v>176</v>
      </c>
      <c r="F60" t="s">
        <v>166</v>
      </c>
    </row>
    <row r="61" spans="2:6" ht="60" x14ac:dyDescent="0.25">
      <c r="B61">
        <v>1047</v>
      </c>
      <c r="C61" t="s">
        <v>178</v>
      </c>
      <c r="D61" t="s">
        <v>125</v>
      </c>
      <c r="E61" s="1" t="s">
        <v>177</v>
      </c>
      <c r="F61" t="s">
        <v>167</v>
      </c>
    </row>
    <row r="62" spans="2:6" ht="60" x14ac:dyDescent="0.25">
      <c r="B62">
        <v>1048</v>
      </c>
      <c r="C62" t="s">
        <v>179</v>
      </c>
      <c r="D62" t="s">
        <v>125</v>
      </c>
      <c r="E62" s="1" t="s">
        <v>180</v>
      </c>
      <c r="F62" t="s">
        <v>168</v>
      </c>
    </row>
    <row r="63" spans="2:6" ht="60" x14ac:dyDescent="0.25">
      <c r="B63">
        <v>1049</v>
      </c>
      <c r="C63" t="s">
        <v>181</v>
      </c>
      <c r="D63" t="s">
        <v>125</v>
      </c>
      <c r="E63" s="1" t="s">
        <v>182</v>
      </c>
      <c r="F63" t="s">
        <v>169</v>
      </c>
    </row>
    <row r="64" spans="2:6" ht="60" x14ac:dyDescent="0.25">
      <c r="B64">
        <v>1050</v>
      </c>
      <c r="C64" t="s">
        <v>183</v>
      </c>
      <c r="D64" t="s">
        <v>125</v>
      </c>
      <c r="E64" s="1" t="s">
        <v>184</v>
      </c>
      <c r="F64" t="s">
        <v>170</v>
      </c>
    </row>
    <row r="65" spans="2:6" ht="60" x14ac:dyDescent="0.25">
      <c r="B65">
        <v>1051</v>
      </c>
      <c r="C65" t="s">
        <v>171</v>
      </c>
      <c r="D65" t="s">
        <v>125</v>
      </c>
      <c r="E65" s="1" t="s">
        <v>173</v>
      </c>
      <c r="F65" t="s">
        <v>172</v>
      </c>
    </row>
    <row r="66" spans="2:6" ht="30" x14ac:dyDescent="0.25">
      <c r="B66">
        <v>1052</v>
      </c>
      <c r="C66" t="s">
        <v>163</v>
      </c>
      <c r="D66" t="s">
        <v>125</v>
      </c>
      <c r="E66" s="1" t="s">
        <v>164</v>
      </c>
      <c r="F66" t="s">
        <v>165</v>
      </c>
    </row>
    <row r="67" spans="2:6" ht="30" x14ac:dyDescent="0.25">
      <c r="B67">
        <v>1053</v>
      </c>
      <c r="C67" t="s">
        <v>186</v>
      </c>
      <c r="D67" t="s">
        <v>185</v>
      </c>
      <c r="E67" s="1" t="s">
        <v>204</v>
      </c>
      <c r="F67" t="s">
        <v>29</v>
      </c>
    </row>
    <row r="68" spans="2:6" ht="30" x14ac:dyDescent="0.25">
      <c r="B68">
        <v>1054</v>
      </c>
      <c r="C68" t="s">
        <v>187</v>
      </c>
      <c r="D68" t="s">
        <v>185</v>
      </c>
      <c r="E68" s="1" t="s">
        <v>204</v>
      </c>
      <c r="F68" t="s">
        <v>205</v>
      </c>
    </row>
    <row r="69" spans="2:6" ht="30" x14ac:dyDescent="0.25">
      <c r="B69">
        <v>1055</v>
      </c>
      <c r="C69" t="s">
        <v>198</v>
      </c>
      <c r="D69" t="s">
        <v>185</v>
      </c>
      <c r="E69" s="1" t="s">
        <v>204</v>
      </c>
      <c r="F69" t="s">
        <v>206</v>
      </c>
    </row>
    <row r="70" spans="2:6" ht="30" x14ac:dyDescent="0.25">
      <c r="B70">
        <v>1056</v>
      </c>
      <c r="C70" t="s">
        <v>192</v>
      </c>
      <c r="D70" t="s">
        <v>185</v>
      </c>
      <c r="E70" s="1" t="s">
        <v>207</v>
      </c>
      <c r="F70" t="s">
        <v>45</v>
      </c>
    </row>
    <row r="71" spans="2:6" ht="30" x14ac:dyDescent="0.25">
      <c r="B71">
        <v>1057</v>
      </c>
      <c r="C71" t="s">
        <v>193</v>
      </c>
      <c r="D71" t="s">
        <v>185</v>
      </c>
      <c r="E71" s="1" t="s">
        <v>208</v>
      </c>
      <c r="F71" t="s">
        <v>209</v>
      </c>
    </row>
    <row r="72" spans="2:6" ht="30" x14ac:dyDescent="0.25">
      <c r="B72">
        <v>1058</v>
      </c>
      <c r="C72" t="s">
        <v>194</v>
      </c>
      <c r="D72" t="s">
        <v>185</v>
      </c>
      <c r="E72" s="1" t="s">
        <v>210</v>
      </c>
      <c r="F72" t="s">
        <v>211</v>
      </c>
    </row>
    <row r="73" spans="2:6" ht="45" x14ac:dyDescent="0.25">
      <c r="B73">
        <v>1059</v>
      </c>
      <c r="C73" t="s">
        <v>199</v>
      </c>
      <c r="D73" t="s">
        <v>185</v>
      </c>
      <c r="E73" s="1" t="s">
        <v>212</v>
      </c>
      <c r="F73" t="s">
        <v>213</v>
      </c>
    </row>
    <row r="74" spans="2:6" ht="30" x14ac:dyDescent="0.25">
      <c r="B74">
        <v>1060</v>
      </c>
      <c r="C74" t="s">
        <v>188</v>
      </c>
      <c r="D74" t="s">
        <v>185</v>
      </c>
      <c r="E74" s="1" t="s">
        <v>214</v>
      </c>
      <c r="F74" t="s">
        <v>215</v>
      </c>
    </row>
    <row r="75" spans="2:6" ht="30" x14ac:dyDescent="0.25">
      <c r="B75">
        <v>1061</v>
      </c>
      <c r="C75" t="s">
        <v>189</v>
      </c>
      <c r="D75" t="s">
        <v>185</v>
      </c>
      <c r="E75" s="1" t="s">
        <v>216</v>
      </c>
      <c r="F75" t="s">
        <v>217</v>
      </c>
    </row>
    <row r="76" spans="2:6" ht="45" x14ac:dyDescent="0.25">
      <c r="B76">
        <v>1062</v>
      </c>
      <c r="C76" t="s">
        <v>195</v>
      </c>
      <c r="D76" t="s">
        <v>185</v>
      </c>
      <c r="E76" s="1" t="s">
        <v>218</v>
      </c>
      <c r="F76" t="s">
        <v>219</v>
      </c>
    </row>
    <row r="77" spans="2:6" ht="60" x14ac:dyDescent="0.25">
      <c r="B77">
        <v>1063</v>
      </c>
      <c r="C77" t="s">
        <v>196</v>
      </c>
      <c r="D77" t="s">
        <v>185</v>
      </c>
      <c r="E77" s="1" t="s">
        <v>220</v>
      </c>
      <c r="F77" t="s">
        <v>221</v>
      </c>
    </row>
    <row r="78" spans="2:6" ht="45" x14ac:dyDescent="0.25">
      <c r="B78">
        <v>1064</v>
      </c>
      <c r="C78" t="s">
        <v>200</v>
      </c>
      <c r="D78" t="s">
        <v>185</v>
      </c>
      <c r="E78" s="1" t="s">
        <v>222</v>
      </c>
      <c r="F78" t="s">
        <v>78</v>
      </c>
    </row>
    <row r="79" spans="2:6" ht="45" x14ac:dyDescent="0.25">
      <c r="B79">
        <v>1065</v>
      </c>
      <c r="C79" t="s">
        <v>191</v>
      </c>
      <c r="D79" t="s">
        <v>185</v>
      </c>
      <c r="E79" s="1" t="s">
        <v>223</v>
      </c>
      <c r="F79" t="s">
        <v>224</v>
      </c>
    </row>
    <row r="80" spans="2:6" ht="45" x14ac:dyDescent="0.25">
      <c r="B80">
        <v>1066</v>
      </c>
      <c r="C80" t="s">
        <v>190</v>
      </c>
      <c r="D80" t="s">
        <v>185</v>
      </c>
      <c r="E80" s="1" t="s">
        <v>225</v>
      </c>
      <c r="F80" t="s">
        <v>226</v>
      </c>
    </row>
    <row r="81" spans="2:6" ht="60" x14ac:dyDescent="0.25">
      <c r="B81">
        <v>1067</v>
      </c>
      <c r="C81" t="s">
        <v>201</v>
      </c>
      <c r="D81" t="s">
        <v>185</v>
      </c>
      <c r="E81" s="1" t="s">
        <v>227</v>
      </c>
      <c r="F81" t="s">
        <v>228</v>
      </c>
    </row>
    <row r="82" spans="2:6" ht="60" x14ac:dyDescent="0.25">
      <c r="B82">
        <v>1068</v>
      </c>
      <c r="C82" t="s">
        <v>202</v>
      </c>
      <c r="D82" t="s">
        <v>185</v>
      </c>
      <c r="E82" s="1" t="s">
        <v>231</v>
      </c>
      <c r="F82" t="s">
        <v>232</v>
      </c>
    </row>
    <row r="83" spans="2:6" ht="60" x14ac:dyDescent="0.25">
      <c r="B83">
        <v>1069</v>
      </c>
      <c r="C83" t="s">
        <v>203</v>
      </c>
      <c r="D83" t="s">
        <v>185</v>
      </c>
      <c r="E83" s="1" t="s">
        <v>233</v>
      </c>
      <c r="F83" t="s">
        <v>234</v>
      </c>
    </row>
    <row r="84" spans="2:6" ht="30" x14ac:dyDescent="0.25">
      <c r="B84">
        <v>1070</v>
      </c>
      <c r="C84" t="s">
        <v>197</v>
      </c>
      <c r="D84" t="s">
        <v>185</v>
      </c>
      <c r="E84" s="1" t="s">
        <v>230</v>
      </c>
      <c r="F84" t="s">
        <v>229</v>
      </c>
    </row>
    <row r="85" spans="2:6" x14ac:dyDescent="0.25">
      <c r="B85">
        <v>1071</v>
      </c>
      <c r="C85" t="s">
        <v>236</v>
      </c>
      <c r="D85" t="s">
        <v>235</v>
      </c>
      <c r="E85" s="1" t="s">
        <v>250</v>
      </c>
      <c r="F85" t="s">
        <v>251</v>
      </c>
    </row>
    <row r="86" spans="2:6" ht="30" x14ac:dyDescent="0.25">
      <c r="B86">
        <v>1072</v>
      </c>
      <c r="C86" t="s">
        <v>237</v>
      </c>
      <c r="D86" t="s">
        <v>235</v>
      </c>
      <c r="E86" s="1" t="s">
        <v>252</v>
      </c>
      <c r="F86" t="s">
        <v>253</v>
      </c>
    </row>
    <row r="87" spans="2:6" ht="30" x14ac:dyDescent="0.25">
      <c r="B87">
        <v>1073</v>
      </c>
      <c r="C87" t="s">
        <v>238</v>
      </c>
      <c r="D87" t="s">
        <v>235</v>
      </c>
      <c r="E87" s="1" t="s">
        <v>254</v>
      </c>
      <c r="F87" t="s">
        <v>48</v>
      </c>
    </row>
    <row r="88" spans="2:6" ht="45" x14ac:dyDescent="0.25">
      <c r="B88">
        <v>1074</v>
      </c>
      <c r="C88" t="s">
        <v>239</v>
      </c>
      <c r="D88" t="s">
        <v>235</v>
      </c>
      <c r="E88" s="1" t="s">
        <v>255</v>
      </c>
      <c r="F88" t="s">
        <v>256</v>
      </c>
    </row>
    <row r="89" spans="2:6" ht="30" x14ac:dyDescent="0.25">
      <c r="B89">
        <v>1075</v>
      </c>
      <c r="C89" t="s">
        <v>240</v>
      </c>
      <c r="D89" t="s">
        <v>235</v>
      </c>
      <c r="E89" s="1" t="s">
        <v>257</v>
      </c>
      <c r="F89" t="s">
        <v>61</v>
      </c>
    </row>
    <row r="90" spans="2:6" ht="30" x14ac:dyDescent="0.25">
      <c r="B90">
        <v>1076</v>
      </c>
      <c r="C90" t="s">
        <v>241</v>
      </c>
      <c r="D90" t="s">
        <v>235</v>
      </c>
      <c r="E90" s="1" t="s">
        <v>258</v>
      </c>
      <c r="F90" t="s">
        <v>61</v>
      </c>
    </row>
    <row r="91" spans="2:6" ht="45" x14ac:dyDescent="0.25">
      <c r="B91">
        <v>1077</v>
      </c>
      <c r="C91" t="s">
        <v>245</v>
      </c>
      <c r="D91" t="s">
        <v>235</v>
      </c>
      <c r="E91" s="1" t="s">
        <v>259</v>
      </c>
      <c r="F91" t="s">
        <v>260</v>
      </c>
    </row>
    <row r="92" spans="2:6" ht="45" x14ac:dyDescent="0.25">
      <c r="B92">
        <v>1078</v>
      </c>
      <c r="C92" t="s">
        <v>246</v>
      </c>
      <c r="D92" t="s">
        <v>235</v>
      </c>
      <c r="E92" s="1" t="s">
        <v>261</v>
      </c>
      <c r="F92" t="s">
        <v>262</v>
      </c>
    </row>
    <row r="93" spans="2:6" ht="30" x14ac:dyDescent="0.25">
      <c r="B93">
        <v>1079</v>
      </c>
      <c r="C93" t="s">
        <v>249</v>
      </c>
      <c r="D93" t="s">
        <v>235</v>
      </c>
      <c r="E93" s="1" t="s">
        <v>263</v>
      </c>
      <c r="F93" t="s">
        <v>264</v>
      </c>
    </row>
    <row r="94" spans="2:6" ht="45" x14ac:dyDescent="0.25">
      <c r="B94">
        <v>1080</v>
      </c>
      <c r="C94" t="s">
        <v>247</v>
      </c>
      <c r="D94" t="s">
        <v>235</v>
      </c>
      <c r="E94" s="1" t="s">
        <v>265</v>
      </c>
      <c r="F94" t="s">
        <v>266</v>
      </c>
    </row>
    <row r="95" spans="2:6" ht="60" x14ac:dyDescent="0.25">
      <c r="B95">
        <v>1081</v>
      </c>
      <c r="C95" t="s">
        <v>248</v>
      </c>
      <c r="D95" t="s">
        <v>235</v>
      </c>
      <c r="E95" s="1" t="s">
        <v>271</v>
      </c>
      <c r="F95" t="s">
        <v>267</v>
      </c>
    </row>
    <row r="96" spans="2:6" ht="60" x14ac:dyDescent="0.25">
      <c r="B96">
        <v>1082</v>
      </c>
      <c r="C96" t="s">
        <v>244</v>
      </c>
      <c r="D96" t="s">
        <v>235</v>
      </c>
      <c r="E96" s="1" t="s">
        <v>272</v>
      </c>
      <c r="F96" t="s">
        <v>268</v>
      </c>
    </row>
    <row r="97" spans="2:6" ht="60" x14ac:dyDescent="0.25">
      <c r="B97">
        <v>1083</v>
      </c>
      <c r="C97" t="s">
        <v>242</v>
      </c>
      <c r="D97" t="s">
        <v>235</v>
      </c>
      <c r="E97" s="1" t="s">
        <v>273</v>
      </c>
      <c r="F97" t="s">
        <v>269</v>
      </c>
    </row>
    <row r="98" spans="2:6" ht="75" x14ac:dyDescent="0.25">
      <c r="B98">
        <v>1084</v>
      </c>
      <c r="C98" t="s">
        <v>243</v>
      </c>
      <c r="D98" t="s">
        <v>235</v>
      </c>
      <c r="E98" s="1" t="s">
        <v>274</v>
      </c>
      <c r="F98" t="s">
        <v>270</v>
      </c>
    </row>
    <row r="99" spans="2:6" ht="30" x14ac:dyDescent="0.25">
      <c r="B99">
        <v>1085</v>
      </c>
      <c r="C99" t="s">
        <v>276</v>
      </c>
      <c r="D99" t="s">
        <v>275</v>
      </c>
      <c r="E99" s="1" t="s">
        <v>313</v>
      </c>
      <c r="F99" t="s">
        <v>30</v>
      </c>
    </row>
    <row r="100" spans="2:6" ht="30" x14ac:dyDescent="0.25">
      <c r="B100">
        <v>1086</v>
      </c>
      <c r="C100" t="s">
        <v>277</v>
      </c>
      <c r="D100" t="s">
        <v>275</v>
      </c>
      <c r="E100" s="1" t="s">
        <v>314</v>
      </c>
      <c r="F100" t="s">
        <v>251</v>
      </c>
    </row>
    <row r="101" spans="2:6" ht="45" x14ac:dyDescent="0.25">
      <c r="B101">
        <v>1087</v>
      </c>
      <c r="C101" t="s">
        <v>278</v>
      </c>
      <c r="D101" t="s">
        <v>275</v>
      </c>
      <c r="E101" s="1" t="s">
        <v>315</v>
      </c>
      <c r="F101" t="s">
        <v>251</v>
      </c>
    </row>
    <row r="102" spans="2:6" ht="45" x14ac:dyDescent="0.25">
      <c r="B102">
        <v>1088</v>
      </c>
      <c r="C102" t="s">
        <v>279</v>
      </c>
      <c r="D102" t="s">
        <v>275</v>
      </c>
      <c r="E102" s="1" t="s">
        <v>316</v>
      </c>
      <c r="F102" t="s">
        <v>288</v>
      </c>
    </row>
    <row r="103" spans="2:6" ht="45" x14ac:dyDescent="0.25">
      <c r="B103">
        <v>1089</v>
      </c>
      <c r="C103" t="s">
        <v>280</v>
      </c>
      <c r="D103" t="s">
        <v>275</v>
      </c>
      <c r="E103" s="1" t="s">
        <v>317</v>
      </c>
      <c r="F103" t="s">
        <v>289</v>
      </c>
    </row>
    <row r="104" spans="2:6" ht="45" x14ac:dyDescent="0.25">
      <c r="B104">
        <v>1090</v>
      </c>
      <c r="C104" t="s">
        <v>281</v>
      </c>
      <c r="D104" t="s">
        <v>275</v>
      </c>
      <c r="E104" s="1" t="s">
        <v>318</v>
      </c>
      <c r="F104" t="s">
        <v>290</v>
      </c>
    </row>
    <row r="105" spans="2:6" ht="60" x14ac:dyDescent="0.25">
      <c r="B105">
        <v>1091</v>
      </c>
      <c r="C105" t="s">
        <v>284</v>
      </c>
      <c r="D105" t="s">
        <v>275</v>
      </c>
      <c r="E105" s="1" t="s">
        <v>328</v>
      </c>
      <c r="F105" t="s">
        <v>291</v>
      </c>
    </row>
    <row r="106" spans="2:6" ht="60" x14ac:dyDescent="0.25">
      <c r="B106">
        <v>1092</v>
      </c>
      <c r="C106" t="s">
        <v>285</v>
      </c>
      <c r="D106" t="s">
        <v>275</v>
      </c>
      <c r="E106" s="1" t="s">
        <v>329</v>
      </c>
      <c r="F106" t="s">
        <v>291</v>
      </c>
    </row>
    <row r="107" spans="2:6" ht="60" x14ac:dyDescent="0.25">
      <c r="B107">
        <v>1093</v>
      </c>
      <c r="C107" t="s">
        <v>286</v>
      </c>
      <c r="D107" t="s">
        <v>275</v>
      </c>
      <c r="E107" s="1" t="s">
        <v>330</v>
      </c>
      <c r="F107" t="s">
        <v>291</v>
      </c>
    </row>
    <row r="108" spans="2:6" ht="60" x14ac:dyDescent="0.25">
      <c r="B108">
        <v>1094</v>
      </c>
      <c r="C108" t="s">
        <v>287</v>
      </c>
      <c r="D108" t="s">
        <v>275</v>
      </c>
      <c r="E108" s="1" t="s">
        <v>331</v>
      </c>
      <c r="F108" t="s">
        <v>291</v>
      </c>
    </row>
    <row r="109" spans="2:6" ht="60" x14ac:dyDescent="0.25">
      <c r="B109">
        <v>1095</v>
      </c>
      <c r="C109" t="s">
        <v>282</v>
      </c>
      <c r="D109" t="s">
        <v>275</v>
      </c>
      <c r="E109" s="1" t="s">
        <v>319</v>
      </c>
      <c r="F109" t="s">
        <v>292</v>
      </c>
    </row>
    <row r="110" spans="2:6" ht="60" x14ac:dyDescent="0.25">
      <c r="B110">
        <v>1096</v>
      </c>
      <c r="C110" t="s">
        <v>283</v>
      </c>
      <c r="D110" t="s">
        <v>275</v>
      </c>
      <c r="E110" s="1" t="s">
        <v>320</v>
      </c>
      <c r="F110" t="s">
        <v>293</v>
      </c>
    </row>
    <row r="111" spans="2:6" ht="60" x14ac:dyDescent="0.25">
      <c r="B111">
        <v>1097</v>
      </c>
      <c r="C111" t="s">
        <v>294</v>
      </c>
      <c r="D111" t="s">
        <v>275</v>
      </c>
      <c r="E111" s="1" t="s">
        <v>332</v>
      </c>
      <c r="F111" t="s">
        <v>299</v>
      </c>
    </row>
    <row r="112" spans="2:6" ht="60" x14ac:dyDescent="0.25">
      <c r="B112">
        <v>1098</v>
      </c>
      <c r="C112" t="s">
        <v>295</v>
      </c>
      <c r="D112" t="s">
        <v>275</v>
      </c>
      <c r="E112" s="1" t="s">
        <v>333</v>
      </c>
      <c r="F112" t="s">
        <v>299</v>
      </c>
    </row>
    <row r="113" spans="2:6" ht="60" x14ac:dyDescent="0.25">
      <c r="B113">
        <v>1099</v>
      </c>
      <c r="C113" t="s">
        <v>296</v>
      </c>
      <c r="D113" t="s">
        <v>275</v>
      </c>
      <c r="E113" s="1" t="s">
        <v>334</v>
      </c>
      <c r="F113" t="s">
        <v>299</v>
      </c>
    </row>
    <row r="114" spans="2:6" ht="60" x14ac:dyDescent="0.25">
      <c r="B114">
        <v>1100</v>
      </c>
      <c r="C114" t="s">
        <v>297</v>
      </c>
      <c r="D114" t="s">
        <v>275</v>
      </c>
      <c r="E114" s="1" t="s">
        <v>335</v>
      </c>
      <c r="F114" t="s">
        <v>299</v>
      </c>
    </row>
    <row r="115" spans="2:6" ht="60" x14ac:dyDescent="0.25">
      <c r="B115">
        <v>1101</v>
      </c>
      <c r="C115" t="s">
        <v>302</v>
      </c>
      <c r="D115" t="s">
        <v>275</v>
      </c>
      <c r="E115" s="1" t="s">
        <v>321</v>
      </c>
      <c r="F115" t="s">
        <v>307</v>
      </c>
    </row>
    <row r="116" spans="2:6" ht="60" x14ac:dyDescent="0.25">
      <c r="B116">
        <v>1102</v>
      </c>
      <c r="C116" t="s">
        <v>303</v>
      </c>
      <c r="D116" t="s">
        <v>275</v>
      </c>
      <c r="E116" s="1" t="s">
        <v>322</v>
      </c>
      <c r="F116" t="s">
        <v>308</v>
      </c>
    </row>
    <row r="117" spans="2:6" ht="75" x14ac:dyDescent="0.25">
      <c r="B117">
        <v>1103</v>
      </c>
      <c r="C117" t="s">
        <v>305</v>
      </c>
      <c r="D117" t="s">
        <v>275</v>
      </c>
      <c r="E117" s="1" t="s">
        <v>323</v>
      </c>
      <c r="F117" t="s">
        <v>309</v>
      </c>
    </row>
    <row r="118" spans="2:6" ht="75" x14ac:dyDescent="0.25">
      <c r="B118">
        <v>1104</v>
      </c>
      <c r="C118" t="s">
        <v>301</v>
      </c>
      <c r="D118" t="s">
        <v>275</v>
      </c>
      <c r="E118" s="1" t="s">
        <v>324</v>
      </c>
      <c r="F118" t="s">
        <v>310</v>
      </c>
    </row>
    <row r="119" spans="2:6" ht="75" x14ac:dyDescent="0.25">
      <c r="B119">
        <v>1105</v>
      </c>
      <c r="C119" t="s">
        <v>306</v>
      </c>
      <c r="D119" t="s">
        <v>275</v>
      </c>
      <c r="E119" s="1" t="s">
        <v>325</v>
      </c>
      <c r="F119" t="s">
        <v>311</v>
      </c>
    </row>
    <row r="120" spans="2:6" ht="90" x14ac:dyDescent="0.25">
      <c r="B120">
        <v>1106</v>
      </c>
      <c r="C120" t="s">
        <v>304</v>
      </c>
      <c r="D120" t="s">
        <v>275</v>
      </c>
      <c r="E120" s="1" t="s">
        <v>326</v>
      </c>
      <c r="F120" t="s">
        <v>312</v>
      </c>
    </row>
    <row r="121" spans="2:6" ht="75" x14ac:dyDescent="0.25">
      <c r="B121">
        <v>1107</v>
      </c>
      <c r="C121" t="s">
        <v>298</v>
      </c>
      <c r="D121" t="s">
        <v>275</v>
      </c>
      <c r="E121" s="1" t="s">
        <v>327</v>
      </c>
      <c r="F121" t="s">
        <v>300</v>
      </c>
    </row>
    <row r="122" spans="2:6" x14ac:dyDescent="0.25">
      <c r="B122">
        <v>1108</v>
      </c>
      <c r="C122" t="s">
        <v>338</v>
      </c>
      <c r="D122" t="s">
        <v>337</v>
      </c>
      <c r="E122" s="1" t="s">
        <v>364</v>
      </c>
      <c r="F122" t="s">
        <v>30</v>
      </c>
    </row>
    <row r="123" spans="2:6" x14ac:dyDescent="0.25">
      <c r="B123">
        <v>1109</v>
      </c>
      <c r="C123" t="s">
        <v>344</v>
      </c>
      <c r="D123" t="s">
        <v>337</v>
      </c>
      <c r="E123" s="1" t="s">
        <v>367</v>
      </c>
      <c r="F123" t="s">
        <v>30</v>
      </c>
    </row>
    <row r="124" spans="2:6" x14ac:dyDescent="0.25">
      <c r="B124">
        <v>1110</v>
      </c>
      <c r="C124" t="s">
        <v>345</v>
      </c>
      <c r="D124" t="s">
        <v>337</v>
      </c>
      <c r="E124" s="1" t="s">
        <v>365</v>
      </c>
      <c r="F124" t="s">
        <v>251</v>
      </c>
    </row>
    <row r="125" spans="2:6" ht="45" x14ac:dyDescent="0.25">
      <c r="B125">
        <v>1111</v>
      </c>
      <c r="C125" t="s">
        <v>351</v>
      </c>
      <c r="D125" t="s">
        <v>337</v>
      </c>
      <c r="E125" s="1" t="s">
        <v>366</v>
      </c>
      <c r="F125" t="s">
        <v>353</v>
      </c>
    </row>
    <row r="126" spans="2:6" ht="45" x14ac:dyDescent="0.25">
      <c r="B126">
        <v>1112</v>
      </c>
      <c r="C126" t="s">
        <v>352</v>
      </c>
      <c r="D126" t="s">
        <v>337</v>
      </c>
      <c r="E126" s="1" t="s">
        <v>368</v>
      </c>
      <c r="F126" t="s">
        <v>354</v>
      </c>
    </row>
    <row r="127" spans="2:6" ht="30" x14ac:dyDescent="0.25">
      <c r="B127">
        <v>1113</v>
      </c>
      <c r="C127" t="s">
        <v>339</v>
      </c>
      <c r="D127" t="s">
        <v>337</v>
      </c>
      <c r="E127" s="1" t="s">
        <v>369</v>
      </c>
      <c r="F127" t="s">
        <v>355</v>
      </c>
    </row>
    <row r="128" spans="2:6" ht="30" x14ac:dyDescent="0.25">
      <c r="B128">
        <v>1114</v>
      </c>
      <c r="C128" t="s">
        <v>343</v>
      </c>
      <c r="D128" t="s">
        <v>337</v>
      </c>
      <c r="E128" s="1" t="s">
        <v>370</v>
      </c>
      <c r="F128" t="s">
        <v>48</v>
      </c>
    </row>
    <row r="129" spans="2:6" ht="30" x14ac:dyDescent="0.25">
      <c r="B129">
        <v>1115</v>
      </c>
      <c r="C129" t="s">
        <v>350</v>
      </c>
      <c r="D129" t="s">
        <v>337</v>
      </c>
      <c r="E129" s="1" t="s">
        <v>371</v>
      </c>
      <c r="F129" t="s">
        <v>356</v>
      </c>
    </row>
    <row r="130" spans="2:6" ht="45" x14ac:dyDescent="0.25">
      <c r="B130">
        <v>1116</v>
      </c>
      <c r="C130" t="s">
        <v>340</v>
      </c>
      <c r="D130" t="s">
        <v>337</v>
      </c>
      <c r="E130" s="1" t="s">
        <v>372</v>
      </c>
      <c r="F130" t="s">
        <v>357</v>
      </c>
    </row>
    <row r="131" spans="2:6" ht="45" x14ac:dyDescent="0.25">
      <c r="B131">
        <v>1117</v>
      </c>
      <c r="C131" t="s">
        <v>346</v>
      </c>
      <c r="D131" t="s">
        <v>337</v>
      </c>
      <c r="E131" s="1" t="s">
        <v>373</v>
      </c>
      <c r="F131" t="s">
        <v>358</v>
      </c>
    </row>
    <row r="132" spans="2:6" ht="60" x14ac:dyDescent="0.25">
      <c r="B132">
        <v>1118</v>
      </c>
      <c r="C132" t="s">
        <v>349</v>
      </c>
      <c r="D132" t="s">
        <v>337</v>
      </c>
      <c r="E132" s="1" t="s">
        <v>374</v>
      </c>
      <c r="F132" t="s">
        <v>359</v>
      </c>
    </row>
    <row r="133" spans="2:6" ht="60" x14ac:dyDescent="0.25">
      <c r="B133">
        <v>1119</v>
      </c>
      <c r="C133" t="s">
        <v>341</v>
      </c>
      <c r="D133" t="s">
        <v>337</v>
      </c>
      <c r="E133" s="1" t="s">
        <v>375</v>
      </c>
      <c r="F133" t="s">
        <v>360</v>
      </c>
    </row>
    <row r="134" spans="2:6" ht="75" x14ac:dyDescent="0.25">
      <c r="B134">
        <v>1120</v>
      </c>
      <c r="C134" t="s">
        <v>348</v>
      </c>
      <c r="D134" t="s">
        <v>337</v>
      </c>
      <c r="E134" s="1" t="s">
        <v>376</v>
      </c>
      <c r="F134" t="s">
        <v>361</v>
      </c>
    </row>
    <row r="135" spans="2:6" ht="60" x14ac:dyDescent="0.25">
      <c r="B135">
        <v>1121</v>
      </c>
      <c r="C135" t="s">
        <v>347</v>
      </c>
      <c r="D135" t="s">
        <v>337</v>
      </c>
      <c r="E135" s="1" t="s">
        <v>377</v>
      </c>
      <c r="F135" t="s">
        <v>362</v>
      </c>
    </row>
    <row r="136" spans="2:6" ht="60" x14ac:dyDescent="0.25">
      <c r="B136">
        <v>1122</v>
      </c>
      <c r="C136" t="s">
        <v>342</v>
      </c>
      <c r="D136" t="s">
        <v>337</v>
      </c>
      <c r="E136" s="1" t="s">
        <v>378</v>
      </c>
      <c r="F136" t="s">
        <v>363</v>
      </c>
    </row>
    <row r="137" spans="2:6" ht="30" x14ac:dyDescent="0.25">
      <c r="B137">
        <v>1123</v>
      </c>
      <c r="C137" t="s">
        <v>387</v>
      </c>
      <c r="D137" t="s">
        <v>379</v>
      </c>
      <c r="E137" s="1" t="s">
        <v>397</v>
      </c>
      <c r="F137" t="s">
        <v>48</v>
      </c>
    </row>
    <row r="138" spans="2:6" ht="45" x14ac:dyDescent="0.25">
      <c r="B138">
        <v>1124</v>
      </c>
      <c r="C138" t="s">
        <v>388</v>
      </c>
      <c r="D138" t="s">
        <v>379</v>
      </c>
      <c r="E138" s="1" t="s">
        <v>398</v>
      </c>
      <c r="F138" t="s">
        <v>61</v>
      </c>
    </row>
    <row r="139" spans="2:6" ht="30" x14ac:dyDescent="0.25">
      <c r="B139">
        <v>1125</v>
      </c>
      <c r="C139" t="s">
        <v>389</v>
      </c>
      <c r="D139" t="s">
        <v>379</v>
      </c>
      <c r="E139" s="1" t="s">
        <v>399</v>
      </c>
      <c r="F139" t="s">
        <v>61</v>
      </c>
    </row>
    <row r="140" spans="2:6" ht="45" x14ac:dyDescent="0.25">
      <c r="B140">
        <v>1126</v>
      </c>
      <c r="C140" t="s">
        <v>390</v>
      </c>
      <c r="D140" t="s">
        <v>379</v>
      </c>
      <c r="E140" s="1" t="s">
        <v>400</v>
      </c>
      <c r="F140" t="s">
        <v>159</v>
      </c>
    </row>
    <row r="141" spans="2:6" ht="45" x14ac:dyDescent="0.25">
      <c r="B141">
        <v>1127</v>
      </c>
      <c r="C141" t="s">
        <v>391</v>
      </c>
      <c r="D141" t="s">
        <v>379</v>
      </c>
      <c r="E141" s="1" t="s">
        <v>401</v>
      </c>
      <c r="F141" t="s">
        <v>159</v>
      </c>
    </row>
    <row r="142" spans="2:6" ht="30" x14ac:dyDescent="0.25">
      <c r="B142">
        <v>1128</v>
      </c>
      <c r="C142" t="s">
        <v>382</v>
      </c>
      <c r="D142" t="s">
        <v>379</v>
      </c>
      <c r="E142" s="1" t="s">
        <v>402</v>
      </c>
      <c r="F142" t="s">
        <v>78</v>
      </c>
    </row>
    <row r="143" spans="2:6" ht="60" x14ac:dyDescent="0.25">
      <c r="B143">
        <v>1129</v>
      </c>
      <c r="C143" t="s">
        <v>386</v>
      </c>
      <c r="D143" t="s">
        <v>379</v>
      </c>
      <c r="E143" s="1" t="s">
        <v>403</v>
      </c>
      <c r="F143" t="s">
        <v>392</v>
      </c>
    </row>
    <row r="144" spans="2:6" ht="30" x14ac:dyDescent="0.25">
      <c r="B144">
        <v>1130</v>
      </c>
      <c r="C144" t="s">
        <v>383</v>
      </c>
      <c r="D144" t="s">
        <v>379</v>
      </c>
      <c r="E144" s="1" t="s">
        <v>404</v>
      </c>
      <c r="F144" t="s">
        <v>393</v>
      </c>
    </row>
    <row r="145" spans="2:6" ht="45" x14ac:dyDescent="0.25">
      <c r="B145">
        <v>1131</v>
      </c>
      <c r="C145" t="s">
        <v>380</v>
      </c>
      <c r="D145" t="s">
        <v>379</v>
      </c>
      <c r="E145" s="1" t="s">
        <v>405</v>
      </c>
      <c r="F145" t="s">
        <v>394</v>
      </c>
    </row>
    <row r="146" spans="2:6" ht="60" x14ac:dyDescent="0.25">
      <c r="B146">
        <v>1132</v>
      </c>
      <c r="C146" t="s">
        <v>381</v>
      </c>
      <c r="D146" t="s">
        <v>379</v>
      </c>
      <c r="E146" s="1" t="s">
        <v>406</v>
      </c>
      <c r="F146" t="s">
        <v>395</v>
      </c>
    </row>
    <row r="147" spans="2:6" ht="45" x14ac:dyDescent="0.25">
      <c r="B147">
        <v>1133</v>
      </c>
      <c r="C147" t="s">
        <v>385</v>
      </c>
      <c r="D147" t="s">
        <v>379</v>
      </c>
      <c r="E147" s="1" t="s">
        <v>407</v>
      </c>
      <c r="F147" t="s">
        <v>409</v>
      </c>
    </row>
    <row r="148" spans="2:6" ht="45" x14ac:dyDescent="0.25">
      <c r="B148">
        <v>1134</v>
      </c>
      <c r="C148" t="s">
        <v>384</v>
      </c>
      <c r="D148" t="s">
        <v>379</v>
      </c>
      <c r="E148" s="1" t="s">
        <v>408</v>
      </c>
      <c r="F148" t="s">
        <v>396</v>
      </c>
    </row>
    <row r="149" spans="2:6" ht="30" x14ac:dyDescent="0.25">
      <c r="B149">
        <v>1135</v>
      </c>
      <c r="C149" t="s">
        <v>411</v>
      </c>
      <c r="D149" t="s">
        <v>410</v>
      </c>
      <c r="E149" s="1" t="s">
        <v>434</v>
      </c>
      <c r="F149" t="s">
        <v>29</v>
      </c>
    </row>
    <row r="150" spans="2:6" ht="30" x14ac:dyDescent="0.25">
      <c r="B150">
        <v>1136</v>
      </c>
      <c r="C150" t="s">
        <v>412</v>
      </c>
      <c r="D150" t="s">
        <v>410</v>
      </c>
      <c r="E150" s="1" t="s">
        <v>435</v>
      </c>
      <c r="F150" t="s">
        <v>29</v>
      </c>
    </row>
    <row r="151" spans="2:6" ht="45" x14ac:dyDescent="0.25">
      <c r="B151">
        <v>1137</v>
      </c>
      <c r="C151" t="s">
        <v>436</v>
      </c>
      <c r="D151" t="s">
        <v>410</v>
      </c>
      <c r="E151" s="1" t="s">
        <v>437</v>
      </c>
      <c r="F151" t="s">
        <v>29</v>
      </c>
    </row>
    <row r="152" spans="2:6" ht="45" x14ac:dyDescent="0.25">
      <c r="B152">
        <v>1138</v>
      </c>
      <c r="C152" t="s">
        <v>414</v>
      </c>
      <c r="D152" t="s">
        <v>410</v>
      </c>
      <c r="E152" s="1" t="s">
        <v>440</v>
      </c>
      <c r="F152" t="s">
        <v>439</v>
      </c>
    </row>
    <row r="153" spans="2:6" ht="30" x14ac:dyDescent="0.25">
      <c r="B153">
        <v>1139</v>
      </c>
      <c r="C153" t="s">
        <v>423</v>
      </c>
      <c r="D153" t="s">
        <v>410</v>
      </c>
      <c r="E153" s="1" t="s">
        <v>442</v>
      </c>
      <c r="F153" t="s">
        <v>441</v>
      </c>
    </row>
    <row r="154" spans="2:6" ht="45" x14ac:dyDescent="0.25">
      <c r="B154">
        <v>1140</v>
      </c>
      <c r="C154" t="s">
        <v>430</v>
      </c>
      <c r="D154" t="s">
        <v>410</v>
      </c>
      <c r="E154" s="1" t="s">
        <v>438</v>
      </c>
      <c r="F154" t="s">
        <v>251</v>
      </c>
    </row>
    <row r="155" spans="2:6" ht="30" x14ac:dyDescent="0.25">
      <c r="B155">
        <v>1141</v>
      </c>
      <c r="C155" t="s">
        <v>429</v>
      </c>
      <c r="D155" t="s">
        <v>410</v>
      </c>
      <c r="E155" s="1" t="s">
        <v>446</v>
      </c>
      <c r="F155" t="s">
        <v>443</v>
      </c>
    </row>
    <row r="156" spans="2:6" ht="60" x14ac:dyDescent="0.25">
      <c r="B156">
        <v>1142</v>
      </c>
      <c r="C156" t="s">
        <v>413</v>
      </c>
      <c r="D156" t="s">
        <v>410</v>
      </c>
      <c r="E156" s="1" t="s">
        <v>447</v>
      </c>
      <c r="F156" t="s">
        <v>444</v>
      </c>
    </row>
    <row r="157" spans="2:6" ht="60" x14ac:dyDescent="0.25">
      <c r="B157">
        <v>1143</v>
      </c>
      <c r="C157" t="s">
        <v>418</v>
      </c>
      <c r="D157" t="s">
        <v>410</v>
      </c>
      <c r="E157" s="1" t="s">
        <v>448</v>
      </c>
      <c r="F157" t="s">
        <v>445</v>
      </c>
    </row>
    <row r="158" spans="2:6" ht="60" x14ac:dyDescent="0.25">
      <c r="B158">
        <v>1144</v>
      </c>
      <c r="C158" t="s">
        <v>431</v>
      </c>
      <c r="D158" t="s">
        <v>410</v>
      </c>
      <c r="E158" s="1" t="s">
        <v>449</v>
      </c>
      <c r="F158" t="s">
        <v>61</v>
      </c>
    </row>
    <row r="159" spans="2:6" ht="75" x14ac:dyDescent="0.25">
      <c r="B159">
        <v>1145</v>
      </c>
      <c r="C159" t="s">
        <v>420</v>
      </c>
      <c r="D159" t="s">
        <v>410</v>
      </c>
      <c r="E159" s="1" t="s">
        <v>451</v>
      </c>
      <c r="F159" t="s">
        <v>450</v>
      </c>
    </row>
    <row r="160" spans="2:6" ht="60" x14ac:dyDescent="0.25">
      <c r="B160">
        <v>1146</v>
      </c>
      <c r="C160" t="s">
        <v>432</v>
      </c>
      <c r="D160" t="s">
        <v>410</v>
      </c>
      <c r="E160" s="1" t="s">
        <v>453</v>
      </c>
      <c r="F160" t="s">
        <v>452</v>
      </c>
    </row>
    <row r="161" spans="2:6" ht="45" x14ac:dyDescent="0.25">
      <c r="B161">
        <v>1147</v>
      </c>
      <c r="C161" t="s">
        <v>415</v>
      </c>
      <c r="D161" t="s">
        <v>410</v>
      </c>
      <c r="E161" s="1" t="s">
        <v>455</v>
      </c>
      <c r="F161" t="s">
        <v>454</v>
      </c>
    </row>
    <row r="162" spans="2:6" ht="60" x14ac:dyDescent="0.25">
      <c r="B162">
        <v>1148</v>
      </c>
      <c r="C162" t="s">
        <v>424</v>
      </c>
      <c r="D162" t="s">
        <v>410</v>
      </c>
      <c r="E162" s="1" t="s">
        <v>464</v>
      </c>
      <c r="F162" t="s">
        <v>456</v>
      </c>
    </row>
    <row r="163" spans="2:6" ht="60" x14ac:dyDescent="0.25">
      <c r="B163">
        <v>1149</v>
      </c>
      <c r="C163" t="s">
        <v>421</v>
      </c>
      <c r="D163" t="s">
        <v>410</v>
      </c>
      <c r="E163" s="1" t="s">
        <v>458</v>
      </c>
      <c r="F163" t="s">
        <v>457</v>
      </c>
    </row>
    <row r="164" spans="2:6" ht="60" x14ac:dyDescent="0.25">
      <c r="B164">
        <v>1150</v>
      </c>
      <c r="C164" t="s">
        <v>416</v>
      </c>
      <c r="D164" t="s">
        <v>410</v>
      </c>
      <c r="E164" s="1" t="s">
        <v>460</v>
      </c>
      <c r="F164" t="s">
        <v>459</v>
      </c>
    </row>
    <row r="165" spans="2:6" ht="60" x14ac:dyDescent="0.25">
      <c r="B165">
        <v>1151</v>
      </c>
      <c r="C165" t="s">
        <v>433</v>
      </c>
      <c r="D165" t="s">
        <v>410</v>
      </c>
      <c r="E165" s="1" t="s">
        <v>462</v>
      </c>
      <c r="F165" t="s">
        <v>461</v>
      </c>
    </row>
    <row r="166" spans="2:6" ht="90" x14ac:dyDescent="0.25">
      <c r="B166">
        <v>1152</v>
      </c>
      <c r="C166" t="s">
        <v>427</v>
      </c>
      <c r="D166" t="s">
        <v>410</v>
      </c>
      <c r="E166" s="1" t="s">
        <v>465</v>
      </c>
      <c r="F166" t="s">
        <v>463</v>
      </c>
    </row>
    <row r="167" spans="2:6" ht="75" x14ac:dyDescent="0.25">
      <c r="B167">
        <v>1153</v>
      </c>
      <c r="C167" t="s">
        <v>428</v>
      </c>
      <c r="D167" t="s">
        <v>410</v>
      </c>
      <c r="E167" s="1" t="s">
        <v>467</v>
      </c>
      <c r="F167" t="s">
        <v>466</v>
      </c>
    </row>
    <row r="168" spans="2:6" ht="75" x14ac:dyDescent="0.25">
      <c r="B168">
        <v>1154</v>
      </c>
      <c r="C168" t="s">
        <v>419</v>
      </c>
      <c r="D168" t="s">
        <v>410</v>
      </c>
      <c r="E168" s="1" t="s">
        <v>469</v>
      </c>
      <c r="F168" t="s">
        <v>468</v>
      </c>
    </row>
    <row r="169" spans="2:6" ht="75" x14ac:dyDescent="0.25">
      <c r="B169">
        <v>1155</v>
      </c>
      <c r="C169" t="s">
        <v>417</v>
      </c>
      <c r="D169" t="s">
        <v>410</v>
      </c>
      <c r="E169" s="1" t="s">
        <v>471</v>
      </c>
      <c r="F169" t="s">
        <v>470</v>
      </c>
    </row>
    <row r="170" spans="2:6" ht="90" x14ac:dyDescent="0.25">
      <c r="B170">
        <v>1156</v>
      </c>
      <c r="C170" t="s">
        <v>422</v>
      </c>
      <c r="D170" t="s">
        <v>410</v>
      </c>
      <c r="E170" s="1" t="s">
        <v>473</v>
      </c>
      <c r="F170" t="s">
        <v>472</v>
      </c>
    </row>
    <row r="171" spans="2:6" ht="90" x14ac:dyDescent="0.25">
      <c r="B171">
        <v>1157</v>
      </c>
      <c r="C171" t="s">
        <v>426</v>
      </c>
      <c r="D171" t="s">
        <v>410</v>
      </c>
      <c r="E171" s="1" t="s">
        <v>475</v>
      </c>
      <c r="F171" t="s">
        <v>474</v>
      </c>
    </row>
    <row r="172" spans="2:6" ht="30" x14ac:dyDescent="0.25">
      <c r="B172">
        <v>1158</v>
      </c>
      <c r="C172" t="s">
        <v>425</v>
      </c>
      <c r="D172" t="s">
        <v>410</v>
      </c>
      <c r="E172" s="1" t="s">
        <v>477</v>
      </c>
      <c r="F172" t="s">
        <v>476</v>
      </c>
    </row>
    <row r="173" spans="2:6" x14ac:dyDescent="0.25">
      <c r="B173">
        <v>1159</v>
      </c>
      <c r="C173" t="s">
        <v>479</v>
      </c>
      <c r="D173" t="s">
        <v>478</v>
      </c>
      <c r="E173" s="1" t="s">
        <v>485</v>
      </c>
      <c r="F173" t="s">
        <v>251</v>
      </c>
    </row>
    <row r="174" spans="2:6" x14ac:dyDescent="0.25">
      <c r="B174">
        <v>1160</v>
      </c>
      <c r="C174" t="s">
        <v>480</v>
      </c>
      <c r="D174" t="s">
        <v>478</v>
      </c>
      <c r="E174" s="1" t="s">
        <v>486</v>
      </c>
      <c r="F174" t="s">
        <v>251</v>
      </c>
    </row>
    <row r="175" spans="2:6" ht="30" x14ac:dyDescent="0.25">
      <c r="B175">
        <v>1161</v>
      </c>
      <c r="C175" t="s">
        <v>481</v>
      </c>
      <c r="D175" t="s">
        <v>478</v>
      </c>
      <c r="E175" s="1" t="s">
        <v>487</v>
      </c>
      <c r="F175" t="s">
        <v>48</v>
      </c>
    </row>
    <row r="176" spans="2:6" ht="30" x14ac:dyDescent="0.25">
      <c r="B176">
        <v>1162</v>
      </c>
      <c r="C176" t="s">
        <v>482</v>
      </c>
      <c r="D176" t="s">
        <v>478</v>
      </c>
      <c r="E176" s="1" t="s">
        <v>488</v>
      </c>
      <c r="F176" t="s">
        <v>491</v>
      </c>
    </row>
    <row r="177" spans="2:6" ht="45" x14ac:dyDescent="0.25">
      <c r="B177">
        <v>1163</v>
      </c>
      <c r="C177" t="s">
        <v>483</v>
      </c>
      <c r="D177" t="s">
        <v>478</v>
      </c>
      <c r="E177" s="1" t="s">
        <v>489</v>
      </c>
      <c r="F177" t="s">
        <v>490</v>
      </c>
    </row>
    <row r="178" spans="2:6" ht="60" x14ac:dyDescent="0.25">
      <c r="B178">
        <v>1164</v>
      </c>
      <c r="C178" t="s">
        <v>492</v>
      </c>
      <c r="D178" t="s">
        <v>478</v>
      </c>
      <c r="E178" s="1" t="s">
        <v>493</v>
      </c>
      <c r="F178" t="s">
        <v>494</v>
      </c>
    </row>
    <row r="179" spans="2:6" ht="45" x14ac:dyDescent="0.25">
      <c r="B179">
        <v>1165</v>
      </c>
      <c r="C179" t="s">
        <v>484</v>
      </c>
      <c r="D179" t="s">
        <v>478</v>
      </c>
      <c r="E179" s="1" t="s">
        <v>496</v>
      </c>
      <c r="F179" t="s">
        <v>495</v>
      </c>
    </row>
    <row r="180" spans="2:6" ht="45" x14ac:dyDescent="0.25">
      <c r="B180">
        <v>1166</v>
      </c>
      <c r="C180" t="s">
        <v>508</v>
      </c>
      <c r="D180" t="s">
        <v>478</v>
      </c>
      <c r="E180" s="1" t="s">
        <v>497</v>
      </c>
      <c r="F180" t="s">
        <v>501</v>
      </c>
    </row>
    <row r="181" spans="2:6" ht="45" x14ac:dyDescent="0.25">
      <c r="B181">
        <v>1167</v>
      </c>
      <c r="C181" t="s">
        <v>498</v>
      </c>
      <c r="D181" t="s">
        <v>478</v>
      </c>
      <c r="E181" s="1" t="s">
        <v>499</v>
      </c>
      <c r="F181" t="s">
        <v>500</v>
      </c>
    </row>
    <row r="182" spans="2:6" ht="45" x14ac:dyDescent="0.25">
      <c r="B182">
        <v>1168</v>
      </c>
      <c r="C182" t="s">
        <v>502</v>
      </c>
      <c r="D182" t="s">
        <v>478</v>
      </c>
      <c r="E182" s="1" t="s">
        <v>503</v>
      </c>
      <c r="F182" t="s">
        <v>504</v>
      </c>
    </row>
    <row r="183" spans="2:6" ht="75" x14ac:dyDescent="0.25">
      <c r="B183">
        <v>1169</v>
      </c>
      <c r="C183" t="s">
        <v>505</v>
      </c>
      <c r="D183" t="s">
        <v>478</v>
      </c>
      <c r="E183" s="1" t="s">
        <v>506</v>
      </c>
      <c r="F183" t="s">
        <v>507</v>
      </c>
    </row>
    <row r="184" spans="2:6" ht="45" x14ac:dyDescent="0.25">
      <c r="B184">
        <v>1170</v>
      </c>
      <c r="C184" t="s">
        <v>510</v>
      </c>
      <c r="D184" t="s">
        <v>509</v>
      </c>
      <c r="E184" s="1" t="s">
        <v>529</v>
      </c>
      <c r="F184" t="s">
        <v>29</v>
      </c>
    </row>
    <row r="185" spans="2:6" ht="45" x14ac:dyDescent="0.25">
      <c r="B185">
        <v>1171</v>
      </c>
      <c r="C185" t="s">
        <v>516</v>
      </c>
      <c r="D185" t="s">
        <v>509</v>
      </c>
      <c r="E185" s="1" t="s">
        <v>530</v>
      </c>
      <c r="F185" t="s">
        <v>29</v>
      </c>
    </row>
    <row r="186" spans="2:6" ht="45" x14ac:dyDescent="0.25">
      <c r="B186">
        <v>1172</v>
      </c>
      <c r="C186" t="s">
        <v>511</v>
      </c>
      <c r="D186" t="s">
        <v>509</v>
      </c>
      <c r="E186" s="1" t="s">
        <v>531</v>
      </c>
      <c r="F186" t="s">
        <v>532</v>
      </c>
    </row>
    <row r="187" spans="2:6" ht="45" x14ac:dyDescent="0.25">
      <c r="B187">
        <v>1173</v>
      </c>
      <c r="C187" t="s">
        <v>515</v>
      </c>
      <c r="D187" t="s">
        <v>509</v>
      </c>
      <c r="E187" s="1" t="s">
        <v>533</v>
      </c>
      <c r="F187" t="s">
        <v>534</v>
      </c>
    </row>
    <row r="188" spans="2:6" ht="30" x14ac:dyDescent="0.25">
      <c r="B188">
        <v>1174</v>
      </c>
      <c r="C188" t="s">
        <v>512</v>
      </c>
      <c r="D188" t="s">
        <v>509</v>
      </c>
      <c r="E188" s="1" t="s">
        <v>535</v>
      </c>
      <c r="F188" t="s">
        <v>251</v>
      </c>
    </row>
    <row r="189" spans="2:6" ht="30" x14ac:dyDescent="0.25">
      <c r="B189">
        <v>1175</v>
      </c>
      <c r="C189" t="s">
        <v>521</v>
      </c>
      <c r="D189" t="s">
        <v>509</v>
      </c>
      <c r="E189" s="1" t="s">
        <v>537</v>
      </c>
      <c r="F189" t="s">
        <v>251</v>
      </c>
    </row>
    <row r="190" spans="2:6" ht="60" x14ac:dyDescent="0.25">
      <c r="B190">
        <v>1176</v>
      </c>
      <c r="C190" t="s">
        <v>513</v>
      </c>
      <c r="D190" t="s">
        <v>509</v>
      </c>
      <c r="E190" s="1" t="s">
        <v>538</v>
      </c>
      <c r="F190" t="s">
        <v>539</v>
      </c>
    </row>
    <row r="191" spans="2:6" ht="45" x14ac:dyDescent="0.25">
      <c r="B191">
        <v>1177</v>
      </c>
      <c r="C191" t="s">
        <v>524</v>
      </c>
      <c r="D191" t="s">
        <v>509</v>
      </c>
      <c r="E191" s="1" t="s">
        <v>540</v>
      </c>
      <c r="F191" t="s">
        <v>541</v>
      </c>
    </row>
    <row r="192" spans="2:6" ht="45" x14ac:dyDescent="0.25">
      <c r="B192">
        <v>1178</v>
      </c>
      <c r="C192" t="s">
        <v>520</v>
      </c>
      <c r="D192" t="s">
        <v>509</v>
      </c>
      <c r="E192" s="1" t="s">
        <v>542</v>
      </c>
      <c r="F192" t="s">
        <v>48</v>
      </c>
    </row>
    <row r="193" spans="2:6" ht="60" x14ac:dyDescent="0.25">
      <c r="B193">
        <v>1179</v>
      </c>
      <c r="C193" t="s">
        <v>543</v>
      </c>
      <c r="D193" t="s">
        <v>509</v>
      </c>
      <c r="E193" s="1" t="s">
        <v>544</v>
      </c>
      <c r="F193" t="s">
        <v>545</v>
      </c>
    </row>
    <row r="194" spans="2:6" ht="45" x14ac:dyDescent="0.25">
      <c r="B194">
        <v>1180</v>
      </c>
      <c r="C194" t="s">
        <v>514</v>
      </c>
      <c r="D194" t="s">
        <v>509</v>
      </c>
      <c r="E194" s="1" t="s">
        <v>546</v>
      </c>
      <c r="F194" t="s">
        <v>547</v>
      </c>
    </row>
    <row r="195" spans="2:6" ht="45" x14ac:dyDescent="0.25">
      <c r="B195">
        <v>1181</v>
      </c>
      <c r="C195" t="s">
        <v>536</v>
      </c>
      <c r="D195" t="s">
        <v>509</v>
      </c>
      <c r="E195" s="1" t="s">
        <v>548</v>
      </c>
      <c r="F195" t="s">
        <v>549</v>
      </c>
    </row>
    <row r="196" spans="2:6" ht="60" x14ac:dyDescent="0.25">
      <c r="B196">
        <v>1182</v>
      </c>
      <c r="C196" t="s">
        <v>517</v>
      </c>
      <c r="D196" t="s">
        <v>509</v>
      </c>
      <c r="E196" s="1" t="s">
        <v>550</v>
      </c>
      <c r="F196" t="s">
        <v>551</v>
      </c>
    </row>
    <row r="197" spans="2:6" ht="60" x14ac:dyDescent="0.25">
      <c r="B197">
        <v>1183</v>
      </c>
      <c r="C197" t="s">
        <v>525</v>
      </c>
      <c r="D197" t="s">
        <v>509</v>
      </c>
      <c r="E197" s="1" t="s">
        <v>552</v>
      </c>
      <c r="F197" t="s">
        <v>553</v>
      </c>
    </row>
    <row r="198" spans="2:6" ht="45" x14ac:dyDescent="0.25">
      <c r="B198">
        <v>1184</v>
      </c>
      <c r="C198" t="s">
        <v>522</v>
      </c>
      <c r="D198" t="s">
        <v>509</v>
      </c>
      <c r="E198" s="1" t="s">
        <v>554</v>
      </c>
      <c r="F198" t="s">
        <v>555</v>
      </c>
    </row>
    <row r="199" spans="2:6" ht="45" x14ac:dyDescent="0.25">
      <c r="B199">
        <v>1185</v>
      </c>
      <c r="C199" t="s">
        <v>556</v>
      </c>
      <c r="D199" t="s">
        <v>509</v>
      </c>
      <c r="E199" s="1" t="s">
        <v>557</v>
      </c>
      <c r="F199" t="s">
        <v>558</v>
      </c>
    </row>
    <row r="200" spans="2:6" ht="90" x14ac:dyDescent="0.25">
      <c r="B200">
        <v>1186</v>
      </c>
      <c r="C200" t="s">
        <v>519</v>
      </c>
      <c r="D200" t="s">
        <v>509</v>
      </c>
      <c r="E200" s="1" t="s">
        <v>559</v>
      </c>
      <c r="F200" t="s">
        <v>560</v>
      </c>
    </row>
    <row r="201" spans="2:6" ht="60" x14ac:dyDescent="0.25">
      <c r="B201">
        <v>1187</v>
      </c>
      <c r="C201" t="s">
        <v>527</v>
      </c>
      <c r="D201" t="s">
        <v>509</v>
      </c>
      <c r="E201" s="1" t="s">
        <v>561</v>
      </c>
      <c r="F201" t="s">
        <v>562</v>
      </c>
    </row>
    <row r="202" spans="2:6" ht="60" x14ac:dyDescent="0.25">
      <c r="B202">
        <v>1188</v>
      </c>
      <c r="C202" t="s">
        <v>523</v>
      </c>
      <c r="D202" t="s">
        <v>509</v>
      </c>
      <c r="E202" s="1" t="s">
        <v>563</v>
      </c>
      <c r="F202" t="s">
        <v>564</v>
      </c>
    </row>
    <row r="203" spans="2:6" ht="60" x14ac:dyDescent="0.25">
      <c r="B203">
        <v>1189</v>
      </c>
      <c r="C203" t="s">
        <v>518</v>
      </c>
      <c r="D203" t="s">
        <v>509</v>
      </c>
      <c r="E203" s="1" t="s">
        <v>565</v>
      </c>
      <c r="F203" t="s">
        <v>566</v>
      </c>
    </row>
    <row r="204" spans="2:6" ht="105" x14ac:dyDescent="0.25">
      <c r="B204">
        <v>1190</v>
      </c>
      <c r="C204" t="s">
        <v>528</v>
      </c>
      <c r="D204" t="s">
        <v>509</v>
      </c>
      <c r="E204" s="1" t="s">
        <v>567</v>
      </c>
      <c r="F204" t="s">
        <v>568</v>
      </c>
    </row>
    <row r="205" spans="2:6" ht="105" x14ac:dyDescent="0.25">
      <c r="B205">
        <v>1191</v>
      </c>
      <c r="C205" t="s">
        <v>526</v>
      </c>
      <c r="D205" t="s">
        <v>509</v>
      </c>
      <c r="E205" s="1" t="s">
        <v>569</v>
      </c>
      <c r="F205" t="s">
        <v>570</v>
      </c>
    </row>
    <row r="206" spans="2:6" ht="30" x14ac:dyDescent="0.25">
      <c r="B206">
        <v>1192</v>
      </c>
      <c r="C206" t="s">
        <v>583</v>
      </c>
      <c r="D206" t="s">
        <v>571</v>
      </c>
      <c r="E206" s="1" t="s">
        <v>584</v>
      </c>
      <c r="F206" t="s">
        <v>251</v>
      </c>
    </row>
    <row r="207" spans="2:6" ht="45" x14ac:dyDescent="0.25">
      <c r="B207">
        <v>1193</v>
      </c>
      <c r="C207" t="s">
        <v>572</v>
      </c>
      <c r="D207" t="s">
        <v>571</v>
      </c>
      <c r="E207" s="1" t="s">
        <v>585</v>
      </c>
      <c r="F207" t="s">
        <v>251</v>
      </c>
    </row>
    <row r="208" spans="2:6" ht="30" x14ac:dyDescent="0.25">
      <c r="B208">
        <v>1194</v>
      </c>
      <c r="C208" t="s">
        <v>586</v>
      </c>
      <c r="D208" t="s">
        <v>571</v>
      </c>
      <c r="E208" s="1" t="s">
        <v>587</v>
      </c>
      <c r="F208" t="s">
        <v>45</v>
      </c>
    </row>
    <row r="209" spans="2:6" ht="30" x14ac:dyDescent="0.25">
      <c r="B209">
        <v>1195</v>
      </c>
      <c r="C209" t="s">
        <v>573</v>
      </c>
      <c r="D209" t="s">
        <v>571</v>
      </c>
      <c r="E209" s="1" t="s">
        <v>588</v>
      </c>
      <c r="F209" t="s">
        <v>589</v>
      </c>
    </row>
    <row r="210" spans="2:6" ht="45" x14ac:dyDescent="0.25">
      <c r="B210">
        <v>1196</v>
      </c>
      <c r="C210" t="s">
        <v>574</v>
      </c>
      <c r="D210" t="s">
        <v>571</v>
      </c>
      <c r="E210" s="1" t="s">
        <v>590</v>
      </c>
      <c r="F210" t="s">
        <v>591</v>
      </c>
    </row>
    <row r="211" spans="2:6" ht="30" x14ac:dyDescent="0.25">
      <c r="B211">
        <v>1197</v>
      </c>
      <c r="C211" t="s">
        <v>575</v>
      </c>
      <c r="D211" t="s">
        <v>571</v>
      </c>
      <c r="E211" s="1" t="s">
        <v>592</v>
      </c>
      <c r="F211" t="s">
        <v>593</v>
      </c>
    </row>
    <row r="212" spans="2:6" ht="30" x14ac:dyDescent="0.25">
      <c r="B212">
        <v>1198</v>
      </c>
      <c r="C212" t="s">
        <v>577</v>
      </c>
      <c r="D212" t="s">
        <v>571</v>
      </c>
      <c r="E212" s="1" t="s">
        <v>594</v>
      </c>
      <c r="F212" t="s">
        <v>595</v>
      </c>
    </row>
    <row r="213" spans="2:6" ht="45" x14ac:dyDescent="0.25">
      <c r="B213">
        <v>1199</v>
      </c>
      <c r="C213" t="s">
        <v>578</v>
      </c>
      <c r="D213" t="s">
        <v>571</v>
      </c>
      <c r="E213" s="1" t="s">
        <v>596</v>
      </c>
      <c r="F213" t="s">
        <v>597</v>
      </c>
    </row>
    <row r="214" spans="2:6" ht="60" x14ac:dyDescent="0.25">
      <c r="B214">
        <v>1200</v>
      </c>
      <c r="C214" t="s">
        <v>582</v>
      </c>
      <c r="D214" t="s">
        <v>571</v>
      </c>
      <c r="E214" s="1" t="s">
        <v>598</v>
      </c>
      <c r="F214" t="s">
        <v>599</v>
      </c>
    </row>
    <row r="215" spans="2:6" ht="45" x14ac:dyDescent="0.25">
      <c r="B215">
        <v>1201</v>
      </c>
      <c r="C215" t="s">
        <v>579</v>
      </c>
      <c r="D215" t="s">
        <v>571</v>
      </c>
      <c r="E215" s="1" t="s">
        <v>600</v>
      </c>
      <c r="F215" t="s">
        <v>601</v>
      </c>
    </row>
    <row r="216" spans="2:6" ht="45" x14ac:dyDescent="0.25">
      <c r="B216">
        <v>1202</v>
      </c>
      <c r="C216" t="s">
        <v>602</v>
      </c>
      <c r="D216" t="s">
        <v>571</v>
      </c>
      <c r="E216" s="1" t="s">
        <v>603</v>
      </c>
      <c r="F216" t="s">
        <v>558</v>
      </c>
    </row>
    <row r="217" spans="2:6" ht="45" x14ac:dyDescent="0.25">
      <c r="B217">
        <v>1203</v>
      </c>
      <c r="C217" t="s">
        <v>580</v>
      </c>
      <c r="D217" t="s">
        <v>571</v>
      </c>
      <c r="E217" s="1" t="s">
        <v>604</v>
      </c>
      <c r="F217" t="s">
        <v>605</v>
      </c>
    </row>
    <row r="218" spans="2:6" ht="45" x14ac:dyDescent="0.25">
      <c r="B218">
        <v>1204</v>
      </c>
      <c r="C218" t="s">
        <v>581</v>
      </c>
      <c r="D218" t="s">
        <v>571</v>
      </c>
      <c r="E218" s="1" t="s">
        <v>606</v>
      </c>
      <c r="F218" t="s">
        <v>607</v>
      </c>
    </row>
    <row r="219" spans="2:6" ht="75" x14ac:dyDescent="0.25">
      <c r="B219">
        <v>1205</v>
      </c>
      <c r="C219" t="s">
        <v>576</v>
      </c>
      <c r="D219" t="s">
        <v>571</v>
      </c>
      <c r="E219" s="1" t="s">
        <v>608</v>
      </c>
      <c r="F219" t="s">
        <v>609</v>
      </c>
    </row>
    <row r="220" spans="2:6" ht="30" x14ac:dyDescent="0.25">
      <c r="B220">
        <v>1206</v>
      </c>
      <c r="C220" t="s">
        <v>613</v>
      </c>
      <c r="D220" t="s">
        <v>610</v>
      </c>
      <c r="E220" s="1" t="s">
        <v>620</v>
      </c>
      <c r="F220" t="s">
        <v>45</v>
      </c>
    </row>
    <row r="221" spans="2:6" ht="30" x14ac:dyDescent="0.25">
      <c r="B221">
        <v>1207</v>
      </c>
      <c r="C221" t="s">
        <v>612</v>
      </c>
      <c r="D221" t="s">
        <v>610</v>
      </c>
      <c r="E221" s="1" t="s">
        <v>621</v>
      </c>
      <c r="F221" t="s">
        <v>48</v>
      </c>
    </row>
    <row r="222" spans="2:6" ht="30" x14ac:dyDescent="0.25">
      <c r="B222">
        <v>1208</v>
      </c>
      <c r="C222" t="s">
        <v>611</v>
      </c>
      <c r="D222" t="s">
        <v>610</v>
      </c>
      <c r="E222" s="1" t="s">
        <v>622</v>
      </c>
      <c r="F222" t="s">
        <v>623</v>
      </c>
    </row>
    <row r="223" spans="2:6" ht="30" x14ac:dyDescent="0.25">
      <c r="B223">
        <v>1209</v>
      </c>
      <c r="C223" t="s">
        <v>614</v>
      </c>
      <c r="D223" t="s">
        <v>610</v>
      </c>
      <c r="E223" s="1" t="s">
        <v>624</v>
      </c>
      <c r="F223" t="s">
        <v>61</v>
      </c>
    </row>
    <row r="224" spans="2:6" ht="30" x14ac:dyDescent="0.25">
      <c r="B224">
        <v>1210</v>
      </c>
      <c r="C224" t="s">
        <v>625</v>
      </c>
      <c r="D224" t="s">
        <v>610</v>
      </c>
      <c r="E224" s="1" t="s">
        <v>634</v>
      </c>
      <c r="F224" t="s">
        <v>626</v>
      </c>
    </row>
    <row r="225" spans="2:6" ht="45" x14ac:dyDescent="0.25">
      <c r="B225">
        <v>1211</v>
      </c>
      <c r="C225" t="s">
        <v>615</v>
      </c>
      <c r="D225" t="s">
        <v>610</v>
      </c>
      <c r="E225" s="1" t="s">
        <v>627</v>
      </c>
      <c r="F225" t="s">
        <v>159</v>
      </c>
    </row>
    <row r="226" spans="2:6" ht="60" x14ac:dyDescent="0.25">
      <c r="B226">
        <v>1212</v>
      </c>
      <c r="C226" t="s">
        <v>616</v>
      </c>
      <c r="D226" t="s">
        <v>610</v>
      </c>
      <c r="E226" s="1" t="s">
        <v>628</v>
      </c>
      <c r="F226" t="s">
        <v>629</v>
      </c>
    </row>
    <row r="227" spans="2:6" ht="90" x14ac:dyDescent="0.25">
      <c r="B227">
        <v>1213</v>
      </c>
      <c r="C227" t="s">
        <v>617</v>
      </c>
      <c r="D227" t="s">
        <v>610</v>
      </c>
      <c r="E227" s="1" t="s">
        <v>630</v>
      </c>
      <c r="F227" t="s">
        <v>629</v>
      </c>
    </row>
    <row r="228" spans="2:6" ht="45" x14ac:dyDescent="0.25">
      <c r="B228">
        <v>1214</v>
      </c>
      <c r="C228" t="s">
        <v>618</v>
      </c>
      <c r="D228" t="s">
        <v>610</v>
      </c>
      <c r="E228" s="1" t="s">
        <v>631</v>
      </c>
      <c r="F228" t="s">
        <v>632</v>
      </c>
    </row>
    <row r="229" spans="2:6" ht="75" x14ac:dyDescent="0.25">
      <c r="B229">
        <v>1215</v>
      </c>
      <c r="C229" t="s">
        <v>619</v>
      </c>
      <c r="D229" t="s">
        <v>610</v>
      </c>
      <c r="E229" s="1" t="s">
        <v>633</v>
      </c>
      <c r="F229" t="s">
        <v>635</v>
      </c>
    </row>
    <row r="230" spans="2:6" x14ac:dyDescent="0.25">
      <c r="B230">
        <v>1216</v>
      </c>
      <c r="C230" t="s">
        <v>638</v>
      </c>
      <c r="D230" t="s">
        <v>637</v>
      </c>
      <c r="E230" s="1" t="s">
        <v>646</v>
      </c>
      <c r="F230" t="s">
        <v>30</v>
      </c>
    </row>
    <row r="231" spans="2:6" ht="30" x14ac:dyDescent="0.25">
      <c r="B231">
        <v>1217</v>
      </c>
      <c r="C231" t="s">
        <v>639</v>
      </c>
      <c r="D231" t="s">
        <v>637</v>
      </c>
      <c r="E231" s="1" t="s">
        <v>647</v>
      </c>
      <c r="F231" t="s">
        <v>659</v>
      </c>
    </row>
    <row r="232" spans="2:6" ht="45" x14ac:dyDescent="0.25">
      <c r="B232">
        <v>1218</v>
      </c>
      <c r="C232" t="s">
        <v>640</v>
      </c>
      <c r="D232" t="s">
        <v>637</v>
      </c>
      <c r="E232" s="1" t="s">
        <v>648</v>
      </c>
      <c r="F232" t="s">
        <v>251</v>
      </c>
    </row>
    <row r="233" spans="2:6" ht="30" x14ac:dyDescent="0.25">
      <c r="B233">
        <v>1219</v>
      </c>
      <c r="C233" t="s">
        <v>641</v>
      </c>
      <c r="D233" t="s">
        <v>637</v>
      </c>
      <c r="E233" s="1" t="s">
        <v>649</v>
      </c>
      <c r="F233" t="s">
        <v>251</v>
      </c>
    </row>
    <row r="234" spans="2:6" ht="60" x14ac:dyDescent="0.25">
      <c r="B234">
        <v>1220</v>
      </c>
      <c r="C234" t="s">
        <v>642</v>
      </c>
      <c r="D234" t="s">
        <v>637</v>
      </c>
      <c r="E234" s="1" t="s">
        <v>651</v>
      </c>
      <c r="F234" t="s">
        <v>650</v>
      </c>
    </row>
    <row r="235" spans="2:6" ht="45" x14ac:dyDescent="0.25">
      <c r="B235">
        <v>1221</v>
      </c>
      <c r="C235" t="s">
        <v>643</v>
      </c>
      <c r="D235" t="s">
        <v>637</v>
      </c>
      <c r="E235" s="1" t="s">
        <v>653</v>
      </c>
      <c r="F235" t="s">
        <v>652</v>
      </c>
    </row>
    <row r="236" spans="2:6" ht="60" x14ac:dyDescent="0.25">
      <c r="B236">
        <v>1222</v>
      </c>
      <c r="C236" t="s">
        <v>644</v>
      </c>
      <c r="D236" t="s">
        <v>637</v>
      </c>
      <c r="E236" s="1" t="s">
        <v>654</v>
      </c>
      <c r="F236" t="s">
        <v>655</v>
      </c>
    </row>
    <row r="237" spans="2:6" ht="60" x14ac:dyDescent="0.25">
      <c r="B237">
        <v>1223</v>
      </c>
      <c r="C237" t="s">
        <v>645</v>
      </c>
      <c r="D237" t="s">
        <v>637</v>
      </c>
      <c r="E237" s="1" t="s">
        <v>656</v>
      </c>
      <c r="F237" t="s">
        <v>655</v>
      </c>
    </row>
    <row r="238" spans="2:6" ht="75" x14ac:dyDescent="0.25">
      <c r="B238">
        <v>1224</v>
      </c>
      <c r="C238" t="s">
        <v>636</v>
      </c>
      <c r="D238" t="s">
        <v>637</v>
      </c>
      <c r="E238" s="1" t="s">
        <v>657</v>
      </c>
      <c r="F238" t="s">
        <v>658</v>
      </c>
    </row>
    <row r="239" spans="2:6" x14ac:dyDescent="0.25">
      <c r="B239">
        <v>2000</v>
      </c>
      <c r="C239" t="s">
        <v>115</v>
      </c>
      <c r="D239" t="s">
        <v>120</v>
      </c>
      <c r="E239" s="1" t="s">
        <v>117</v>
      </c>
    </row>
    <row r="240" spans="2:6" x14ac:dyDescent="0.25">
      <c r="B240">
        <v>2001</v>
      </c>
      <c r="C240" t="s">
        <v>116</v>
      </c>
      <c r="D240" t="s">
        <v>121</v>
      </c>
      <c r="E240" s="1" t="s">
        <v>118</v>
      </c>
    </row>
    <row r="241" spans="2:5" ht="30" x14ac:dyDescent="0.25">
      <c r="B241">
        <v>2002</v>
      </c>
      <c r="C241" t="s">
        <v>119</v>
      </c>
      <c r="D241" t="s">
        <v>122</v>
      </c>
      <c r="E241" s="1" t="s">
        <v>123</v>
      </c>
    </row>
    <row r="242" spans="2:5" x14ac:dyDescent="0.25">
      <c r="B242">
        <v>3000</v>
      </c>
      <c r="C242" t="s">
        <v>660</v>
      </c>
      <c r="D242" t="s">
        <v>661</v>
      </c>
      <c r="E242" s="1" t="s">
        <v>662</v>
      </c>
    </row>
    <row r="243" spans="2:5" x14ac:dyDescent="0.25">
      <c r="B243">
        <v>4000</v>
      </c>
      <c r="C243" t="s">
        <v>664</v>
      </c>
      <c r="D243" t="s">
        <v>663</v>
      </c>
    </row>
    <row r="244" spans="2:5" x14ac:dyDescent="0.25">
      <c r="B244">
        <v>5000</v>
      </c>
      <c r="C244" t="s">
        <v>665</v>
      </c>
      <c r="D244" t="s">
        <v>666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9AA04-5439-44D8-B921-81D0FBC20718}">
  <dimension ref="B1:O25"/>
  <sheetViews>
    <sheetView topLeftCell="E22" workbookViewId="0">
      <selection activeCell="M19" sqref="M19"/>
    </sheetView>
  </sheetViews>
  <sheetFormatPr baseColWidth="10" defaultRowHeight="15" x14ac:dyDescent="0.25"/>
  <cols>
    <col min="3" max="3" width="20.7109375" bestFit="1" customWidth="1"/>
    <col min="4" max="4" width="35.140625" customWidth="1"/>
    <col min="5" max="5" width="59.7109375" bestFit="1" customWidth="1"/>
    <col min="12" max="12" width="13.7109375" bestFit="1" customWidth="1"/>
  </cols>
  <sheetData>
    <row r="1" spans="2:15" x14ac:dyDescent="0.25">
      <c r="F1" t="s">
        <v>667</v>
      </c>
      <c r="G1" t="s">
        <v>668</v>
      </c>
      <c r="H1" t="s">
        <v>669</v>
      </c>
      <c r="I1" t="s">
        <v>670</v>
      </c>
      <c r="J1" t="s">
        <v>671</v>
      </c>
      <c r="K1" t="s">
        <v>672</v>
      </c>
      <c r="L1" t="s">
        <v>673</v>
      </c>
      <c r="M1" t="s">
        <v>674</v>
      </c>
      <c r="N1" t="s">
        <v>675</v>
      </c>
      <c r="O1" t="s">
        <v>678</v>
      </c>
    </row>
    <row r="2" spans="2:15" ht="46.5" customHeight="1" x14ac:dyDescent="0.25">
      <c r="B2">
        <v>1135</v>
      </c>
      <c r="C2" t="s">
        <v>411</v>
      </c>
      <c r="D2" s="1" t="s">
        <v>434</v>
      </c>
      <c r="E2" t="s">
        <v>29</v>
      </c>
      <c r="F2">
        <v>0</v>
      </c>
      <c r="G2">
        <v>0</v>
      </c>
      <c r="H2">
        <v>0</v>
      </c>
      <c r="I2">
        <v>8</v>
      </c>
      <c r="J2">
        <v>0</v>
      </c>
      <c r="K2">
        <v>0</v>
      </c>
      <c r="L2">
        <v>0</v>
      </c>
      <c r="M2">
        <v>-1</v>
      </c>
      <c r="N2">
        <v>0</v>
      </c>
      <c r="O2">
        <f>F2/10+G2/5+H2/5+I2+J2+K2+L2+M2+N2</f>
        <v>7</v>
      </c>
    </row>
    <row r="3" spans="2:15" ht="48.75" customHeight="1" x14ac:dyDescent="0.25">
      <c r="B3">
        <v>1136</v>
      </c>
      <c r="C3" t="s">
        <v>412</v>
      </c>
      <c r="D3" s="1" t="s">
        <v>435</v>
      </c>
      <c r="E3" t="s">
        <v>29</v>
      </c>
      <c r="F3">
        <v>0</v>
      </c>
      <c r="G3">
        <v>0</v>
      </c>
      <c r="H3">
        <v>0</v>
      </c>
      <c r="I3">
        <v>11</v>
      </c>
      <c r="J3">
        <v>0</v>
      </c>
      <c r="K3">
        <v>0</v>
      </c>
      <c r="L3">
        <v>0</v>
      </c>
      <c r="M3">
        <v>-4</v>
      </c>
      <c r="N3">
        <v>0</v>
      </c>
      <c r="O3">
        <f>F3/10+G3/5+H3/5+I3+J3+K3+L3+M3+N3</f>
        <v>7</v>
      </c>
    </row>
    <row r="4" spans="2:15" ht="60" customHeight="1" x14ac:dyDescent="0.25">
      <c r="B4">
        <v>1137</v>
      </c>
      <c r="C4" t="s">
        <v>436</v>
      </c>
      <c r="D4" s="1" t="s">
        <v>437</v>
      </c>
      <c r="E4" t="s">
        <v>29</v>
      </c>
      <c r="F4">
        <v>0</v>
      </c>
      <c r="G4">
        <v>0</v>
      </c>
      <c r="H4">
        <v>0</v>
      </c>
      <c r="I4">
        <v>7</v>
      </c>
      <c r="J4">
        <v>0</v>
      </c>
      <c r="K4">
        <v>0</v>
      </c>
      <c r="L4">
        <v>0</v>
      </c>
      <c r="M4">
        <v>0</v>
      </c>
      <c r="N4">
        <v>0</v>
      </c>
      <c r="O4">
        <f>F4/10+G4/5+H4/5+I4+J4+K4+L4+M4+N4</f>
        <v>7</v>
      </c>
    </row>
    <row r="5" spans="2:15" ht="73.5" customHeight="1" x14ac:dyDescent="0.25">
      <c r="B5">
        <v>1138</v>
      </c>
      <c r="C5" t="s">
        <v>414</v>
      </c>
      <c r="D5" s="1" t="s">
        <v>440</v>
      </c>
      <c r="E5" t="s">
        <v>439</v>
      </c>
      <c r="F5">
        <v>0</v>
      </c>
      <c r="G5">
        <v>0</v>
      </c>
      <c r="H5">
        <v>0</v>
      </c>
      <c r="I5">
        <v>8</v>
      </c>
      <c r="J5">
        <v>0</v>
      </c>
      <c r="K5">
        <v>0</v>
      </c>
      <c r="L5">
        <v>0</v>
      </c>
      <c r="M5">
        <v>0</v>
      </c>
      <c r="N5">
        <v>0</v>
      </c>
      <c r="O5">
        <f>F5/10+G5/5+H5/5+I5+J5+K5+L5+M5+N5+1*8</f>
        <v>16</v>
      </c>
    </row>
    <row r="6" spans="2:15" ht="54" customHeight="1" x14ac:dyDescent="0.25">
      <c r="B6">
        <v>1139</v>
      </c>
      <c r="C6" t="s">
        <v>423</v>
      </c>
      <c r="D6" s="1" t="s">
        <v>442</v>
      </c>
      <c r="E6" t="s">
        <v>441</v>
      </c>
      <c r="F6">
        <v>0</v>
      </c>
      <c r="G6">
        <v>0</v>
      </c>
      <c r="H6">
        <v>0</v>
      </c>
      <c r="I6">
        <v>12</v>
      </c>
      <c r="J6">
        <v>0</v>
      </c>
      <c r="K6">
        <v>0</v>
      </c>
      <c r="L6">
        <v>0</v>
      </c>
      <c r="M6">
        <v>-4</v>
      </c>
      <c r="N6">
        <v>0</v>
      </c>
      <c r="O6">
        <f>F6/10+G6/5+H6/5+I6+J6+K6+L6+M6+N6+1*8</f>
        <v>16</v>
      </c>
    </row>
    <row r="7" spans="2:15" ht="65.25" customHeight="1" x14ac:dyDescent="0.25">
      <c r="B7">
        <v>1140</v>
      </c>
      <c r="C7" t="s">
        <v>430</v>
      </c>
      <c r="D7" s="1" t="s">
        <v>438</v>
      </c>
      <c r="E7" t="s">
        <v>251</v>
      </c>
      <c r="F7">
        <v>0</v>
      </c>
      <c r="G7">
        <v>0</v>
      </c>
      <c r="H7">
        <v>0</v>
      </c>
      <c r="I7">
        <v>17</v>
      </c>
      <c r="J7">
        <v>0</v>
      </c>
      <c r="K7">
        <v>0</v>
      </c>
      <c r="L7">
        <v>0</v>
      </c>
      <c r="M7">
        <v>0</v>
      </c>
      <c r="N7">
        <v>0</v>
      </c>
      <c r="O7">
        <f>F7/10+G7/5+H7/5+I7+J7+K7+L7+M7+N7+1*8</f>
        <v>25</v>
      </c>
    </row>
    <row r="8" spans="2:15" ht="62.25" customHeight="1" x14ac:dyDescent="0.25">
      <c r="B8">
        <v>1141</v>
      </c>
      <c r="C8" t="s">
        <v>429</v>
      </c>
      <c r="D8" s="1" t="s">
        <v>446</v>
      </c>
      <c r="E8" t="s">
        <v>443</v>
      </c>
      <c r="F8">
        <v>0</v>
      </c>
      <c r="G8">
        <v>0</v>
      </c>
      <c r="H8">
        <v>0</v>
      </c>
      <c r="I8">
        <v>24</v>
      </c>
      <c r="J8">
        <v>0</v>
      </c>
      <c r="K8">
        <v>0</v>
      </c>
      <c r="L8">
        <v>0</v>
      </c>
      <c r="M8">
        <v>-7</v>
      </c>
      <c r="N8">
        <v>0</v>
      </c>
      <c r="O8">
        <f>F8/10+G8/5+H8/5+I8+J8+K8+L8+M8+N8+1*8</f>
        <v>25</v>
      </c>
    </row>
    <row r="9" spans="2:15" ht="74.25" customHeight="1" x14ac:dyDescent="0.25">
      <c r="B9">
        <v>1142</v>
      </c>
      <c r="C9" t="s">
        <v>413</v>
      </c>
      <c r="D9" s="1" t="s">
        <v>447</v>
      </c>
      <c r="E9" t="s">
        <v>444</v>
      </c>
      <c r="F9">
        <v>0</v>
      </c>
      <c r="G9">
        <v>0</v>
      </c>
      <c r="H9">
        <v>0</v>
      </c>
      <c r="I9">
        <v>29</v>
      </c>
      <c r="J9">
        <v>0</v>
      </c>
      <c r="K9">
        <v>0</v>
      </c>
      <c r="L9">
        <v>0</v>
      </c>
      <c r="M9">
        <v>-10</v>
      </c>
      <c r="N9">
        <v>0</v>
      </c>
      <c r="O9">
        <f>F9/10+G9/5+H9/5+I9+J9+K9+L9+M9+N9+2*8</f>
        <v>35</v>
      </c>
    </row>
    <row r="10" spans="2:15" ht="82.5" customHeight="1" x14ac:dyDescent="0.25">
      <c r="B10">
        <v>1143</v>
      </c>
      <c r="C10" t="s">
        <v>418</v>
      </c>
      <c r="D10" s="1" t="s">
        <v>448</v>
      </c>
      <c r="E10" t="s">
        <v>445</v>
      </c>
      <c r="F10">
        <v>0</v>
      </c>
      <c r="G10">
        <v>0</v>
      </c>
      <c r="H10">
        <v>0</v>
      </c>
      <c r="I10">
        <v>38</v>
      </c>
      <c r="J10">
        <v>0</v>
      </c>
      <c r="K10">
        <v>0</v>
      </c>
      <c r="L10">
        <v>0</v>
      </c>
      <c r="M10">
        <v>0</v>
      </c>
      <c r="N10">
        <v>0</v>
      </c>
      <c r="O10">
        <f>F10/10+G10/5+H10/5+I10+J10+K10+L10+M10+N10+1*8+PowerRuling!L11</f>
        <v>50</v>
      </c>
    </row>
    <row r="11" spans="2:15" ht="77.25" customHeight="1" x14ac:dyDescent="0.25">
      <c r="B11">
        <v>1144</v>
      </c>
      <c r="C11" t="s">
        <v>431</v>
      </c>
      <c r="D11" s="1" t="s">
        <v>449</v>
      </c>
      <c r="E11" t="s">
        <v>61</v>
      </c>
      <c r="F11">
        <v>0</v>
      </c>
      <c r="G11">
        <v>0</v>
      </c>
      <c r="H11">
        <v>0</v>
      </c>
      <c r="I11">
        <v>55</v>
      </c>
      <c r="J11">
        <v>4</v>
      </c>
      <c r="K11">
        <v>0</v>
      </c>
      <c r="L11">
        <v>4</v>
      </c>
      <c r="M11">
        <v>-5</v>
      </c>
      <c r="N11">
        <v>0</v>
      </c>
      <c r="O11">
        <f>F11/10+G11/5+H11/5+I11+J11+K11+L11+M11+N11+4*5+2.5*-3</f>
        <v>70.5</v>
      </c>
    </row>
    <row r="12" spans="2:15" ht="96.75" customHeight="1" x14ac:dyDescent="0.25">
      <c r="B12">
        <v>1145</v>
      </c>
      <c r="C12" t="s">
        <v>420</v>
      </c>
      <c r="D12" s="1" t="s">
        <v>451</v>
      </c>
      <c r="E12" t="s">
        <v>450</v>
      </c>
      <c r="F12">
        <v>0</v>
      </c>
      <c r="G12">
        <v>0</v>
      </c>
      <c r="H12">
        <v>0</v>
      </c>
      <c r="I12">
        <v>60</v>
      </c>
      <c r="J12">
        <v>5</v>
      </c>
      <c r="K12">
        <v>0</v>
      </c>
      <c r="L12">
        <v>5</v>
      </c>
      <c r="M12">
        <v>0</v>
      </c>
      <c r="N12">
        <v>0</v>
      </c>
      <c r="O12">
        <f>F12/10+G12/5+H12/5+I12+J12+K12+L12+M12+N12+2*8+PowerRuling!L11</f>
        <v>90</v>
      </c>
    </row>
    <row r="13" spans="2:15" ht="99.75" customHeight="1" x14ac:dyDescent="0.25">
      <c r="B13">
        <v>1146</v>
      </c>
      <c r="C13" t="s">
        <v>432</v>
      </c>
      <c r="D13" s="1" t="s">
        <v>453</v>
      </c>
      <c r="E13" t="s">
        <v>452</v>
      </c>
      <c r="F13">
        <v>0</v>
      </c>
      <c r="G13">
        <v>0</v>
      </c>
      <c r="H13">
        <v>0</v>
      </c>
      <c r="I13">
        <v>56</v>
      </c>
      <c r="J13">
        <v>11</v>
      </c>
      <c r="K13">
        <v>0</v>
      </c>
      <c r="L13">
        <v>11</v>
      </c>
      <c r="M13">
        <v>-15</v>
      </c>
      <c r="N13">
        <v>15</v>
      </c>
      <c r="O13">
        <f>F13/10+G13/5+H13/5+I13+J13+K13+L13+M13+N13+4*8</f>
        <v>110</v>
      </c>
    </row>
    <row r="14" spans="2:15" ht="84" customHeight="1" x14ac:dyDescent="0.25">
      <c r="B14">
        <v>1147</v>
      </c>
      <c r="C14" t="s">
        <v>415</v>
      </c>
      <c r="D14" s="1" t="s">
        <v>455</v>
      </c>
      <c r="E14" t="s">
        <v>454</v>
      </c>
      <c r="F14">
        <v>0</v>
      </c>
      <c r="G14">
        <v>0</v>
      </c>
      <c r="H14">
        <v>0</v>
      </c>
      <c r="I14">
        <v>70</v>
      </c>
      <c r="J14">
        <v>0</v>
      </c>
      <c r="K14">
        <v>0</v>
      </c>
      <c r="L14">
        <v>0</v>
      </c>
      <c r="M14">
        <v>14</v>
      </c>
      <c r="N14">
        <v>10</v>
      </c>
      <c r="O14">
        <f>F14/10+G14/5+H14/5+I14+J14+K14+L14+M14+N14+2*8</f>
        <v>110</v>
      </c>
    </row>
    <row r="15" spans="2:15" ht="98.25" customHeight="1" x14ac:dyDescent="0.25">
      <c r="B15">
        <v>1148</v>
      </c>
      <c r="C15" t="s">
        <v>424</v>
      </c>
      <c r="D15" s="1" t="s">
        <v>464</v>
      </c>
      <c r="E15" t="s">
        <v>456</v>
      </c>
      <c r="F15">
        <v>0</v>
      </c>
      <c r="G15">
        <v>0</v>
      </c>
      <c r="H15">
        <v>0</v>
      </c>
      <c r="I15">
        <v>75</v>
      </c>
      <c r="J15">
        <v>11</v>
      </c>
      <c r="K15">
        <v>0</v>
      </c>
      <c r="L15">
        <v>11</v>
      </c>
      <c r="M15">
        <v>-5</v>
      </c>
      <c r="N15">
        <v>0</v>
      </c>
      <c r="O15">
        <f>F15/10+G15/5+H15/5+I15+J15+K15+L15+M15+N15+4*5+2.5*-3+PowerRuling!L12</f>
        <v>110.5</v>
      </c>
    </row>
    <row r="16" spans="2:15" ht="118.5" customHeight="1" x14ac:dyDescent="0.25">
      <c r="B16">
        <v>1149</v>
      </c>
      <c r="C16" t="s">
        <v>421</v>
      </c>
      <c r="D16" s="1" t="s">
        <v>458</v>
      </c>
      <c r="E16" t="s">
        <v>457</v>
      </c>
      <c r="F16">
        <v>0</v>
      </c>
      <c r="G16">
        <v>0</v>
      </c>
      <c r="H16">
        <v>0</v>
      </c>
      <c r="I16">
        <v>80</v>
      </c>
      <c r="J16">
        <v>11</v>
      </c>
      <c r="K16">
        <v>0</v>
      </c>
      <c r="L16">
        <v>11</v>
      </c>
      <c r="M16">
        <v>0</v>
      </c>
      <c r="N16">
        <v>0</v>
      </c>
      <c r="O16">
        <f>F16/10+G16/5+H16/5+I16+J16+K16+L16+M16+N16+3*8+PowerRuling!L11</f>
        <v>130</v>
      </c>
    </row>
    <row r="17" spans="2:15" ht="105" customHeight="1" x14ac:dyDescent="0.25">
      <c r="B17">
        <v>1150</v>
      </c>
      <c r="C17" t="s">
        <v>416</v>
      </c>
      <c r="D17" s="1" t="s">
        <v>460</v>
      </c>
      <c r="E17" t="s">
        <v>459</v>
      </c>
      <c r="F17">
        <v>0</v>
      </c>
      <c r="G17">
        <v>0</v>
      </c>
      <c r="H17">
        <v>0</v>
      </c>
      <c r="I17">
        <v>72</v>
      </c>
      <c r="J17">
        <v>7</v>
      </c>
      <c r="K17">
        <v>0</v>
      </c>
      <c r="L17">
        <v>7</v>
      </c>
      <c r="M17">
        <v>0</v>
      </c>
      <c r="N17">
        <v>18</v>
      </c>
      <c r="O17">
        <f>F17/10+G17/5+H17/5+I17+J17+K17+L17+M17+N17+1*8+PowerRuling!L11+PowerRuling!G32</f>
        <v>130</v>
      </c>
    </row>
    <row r="18" spans="2:15" ht="98.25" customHeight="1" x14ac:dyDescent="0.25">
      <c r="B18">
        <v>1151</v>
      </c>
      <c r="C18" t="s">
        <v>433</v>
      </c>
      <c r="D18" s="1" t="s">
        <v>462</v>
      </c>
      <c r="E18" t="s">
        <v>461</v>
      </c>
      <c r="F18">
        <v>0</v>
      </c>
      <c r="G18">
        <v>0</v>
      </c>
      <c r="H18">
        <v>0</v>
      </c>
      <c r="I18">
        <v>90</v>
      </c>
      <c r="J18">
        <v>0</v>
      </c>
      <c r="K18">
        <v>0</v>
      </c>
      <c r="L18">
        <v>0</v>
      </c>
      <c r="M18">
        <v>19</v>
      </c>
      <c r="N18">
        <v>14</v>
      </c>
      <c r="O18">
        <f>F18/10+G18/5+H18/5+I18+J18+K18+L18+M18+N18+2*8+PowerRuling!C6+PowerRuling!C9</f>
        <v>150</v>
      </c>
    </row>
    <row r="19" spans="2:15" ht="150" customHeight="1" x14ac:dyDescent="0.25">
      <c r="B19">
        <v>1152</v>
      </c>
      <c r="C19" t="s">
        <v>427</v>
      </c>
      <c r="D19" s="1" t="s">
        <v>465</v>
      </c>
      <c r="E19" t="s">
        <v>463</v>
      </c>
      <c r="F19">
        <v>0</v>
      </c>
      <c r="G19">
        <v>0</v>
      </c>
      <c r="H19">
        <v>0</v>
      </c>
      <c r="I19">
        <v>90</v>
      </c>
      <c r="J19">
        <v>15</v>
      </c>
      <c r="K19">
        <v>0</v>
      </c>
      <c r="L19">
        <v>15</v>
      </c>
      <c r="M19">
        <v>-9</v>
      </c>
      <c r="N19">
        <v>0</v>
      </c>
      <c r="O19">
        <f>F19/10+G19/5+H19/5+I19+J19+K19+L19+M19+N19+2*8+PowerRuling!L11+5*5+-2*3</f>
        <v>150</v>
      </c>
    </row>
    <row r="20" spans="2:15" ht="130.5" customHeight="1" x14ac:dyDescent="0.25">
      <c r="B20">
        <v>1153</v>
      </c>
      <c r="C20" t="s">
        <v>428</v>
      </c>
      <c r="D20" s="1" t="s">
        <v>467</v>
      </c>
      <c r="E20" t="s">
        <v>466</v>
      </c>
      <c r="F20">
        <v>0</v>
      </c>
      <c r="G20">
        <v>0</v>
      </c>
      <c r="H20">
        <v>0</v>
      </c>
      <c r="I20">
        <v>95</v>
      </c>
      <c r="J20">
        <v>10</v>
      </c>
      <c r="K20">
        <v>0</v>
      </c>
      <c r="L20">
        <v>10</v>
      </c>
      <c r="M20">
        <v>0</v>
      </c>
      <c r="N20">
        <v>21</v>
      </c>
      <c r="O20">
        <f>F20/10+G20/5+H20/5+I20+J20+K20+L20+M20+N20+1*8+PowerRuling!L11+PowerRuling!G32+PowerRuling!G12</f>
        <v>170</v>
      </c>
    </row>
    <row r="21" spans="2:15" ht="140.25" customHeight="1" x14ac:dyDescent="0.25">
      <c r="B21">
        <v>1154</v>
      </c>
      <c r="C21" t="s">
        <v>419</v>
      </c>
      <c r="D21" s="1" t="s">
        <v>469</v>
      </c>
      <c r="E21" t="s">
        <v>468</v>
      </c>
      <c r="F21">
        <v>0</v>
      </c>
      <c r="G21">
        <v>0</v>
      </c>
      <c r="H21">
        <v>0</v>
      </c>
      <c r="I21">
        <v>92</v>
      </c>
      <c r="J21">
        <v>17</v>
      </c>
      <c r="K21">
        <v>0</v>
      </c>
      <c r="L21">
        <v>17</v>
      </c>
      <c r="M21">
        <v>0</v>
      </c>
      <c r="N21">
        <v>0</v>
      </c>
      <c r="O21">
        <f>F21/10+G21/5+H21/5+I21+J21+K21+L21+M21+N21+5*8+PowerRuling!L11</f>
        <v>170</v>
      </c>
    </row>
    <row r="22" spans="2:15" ht="123" customHeight="1" x14ac:dyDescent="0.25">
      <c r="B22">
        <v>1155</v>
      </c>
      <c r="C22" t="s">
        <v>417</v>
      </c>
      <c r="D22" s="1" t="s">
        <v>471</v>
      </c>
      <c r="E22" t="s">
        <v>470</v>
      </c>
      <c r="F22">
        <v>0</v>
      </c>
      <c r="G22">
        <v>0</v>
      </c>
      <c r="H22">
        <v>0</v>
      </c>
      <c r="I22">
        <v>92</v>
      </c>
      <c r="J22">
        <v>0</v>
      </c>
      <c r="K22">
        <v>0</v>
      </c>
      <c r="L22">
        <v>0</v>
      </c>
      <c r="M22">
        <v>19</v>
      </c>
      <c r="N22">
        <v>14</v>
      </c>
      <c r="O22">
        <f>F22/10+G22/5+H22/5+I22+J22+K22+L22+M22+N22+2*8+PowerRuling!C6+PowerRuling!C9+PowerRuling!L11+PowerRuling!G32</f>
        <v>170</v>
      </c>
    </row>
    <row r="23" spans="2:15" ht="146.25" customHeight="1" x14ac:dyDescent="0.25">
      <c r="B23">
        <v>1156</v>
      </c>
      <c r="C23" t="s">
        <v>422</v>
      </c>
      <c r="D23" s="1" t="s">
        <v>473</v>
      </c>
      <c r="E23" t="s">
        <v>472</v>
      </c>
      <c r="F23">
        <v>0</v>
      </c>
      <c r="G23">
        <v>0</v>
      </c>
      <c r="H23">
        <v>0</v>
      </c>
      <c r="I23">
        <v>116</v>
      </c>
      <c r="J23">
        <v>25</v>
      </c>
      <c r="K23">
        <v>0</v>
      </c>
      <c r="L23">
        <v>25</v>
      </c>
      <c r="M23">
        <v>0</v>
      </c>
      <c r="N23">
        <v>0</v>
      </c>
      <c r="O23">
        <f>F23/10+G23/5+H23/5+I23+J23+K23+L23+M23+N23+3*8+PowerRuling!L11+PowerRuling!L12</f>
        <v>200</v>
      </c>
    </row>
    <row r="24" spans="2:15" ht="128.25" customHeight="1" x14ac:dyDescent="0.25">
      <c r="B24">
        <v>1157</v>
      </c>
      <c r="C24" t="s">
        <v>426</v>
      </c>
      <c r="D24" s="1" t="s">
        <v>475</v>
      </c>
      <c r="E24" t="s">
        <v>474</v>
      </c>
      <c r="F24">
        <v>0</v>
      </c>
      <c r="G24">
        <v>0</v>
      </c>
      <c r="H24">
        <v>0</v>
      </c>
      <c r="I24">
        <v>105</v>
      </c>
      <c r="J24">
        <v>20</v>
      </c>
      <c r="K24">
        <v>0</v>
      </c>
      <c r="L24">
        <v>20</v>
      </c>
      <c r="M24">
        <v>-16</v>
      </c>
      <c r="N24">
        <v>0</v>
      </c>
      <c r="O24">
        <f>F24/10+G24/5+H24/5+I24+J24+K24+L24+M24+N24+2*8+5*5+3*5+15</f>
        <v>200</v>
      </c>
    </row>
    <row r="25" spans="2:15" ht="79.5" customHeight="1" x14ac:dyDescent="0.25">
      <c r="B25">
        <v>1158</v>
      </c>
      <c r="C25" t="s">
        <v>425</v>
      </c>
      <c r="D25" s="1" t="s">
        <v>477</v>
      </c>
      <c r="E25" t="s">
        <v>476</v>
      </c>
      <c r="O25">
        <f>F25/10+G25/5+H25/5+I25+J25+K25+L25+M25+N25</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50302-33EE-4E55-BC98-54EF095D0F8E}">
  <dimension ref="B1:O12"/>
  <sheetViews>
    <sheetView topLeftCell="E7" workbookViewId="0">
      <selection activeCell="A10" sqref="A10:XFD10"/>
    </sheetView>
  </sheetViews>
  <sheetFormatPr baseColWidth="10" defaultRowHeight="15" x14ac:dyDescent="0.25"/>
  <cols>
    <col min="3" max="3" width="20" bestFit="1" customWidth="1"/>
    <col min="4" max="4" width="34.28515625" customWidth="1"/>
    <col min="5" max="5" width="45.28515625" bestFit="1" customWidth="1"/>
    <col min="12" max="12" width="13.7109375" bestFit="1" customWidth="1"/>
  </cols>
  <sheetData>
    <row r="1" spans="2:15" x14ac:dyDescent="0.25">
      <c r="F1" t="s">
        <v>667</v>
      </c>
      <c r="G1" t="s">
        <v>668</v>
      </c>
      <c r="H1" t="s">
        <v>669</v>
      </c>
      <c r="I1" t="s">
        <v>670</v>
      </c>
      <c r="J1" t="s">
        <v>671</v>
      </c>
      <c r="K1" t="s">
        <v>672</v>
      </c>
      <c r="L1" t="s">
        <v>673</v>
      </c>
      <c r="M1" t="s">
        <v>674</v>
      </c>
      <c r="N1" t="s">
        <v>675</v>
      </c>
      <c r="O1" t="s">
        <v>678</v>
      </c>
    </row>
    <row r="2" spans="2:15" ht="33.75" customHeight="1" x14ac:dyDescent="0.25">
      <c r="B2">
        <v>1159</v>
      </c>
      <c r="C2" t="s">
        <v>479</v>
      </c>
      <c r="D2" s="1" t="s">
        <v>485</v>
      </c>
      <c r="E2" t="s">
        <v>251</v>
      </c>
      <c r="F2">
        <v>50</v>
      </c>
      <c r="G2">
        <v>0</v>
      </c>
      <c r="H2">
        <v>0</v>
      </c>
      <c r="I2">
        <v>19</v>
      </c>
      <c r="J2">
        <v>2</v>
      </c>
      <c r="K2">
        <v>0</v>
      </c>
      <c r="L2">
        <v>3</v>
      </c>
      <c r="M2">
        <v>-4</v>
      </c>
      <c r="N2">
        <v>0</v>
      </c>
      <c r="O2">
        <f>F2/10+G2/5+H2/5+I2+J2+K2+L2+M2+N2</f>
        <v>25</v>
      </c>
    </row>
    <row r="3" spans="2:15" ht="28.5" customHeight="1" x14ac:dyDescent="0.25">
      <c r="B3">
        <v>1160</v>
      </c>
      <c r="C3" t="s">
        <v>480</v>
      </c>
      <c r="D3" s="1" t="s">
        <v>486</v>
      </c>
      <c r="E3" t="s">
        <v>251</v>
      </c>
      <c r="F3">
        <v>10</v>
      </c>
      <c r="G3">
        <v>0</v>
      </c>
      <c r="H3">
        <v>0</v>
      </c>
      <c r="I3">
        <v>22</v>
      </c>
      <c r="J3">
        <v>0</v>
      </c>
      <c r="K3">
        <v>0</v>
      </c>
      <c r="L3">
        <v>0</v>
      </c>
      <c r="M3">
        <v>2</v>
      </c>
      <c r="N3">
        <v>0</v>
      </c>
      <c r="O3">
        <f t="shared" ref="O3:O4" si="0">F3/10+G3/5+H3/5+I3+J3+K3+L3+M3+N3</f>
        <v>25</v>
      </c>
    </row>
    <row r="4" spans="2:15" ht="47.25" customHeight="1" x14ac:dyDescent="0.25">
      <c r="B4">
        <v>1161</v>
      </c>
      <c r="C4" t="s">
        <v>481</v>
      </c>
      <c r="D4" s="1" t="s">
        <v>487</v>
      </c>
      <c r="E4" t="s">
        <v>48</v>
      </c>
      <c r="F4">
        <v>120</v>
      </c>
      <c r="G4">
        <v>0</v>
      </c>
      <c r="H4">
        <v>0</v>
      </c>
      <c r="I4">
        <v>27</v>
      </c>
      <c r="J4">
        <v>8</v>
      </c>
      <c r="K4">
        <v>0</v>
      </c>
      <c r="L4">
        <v>8</v>
      </c>
      <c r="M4">
        <v>-5</v>
      </c>
      <c r="N4">
        <v>0</v>
      </c>
      <c r="O4">
        <f t="shared" si="0"/>
        <v>50</v>
      </c>
    </row>
    <row r="5" spans="2:15" ht="65.25" customHeight="1" x14ac:dyDescent="0.25">
      <c r="B5">
        <v>1162</v>
      </c>
      <c r="C5" t="s">
        <v>482</v>
      </c>
      <c r="D5" s="1" t="s">
        <v>488</v>
      </c>
      <c r="E5" t="s">
        <v>491</v>
      </c>
      <c r="F5">
        <v>50</v>
      </c>
      <c r="G5">
        <v>0</v>
      </c>
      <c r="H5">
        <v>0</v>
      </c>
      <c r="I5">
        <v>23</v>
      </c>
      <c r="J5">
        <v>3</v>
      </c>
      <c r="K5">
        <v>0</v>
      </c>
      <c r="L5">
        <v>3</v>
      </c>
      <c r="M5">
        <v>-4</v>
      </c>
      <c r="N5">
        <v>0</v>
      </c>
      <c r="O5">
        <f>F5/10+G5/5+H5/5+I5+J5+K5+L5+M5+N5+5*PowerRuling!G29</f>
        <v>50</v>
      </c>
    </row>
    <row r="6" spans="2:15" ht="68.25" customHeight="1" x14ac:dyDescent="0.25">
      <c r="B6">
        <v>1163</v>
      </c>
      <c r="C6" t="s">
        <v>483</v>
      </c>
      <c r="D6" s="1" t="s">
        <v>489</v>
      </c>
      <c r="E6" t="s">
        <v>490</v>
      </c>
      <c r="F6">
        <v>140</v>
      </c>
      <c r="G6">
        <v>0</v>
      </c>
      <c r="H6">
        <v>0</v>
      </c>
      <c r="I6">
        <v>40</v>
      </c>
      <c r="J6">
        <v>8</v>
      </c>
      <c r="K6">
        <v>0</v>
      </c>
      <c r="L6">
        <v>8</v>
      </c>
      <c r="M6">
        <v>-8</v>
      </c>
      <c r="N6">
        <v>0</v>
      </c>
      <c r="O6">
        <f>F6/10+G6/5+H6/5+I6+J6+K6+L6+M6+N6+1*8</f>
        <v>70</v>
      </c>
    </row>
    <row r="7" spans="2:15" ht="109.5" customHeight="1" x14ac:dyDescent="0.25">
      <c r="B7">
        <v>1164</v>
      </c>
      <c r="C7" t="s">
        <v>492</v>
      </c>
      <c r="D7" s="1" t="s">
        <v>493</v>
      </c>
      <c r="E7" t="s">
        <v>494</v>
      </c>
      <c r="F7">
        <v>180</v>
      </c>
      <c r="G7">
        <v>0</v>
      </c>
      <c r="H7">
        <v>0</v>
      </c>
      <c r="I7">
        <v>38</v>
      </c>
      <c r="J7">
        <v>12</v>
      </c>
      <c r="K7">
        <v>0</v>
      </c>
      <c r="L7">
        <v>12</v>
      </c>
      <c r="M7">
        <v>-5</v>
      </c>
      <c r="N7">
        <v>0</v>
      </c>
      <c r="O7">
        <f>F7/10+G7/5+H7/5+I7+J7+K7+L7+M7+N7+15</f>
        <v>90</v>
      </c>
    </row>
    <row r="8" spans="2:15" ht="98.25" customHeight="1" x14ac:dyDescent="0.25">
      <c r="B8">
        <v>1165</v>
      </c>
      <c r="C8" t="s">
        <v>484</v>
      </c>
      <c r="D8" s="1" t="s">
        <v>496</v>
      </c>
      <c r="E8" t="s">
        <v>495</v>
      </c>
      <c r="F8">
        <v>160</v>
      </c>
      <c r="G8">
        <v>0</v>
      </c>
      <c r="H8">
        <v>0</v>
      </c>
      <c r="I8">
        <v>54</v>
      </c>
      <c r="J8">
        <v>0</v>
      </c>
      <c r="K8">
        <v>0</v>
      </c>
      <c r="L8">
        <v>0</v>
      </c>
      <c r="M8">
        <v>12</v>
      </c>
      <c r="N8">
        <v>0</v>
      </c>
      <c r="O8">
        <f>F8/10+G8/5+H8/5+I8+J8+K8+L8+M8+N8+1*8</f>
        <v>90</v>
      </c>
    </row>
    <row r="9" spans="2:15" ht="63.75" customHeight="1" x14ac:dyDescent="0.25">
      <c r="B9">
        <v>1166</v>
      </c>
      <c r="C9" t="s">
        <v>508</v>
      </c>
      <c r="D9" s="1" t="s">
        <v>497</v>
      </c>
      <c r="E9" t="s">
        <v>501</v>
      </c>
      <c r="F9">
        <v>150</v>
      </c>
      <c r="G9">
        <v>0</v>
      </c>
      <c r="H9">
        <v>0</v>
      </c>
      <c r="I9">
        <v>50</v>
      </c>
      <c r="J9">
        <v>10</v>
      </c>
      <c r="K9">
        <v>0</v>
      </c>
      <c r="L9">
        <v>10</v>
      </c>
      <c r="M9">
        <v>16</v>
      </c>
      <c r="N9">
        <v>0</v>
      </c>
      <c r="O9">
        <f>F9/10+G9/5+H9/5+I9+J9+K9+L9+M9+N9+1*8</f>
        <v>109</v>
      </c>
    </row>
    <row r="10" spans="2:15" ht="87.75" customHeight="1" x14ac:dyDescent="0.25">
      <c r="B10">
        <v>1167</v>
      </c>
      <c r="C10" t="s">
        <v>498</v>
      </c>
      <c r="D10" s="1" t="s">
        <v>499</v>
      </c>
      <c r="E10" t="s">
        <v>500</v>
      </c>
      <c r="F10">
        <v>300</v>
      </c>
      <c r="G10">
        <v>0</v>
      </c>
      <c r="H10">
        <v>0</v>
      </c>
      <c r="I10">
        <v>80</v>
      </c>
      <c r="J10">
        <v>15</v>
      </c>
      <c r="K10">
        <v>0</v>
      </c>
      <c r="L10">
        <v>15</v>
      </c>
      <c r="M10">
        <v>-18</v>
      </c>
      <c r="N10">
        <v>0</v>
      </c>
      <c r="O10">
        <f>F10/10+G10/5+H10/5+I10+J10+K10+L10+M10+N10+1*8</f>
        <v>130</v>
      </c>
    </row>
    <row r="11" spans="2:15" ht="90.75" customHeight="1" x14ac:dyDescent="0.25">
      <c r="B11">
        <v>1168</v>
      </c>
      <c r="C11" t="s">
        <v>502</v>
      </c>
      <c r="D11" s="1" t="s">
        <v>503</v>
      </c>
      <c r="E11" t="s">
        <v>504</v>
      </c>
      <c r="F11">
        <v>270</v>
      </c>
      <c r="G11">
        <v>0</v>
      </c>
      <c r="H11">
        <v>0</v>
      </c>
      <c r="I11">
        <v>82</v>
      </c>
      <c r="J11">
        <v>0</v>
      </c>
      <c r="K11">
        <v>0</v>
      </c>
      <c r="L11">
        <v>0</v>
      </c>
      <c r="M11">
        <v>35</v>
      </c>
      <c r="N11">
        <v>0</v>
      </c>
      <c r="O11">
        <f>F11/10+G11/5+H11/5+I11+J11+K11+L11+M11+N11+PowerRuling!L12</f>
        <v>150</v>
      </c>
    </row>
    <row r="12" spans="2:15" ht="108" customHeight="1" x14ac:dyDescent="0.25">
      <c r="B12">
        <v>1169</v>
      </c>
      <c r="C12" t="s">
        <v>505</v>
      </c>
      <c r="D12" s="1" t="s">
        <v>506</v>
      </c>
      <c r="E12" t="s">
        <v>507</v>
      </c>
      <c r="F12">
        <v>180</v>
      </c>
      <c r="G12">
        <v>0</v>
      </c>
      <c r="H12">
        <v>0</v>
      </c>
      <c r="I12">
        <v>90</v>
      </c>
      <c r="J12">
        <v>10</v>
      </c>
      <c r="K12">
        <v>0</v>
      </c>
      <c r="L12">
        <v>10</v>
      </c>
      <c r="M12">
        <v>20</v>
      </c>
      <c r="N12">
        <v>0</v>
      </c>
      <c r="O12">
        <f>F12/10+G12/5+H12/5+I12+J12+K12+L12+M12+N12+1*8+PowerRuling!G29*11</f>
        <v>200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984AC-102E-4205-A4C3-1211F7E2ACAB}">
  <dimension ref="B1:O23"/>
  <sheetViews>
    <sheetView topLeftCell="E20" workbookViewId="0">
      <selection activeCell="I10" sqref="I10"/>
    </sheetView>
  </sheetViews>
  <sheetFormatPr baseColWidth="10" defaultRowHeight="15" x14ac:dyDescent="0.25"/>
  <cols>
    <col min="3" max="3" width="11.5703125" bestFit="1" customWidth="1"/>
    <col min="4" max="4" width="37" customWidth="1"/>
    <col min="5" max="5" width="42.28515625" bestFit="1" customWidth="1"/>
    <col min="12" max="12" width="13.7109375" bestFit="1" customWidth="1"/>
  </cols>
  <sheetData>
    <row r="1" spans="2:15" x14ac:dyDescent="0.25">
      <c r="F1" t="s">
        <v>667</v>
      </c>
      <c r="G1" t="s">
        <v>668</v>
      </c>
      <c r="H1" t="s">
        <v>669</v>
      </c>
      <c r="I1" t="s">
        <v>670</v>
      </c>
      <c r="J1" t="s">
        <v>671</v>
      </c>
      <c r="K1" t="s">
        <v>672</v>
      </c>
      <c r="L1" t="s">
        <v>673</v>
      </c>
      <c r="M1" t="s">
        <v>674</v>
      </c>
      <c r="N1" t="s">
        <v>675</v>
      </c>
      <c r="O1" t="s">
        <v>678</v>
      </c>
    </row>
    <row r="2" spans="2:15" ht="48" customHeight="1" x14ac:dyDescent="0.25">
      <c r="B2">
        <v>1170</v>
      </c>
      <c r="C2" t="s">
        <v>510</v>
      </c>
      <c r="D2" s="1" t="s">
        <v>529</v>
      </c>
      <c r="E2" t="s">
        <v>29</v>
      </c>
      <c r="F2">
        <v>0</v>
      </c>
      <c r="G2">
        <v>0</v>
      </c>
      <c r="H2">
        <v>0</v>
      </c>
      <c r="I2">
        <v>4</v>
      </c>
      <c r="J2">
        <v>0</v>
      </c>
      <c r="K2">
        <v>0</v>
      </c>
      <c r="L2">
        <v>0</v>
      </c>
      <c r="M2">
        <v>-7</v>
      </c>
      <c r="N2">
        <v>0</v>
      </c>
      <c r="O2">
        <f>F2/10+G2/5+H2/5+I2+J2+K2+L2+M2+N2+PowerRuling!$G$19*1+1*8+PowerRuling!L17</f>
        <v>7</v>
      </c>
    </row>
    <row r="3" spans="2:15" ht="62.25" customHeight="1" x14ac:dyDescent="0.25">
      <c r="B3">
        <v>1171</v>
      </c>
      <c r="C3" t="s">
        <v>516</v>
      </c>
      <c r="D3" s="1" t="s">
        <v>530</v>
      </c>
      <c r="E3" t="s">
        <v>29</v>
      </c>
      <c r="F3">
        <v>0</v>
      </c>
      <c r="G3">
        <v>0</v>
      </c>
      <c r="H3">
        <v>0</v>
      </c>
      <c r="I3">
        <v>4</v>
      </c>
      <c r="J3">
        <v>0</v>
      </c>
      <c r="K3">
        <v>0</v>
      </c>
      <c r="L3">
        <v>0</v>
      </c>
      <c r="M3">
        <v>-9</v>
      </c>
      <c r="N3">
        <v>0</v>
      </c>
      <c r="O3">
        <f>F3/10+G3/5+H3/5+I3+J3+K3+L3+M3+N3+PowerRuling!$G$19*1+1*8+PowerRuling!L18</f>
        <v>7</v>
      </c>
    </row>
    <row r="4" spans="2:15" ht="61.5" customHeight="1" x14ac:dyDescent="0.25">
      <c r="B4">
        <v>1172</v>
      </c>
      <c r="C4" t="s">
        <v>511</v>
      </c>
      <c r="D4" s="1" t="s">
        <v>531</v>
      </c>
      <c r="E4" t="s">
        <v>532</v>
      </c>
      <c r="F4">
        <v>0</v>
      </c>
      <c r="G4">
        <v>0</v>
      </c>
      <c r="H4">
        <v>0</v>
      </c>
      <c r="I4">
        <v>8</v>
      </c>
      <c r="J4">
        <v>0</v>
      </c>
      <c r="K4">
        <v>0</v>
      </c>
      <c r="L4">
        <v>0</v>
      </c>
      <c r="M4">
        <v>-7</v>
      </c>
      <c r="N4">
        <v>0</v>
      </c>
      <c r="O4">
        <f>F4/10+G4/5+H4/5+I4+J4+K4+L4+M4+N4+PowerRuling!$G$19*2+1*8+PowerRuling!L17+PowerRuling!C61</f>
        <v>15</v>
      </c>
    </row>
    <row r="5" spans="2:15" ht="49.5" customHeight="1" x14ac:dyDescent="0.25">
      <c r="B5">
        <v>1173</v>
      </c>
      <c r="C5" t="s">
        <v>515</v>
      </c>
      <c r="D5" s="1" t="s">
        <v>533</v>
      </c>
      <c r="E5" t="s">
        <v>534</v>
      </c>
      <c r="F5">
        <v>0</v>
      </c>
      <c r="G5">
        <v>0</v>
      </c>
      <c r="H5">
        <v>0</v>
      </c>
      <c r="I5">
        <v>10</v>
      </c>
      <c r="J5">
        <v>0</v>
      </c>
      <c r="K5">
        <v>0</v>
      </c>
      <c r="L5">
        <v>0</v>
      </c>
      <c r="M5">
        <v>-9</v>
      </c>
      <c r="N5">
        <v>0</v>
      </c>
      <c r="O5">
        <f>F5/10+G5/5+H5/5+I5+J5+K5+L5+M5+N5+PowerRuling!$G$19*2+1*8+PowerRuling!L18+PowerRuling!C6</f>
        <v>15</v>
      </c>
    </row>
    <row r="6" spans="2:15" ht="30" customHeight="1" x14ac:dyDescent="0.25">
      <c r="B6">
        <v>1174</v>
      </c>
      <c r="C6" t="s">
        <v>512</v>
      </c>
      <c r="D6" s="1" t="s">
        <v>535</v>
      </c>
      <c r="E6" t="s">
        <v>251</v>
      </c>
      <c r="F6">
        <v>0</v>
      </c>
      <c r="G6">
        <v>0</v>
      </c>
      <c r="H6">
        <v>0</v>
      </c>
      <c r="I6">
        <v>16</v>
      </c>
      <c r="J6">
        <v>0</v>
      </c>
      <c r="K6">
        <v>0</v>
      </c>
      <c r="L6">
        <v>0</v>
      </c>
      <c r="M6">
        <v>-3</v>
      </c>
      <c r="N6">
        <v>0</v>
      </c>
      <c r="O6">
        <f>F6/10+G6/5+H6/5+I6+J6+K6+L6+M6+N6+PowerRuling!$G$19*3+PowerRuling!C62</f>
        <v>25</v>
      </c>
    </row>
    <row r="7" spans="2:15" ht="51" customHeight="1" x14ac:dyDescent="0.25">
      <c r="B7">
        <v>1175</v>
      </c>
      <c r="C7" t="s">
        <v>521</v>
      </c>
      <c r="D7" s="1" t="s">
        <v>537</v>
      </c>
      <c r="E7" t="s">
        <v>251</v>
      </c>
      <c r="F7">
        <v>0</v>
      </c>
      <c r="G7">
        <v>0</v>
      </c>
      <c r="H7">
        <v>0</v>
      </c>
      <c r="I7">
        <v>16</v>
      </c>
      <c r="J7">
        <v>0</v>
      </c>
      <c r="K7">
        <v>0</v>
      </c>
      <c r="L7">
        <v>0</v>
      </c>
      <c r="M7">
        <v>-5</v>
      </c>
      <c r="N7">
        <v>0</v>
      </c>
      <c r="O7">
        <f>F7/10+G7/5+H7/5+I7+J7+K7+L7+M7+N7+PowerRuling!$G$19*3+1*8+3*5</f>
        <v>25</v>
      </c>
    </row>
    <row r="8" spans="2:15" ht="84" customHeight="1" x14ac:dyDescent="0.25">
      <c r="B8">
        <v>1176</v>
      </c>
      <c r="C8" t="s">
        <v>513</v>
      </c>
      <c r="D8" s="1" t="s">
        <v>538</v>
      </c>
      <c r="E8" t="s">
        <v>539</v>
      </c>
      <c r="F8">
        <v>0</v>
      </c>
      <c r="G8">
        <v>0</v>
      </c>
      <c r="H8">
        <v>0</v>
      </c>
      <c r="I8">
        <v>21</v>
      </c>
      <c r="J8">
        <v>4</v>
      </c>
      <c r="K8">
        <v>0</v>
      </c>
      <c r="L8">
        <v>4</v>
      </c>
      <c r="M8">
        <v>-10</v>
      </c>
      <c r="N8">
        <v>0</v>
      </c>
      <c r="O8">
        <f>F8/10+G8/5+H8/5+I8+J8+K8+L8+M8+N8+PowerRuling!$G$19*4+PowerRuling!L17+1*8+PowerRuling!C61+8</f>
        <v>35</v>
      </c>
    </row>
    <row r="9" spans="2:15" ht="54.75" customHeight="1" x14ac:dyDescent="0.25">
      <c r="B9">
        <v>1177</v>
      </c>
      <c r="C9" t="s">
        <v>524</v>
      </c>
      <c r="D9" s="1" t="s">
        <v>540</v>
      </c>
      <c r="E9" t="s">
        <v>541</v>
      </c>
      <c r="F9">
        <v>0</v>
      </c>
      <c r="G9">
        <v>0</v>
      </c>
      <c r="H9">
        <v>0</v>
      </c>
      <c r="I9">
        <v>35</v>
      </c>
      <c r="J9">
        <v>0</v>
      </c>
      <c r="K9">
        <v>0</v>
      </c>
      <c r="L9">
        <v>0</v>
      </c>
      <c r="M9">
        <v>-8</v>
      </c>
      <c r="N9">
        <v>0</v>
      </c>
      <c r="O9">
        <f>F9/10+G9/5+H9/5+I9+J9+K9+L9+M9+N9+PowerRuling!$G$19*4+1*8+PowerRuling!L18+PowerRuling!C6</f>
        <v>35</v>
      </c>
    </row>
    <row r="10" spans="2:15" ht="60.75" customHeight="1" x14ac:dyDescent="0.25">
      <c r="B10">
        <v>1178</v>
      </c>
      <c r="C10" t="s">
        <v>520</v>
      </c>
      <c r="D10" s="1" t="s">
        <v>542</v>
      </c>
      <c r="E10" t="s">
        <v>48</v>
      </c>
      <c r="F10">
        <v>0</v>
      </c>
      <c r="G10">
        <v>0</v>
      </c>
      <c r="H10">
        <v>0</v>
      </c>
      <c r="I10">
        <v>45</v>
      </c>
      <c r="J10">
        <v>8</v>
      </c>
      <c r="K10">
        <v>0</v>
      </c>
      <c r="L10">
        <v>8</v>
      </c>
      <c r="M10">
        <v>-4</v>
      </c>
      <c r="N10">
        <v>0</v>
      </c>
      <c r="O10">
        <f>F10/10+G10/5+H10/5+I10+J10+K10+L10+M10+N10+PowerRuling!$G$19*5+PowerRuling!C19</f>
        <v>50</v>
      </c>
    </row>
    <row r="11" spans="2:15" ht="86.25" customHeight="1" x14ac:dyDescent="0.25">
      <c r="B11">
        <v>1179</v>
      </c>
      <c r="C11" t="s">
        <v>543</v>
      </c>
      <c r="D11" s="1" t="s">
        <v>544</v>
      </c>
      <c r="E11" t="s">
        <v>545</v>
      </c>
      <c r="F11">
        <v>0</v>
      </c>
      <c r="G11">
        <v>0</v>
      </c>
      <c r="H11">
        <v>0</v>
      </c>
      <c r="I11">
        <v>50</v>
      </c>
      <c r="J11">
        <v>12</v>
      </c>
      <c r="K11">
        <v>0</v>
      </c>
      <c r="L11">
        <v>12</v>
      </c>
      <c r="M11">
        <v>-14</v>
      </c>
      <c r="N11">
        <v>0</v>
      </c>
      <c r="O11">
        <f>F11/10+G11/5+H11/5+I11+J11+K11+L11+M11+N11+PowerRuling!$G$19*6+1*8+PowerRuling!L18+PowerRuling!C9+PowerRuling!C61</f>
        <v>70</v>
      </c>
    </row>
    <row r="12" spans="2:15" ht="86.25" customHeight="1" x14ac:dyDescent="0.25">
      <c r="B12">
        <v>1180</v>
      </c>
      <c r="C12" t="s">
        <v>514</v>
      </c>
      <c r="D12" s="1" t="s">
        <v>546</v>
      </c>
      <c r="E12" t="s">
        <v>547</v>
      </c>
      <c r="F12">
        <v>0</v>
      </c>
      <c r="G12">
        <v>0</v>
      </c>
      <c r="H12">
        <v>0</v>
      </c>
      <c r="I12">
        <v>60</v>
      </c>
      <c r="J12">
        <v>12</v>
      </c>
      <c r="K12">
        <v>0</v>
      </c>
      <c r="L12">
        <v>12</v>
      </c>
      <c r="M12">
        <v>-4</v>
      </c>
      <c r="N12">
        <v>0</v>
      </c>
      <c r="O12">
        <f>F12/10+G12/5+H12/5+I12+J12+K12+L12+M12+N12+PowerRuling!$G$19*6+1*8</f>
        <v>70</v>
      </c>
    </row>
    <row r="13" spans="2:15" ht="51.75" customHeight="1" x14ac:dyDescent="0.25">
      <c r="B13">
        <v>1181</v>
      </c>
      <c r="C13" t="s">
        <v>536</v>
      </c>
      <c r="D13" s="1" t="s">
        <v>548</v>
      </c>
      <c r="E13" t="s">
        <v>549</v>
      </c>
      <c r="F13">
        <v>0</v>
      </c>
      <c r="G13">
        <v>0</v>
      </c>
      <c r="H13">
        <v>0</v>
      </c>
      <c r="I13">
        <v>65</v>
      </c>
      <c r="J13">
        <v>16</v>
      </c>
      <c r="K13">
        <v>0</v>
      </c>
      <c r="L13">
        <v>16</v>
      </c>
      <c r="M13">
        <v>-14</v>
      </c>
      <c r="N13">
        <v>0</v>
      </c>
      <c r="O13">
        <f>F13/10+G13/5+H13/5+I13+J13+K13+L13+M13+N13+PowerRuling!$G$19*7+1*8+PowerRuling!C6+3*5</f>
        <v>90</v>
      </c>
    </row>
    <row r="14" spans="2:15" ht="75.75" customHeight="1" x14ac:dyDescent="0.25">
      <c r="B14">
        <v>1182</v>
      </c>
      <c r="C14" t="s">
        <v>517</v>
      </c>
      <c r="D14" s="1" t="s">
        <v>550</v>
      </c>
      <c r="E14" t="s">
        <v>551</v>
      </c>
      <c r="F14">
        <v>100</v>
      </c>
      <c r="G14">
        <v>0</v>
      </c>
      <c r="H14">
        <v>0</v>
      </c>
      <c r="I14">
        <v>70</v>
      </c>
      <c r="J14">
        <v>22</v>
      </c>
      <c r="K14">
        <v>0</v>
      </c>
      <c r="L14">
        <v>22</v>
      </c>
      <c r="M14">
        <v>-11</v>
      </c>
      <c r="N14">
        <v>0</v>
      </c>
      <c r="O14">
        <f>F14/10+G14/5+H14/5+I14+J14+K14+L14+M14+N14+PowerRuling!$G$19*8+1*8+PowerRuling!C19+PowerRuling!C6</f>
        <v>110</v>
      </c>
    </row>
    <row r="15" spans="2:15" ht="109.5" customHeight="1" x14ac:dyDescent="0.25">
      <c r="B15">
        <v>1183</v>
      </c>
      <c r="C15" t="s">
        <v>525</v>
      </c>
      <c r="D15" s="1" t="s">
        <v>552</v>
      </c>
      <c r="E15" t="s">
        <v>553</v>
      </c>
      <c r="F15">
        <v>80</v>
      </c>
      <c r="G15">
        <v>0</v>
      </c>
      <c r="H15">
        <v>0</v>
      </c>
      <c r="I15">
        <v>64</v>
      </c>
      <c r="J15">
        <v>18</v>
      </c>
      <c r="K15">
        <v>0</v>
      </c>
      <c r="L15">
        <v>18</v>
      </c>
      <c r="M15">
        <v>-8</v>
      </c>
      <c r="N15">
        <v>0</v>
      </c>
      <c r="O15">
        <f>F15/10+G15/5+H15/5+I15+J15+K15+L15+M15+N15+PowerRuling!$G$19*8+1*8+PowerRuling!L18+PowerRuling!C6+PowerRuling!C63</f>
        <v>110</v>
      </c>
    </row>
    <row r="16" spans="2:15" ht="81" customHeight="1" x14ac:dyDescent="0.25">
      <c r="B16">
        <v>1184</v>
      </c>
      <c r="C16" t="s">
        <v>522</v>
      </c>
      <c r="D16" s="1" t="s">
        <v>554</v>
      </c>
      <c r="E16" t="s">
        <v>555</v>
      </c>
      <c r="F16">
        <v>100</v>
      </c>
      <c r="G16">
        <v>0</v>
      </c>
      <c r="H16">
        <v>0</v>
      </c>
      <c r="I16">
        <v>70</v>
      </c>
      <c r="J16">
        <v>15</v>
      </c>
      <c r="K16">
        <v>0</v>
      </c>
      <c r="L16">
        <v>15</v>
      </c>
      <c r="M16">
        <v>-3</v>
      </c>
      <c r="N16">
        <v>0</v>
      </c>
      <c r="O16">
        <f>F16/10+G16/5+H16/5+I16+J16+K16+L16+M16+N16+PowerRuling!$G$19*8+PowerRuling!C9+PowerRuling!C62</f>
        <v>110</v>
      </c>
    </row>
    <row r="17" spans="2:15" ht="75.75" customHeight="1" x14ac:dyDescent="0.25">
      <c r="B17">
        <v>1185</v>
      </c>
      <c r="C17" t="s">
        <v>556</v>
      </c>
      <c r="D17" s="1" t="s">
        <v>557</v>
      </c>
      <c r="E17" t="s">
        <v>558</v>
      </c>
      <c r="F17">
        <v>0</v>
      </c>
      <c r="G17">
        <v>0</v>
      </c>
      <c r="H17">
        <v>0</v>
      </c>
      <c r="I17">
        <v>85</v>
      </c>
      <c r="J17">
        <v>12</v>
      </c>
      <c r="K17">
        <v>0</v>
      </c>
      <c r="L17">
        <v>12</v>
      </c>
      <c r="M17">
        <v>17</v>
      </c>
      <c r="N17">
        <v>0</v>
      </c>
      <c r="O17">
        <f>F17/10+G17/5+H17/5+I17+J17+K17+L17+M17+N17+PowerRuling!$G$19*9+2*8+PowerRuling!L20</f>
        <v>130</v>
      </c>
    </row>
    <row r="18" spans="2:15" ht="113.25" customHeight="1" x14ac:dyDescent="0.25">
      <c r="B18">
        <v>1186</v>
      </c>
      <c r="C18" t="s">
        <v>519</v>
      </c>
      <c r="D18" s="1" t="s">
        <v>559</v>
      </c>
      <c r="E18" t="s">
        <v>560</v>
      </c>
      <c r="F18">
        <v>0</v>
      </c>
      <c r="G18">
        <v>0</v>
      </c>
      <c r="H18">
        <v>0</v>
      </c>
      <c r="I18">
        <v>91</v>
      </c>
      <c r="J18">
        <v>16</v>
      </c>
      <c r="K18">
        <v>0</v>
      </c>
      <c r="L18">
        <v>16</v>
      </c>
      <c r="M18">
        <v>-4</v>
      </c>
      <c r="N18">
        <v>0</v>
      </c>
      <c r="O18">
        <f>F18/10+G18/5+H18/5+I18+J18+K18+L18+M18+N18+PowerRuling!$G$19*9+1*8+PowerRuling!L17+PowerRuling!C61+PowerRuling!C9+PowerRuling!C64</f>
        <v>130</v>
      </c>
    </row>
    <row r="19" spans="2:15" ht="95.25" customHeight="1" x14ac:dyDescent="0.25">
      <c r="B19">
        <v>1187</v>
      </c>
      <c r="C19" t="s">
        <v>527</v>
      </c>
      <c r="D19" s="1" t="s">
        <v>561</v>
      </c>
      <c r="E19" t="s">
        <v>562</v>
      </c>
      <c r="F19">
        <v>200</v>
      </c>
      <c r="G19">
        <v>0</v>
      </c>
      <c r="H19">
        <v>0</v>
      </c>
      <c r="I19">
        <v>95</v>
      </c>
      <c r="J19">
        <v>24</v>
      </c>
      <c r="K19">
        <v>0</v>
      </c>
      <c r="L19">
        <v>24</v>
      </c>
      <c r="M19">
        <v>-16</v>
      </c>
      <c r="N19">
        <v>0</v>
      </c>
      <c r="O19">
        <f>F19/10+G19/5+H19/5+I19+J19+K19+L19+M19+N19+PowerRuling!$G$19*10+1*8+3*5+PowerRuling!L17+PowerRuling!C6</f>
        <v>150</v>
      </c>
    </row>
    <row r="20" spans="2:15" ht="90.75" customHeight="1" x14ac:dyDescent="0.25">
      <c r="B20">
        <v>1188</v>
      </c>
      <c r="C20" t="s">
        <v>523</v>
      </c>
      <c r="D20" s="1" t="s">
        <v>563</v>
      </c>
      <c r="E20" t="s">
        <v>564</v>
      </c>
      <c r="F20">
        <v>150</v>
      </c>
      <c r="G20">
        <v>0</v>
      </c>
      <c r="H20">
        <v>0</v>
      </c>
      <c r="I20">
        <v>95</v>
      </c>
      <c r="J20">
        <v>20</v>
      </c>
      <c r="K20">
        <v>0</v>
      </c>
      <c r="L20">
        <v>20</v>
      </c>
      <c r="M20">
        <v>-5</v>
      </c>
      <c r="N20">
        <v>0</v>
      </c>
      <c r="O20">
        <f>F20/10+G20/5+H20/5+I20+J20+K20+L20+M20+N20+PowerRuling!$G$19*10+PowerRuling!C62+1*8+PowerRuling!C9</f>
        <v>150</v>
      </c>
    </row>
    <row r="21" spans="2:15" ht="89.25" customHeight="1" x14ac:dyDescent="0.25">
      <c r="B21">
        <v>1189</v>
      </c>
      <c r="C21" t="s">
        <v>518</v>
      </c>
      <c r="D21" s="1" t="s">
        <v>565</v>
      </c>
      <c r="E21" t="s">
        <v>566</v>
      </c>
      <c r="F21">
        <v>100</v>
      </c>
      <c r="G21">
        <v>0</v>
      </c>
      <c r="H21">
        <v>0</v>
      </c>
      <c r="I21">
        <v>85</v>
      </c>
      <c r="J21">
        <v>34</v>
      </c>
      <c r="K21">
        <v>0</v>
      </c>
      <c r="L21">
        <v>34</v>
      </c>
      <c r="M21">
        <v>-20</v>
      </c>
      <c r="N21">
        <v>0</v>
      </c>
      <c r="O21">
        <f>F21/10+G21/5+H21/5+I21+J21+K21+L21+M21+N21+PowerRuling!$G$19*11+1*8+4*8+3*5+PowerRuling!C6</f>
        <v>170</v>
      </c>
    </row>
    <row r="22" spans="2:15" ht="149.25" customHeight="1" x14ac:dyDescent="0.25">
      <c r="B22">
        <v>1190</v>
      </c>
      <c r="C22" t="s">
        <v>528</v>
      </c>
      <c r="D22" s="1" t="s">
        <v>567</v>
      </c>
      <c r="E22" t="s">
        <v>568</v>
      </c>
      <c r="F22">
        <v>300</v>
      </c>
      <c r="G22">
        <v>0</v>
      </c>
      <c r="H22">
        <v>0</v>
      </c>
      <c r="I22">
        <v>85</v>
      </c>
      <c r="J22">
        <v>30</v>
      </c>
      <c r="K22">
        <v>0</v>
      </c>
      <c r="L22">
        <v>30</v>
      </c>
      <c r="M22">
        <v>-11</v>
      </c>
      <c r="N22">
        <v>0</v>
      </c>
      <c r="O22">
        <f>F22/10+G22/5+H22/5+I22+J22+K22+L22+M22+N22+PowerRuling!$G$19*11+1*8+PowerRuling!C6+PowerRuling!C9+PowerRuling!C19+PowerRuling!L17+PowerRuling!C61</f>
        <v>170</v>
      </c>
    </row>
    <row r="23" spans="2:15" ht="150" customHeight="1" x14ac:dyDescent="0.25">
      <c r="B23">
        <v>1191</v>
      </c>
      <c r="C23" t="s">
        <v>526</v>
      </c>
      <c r="D23" s="1" t="s">
        <v>569</v>
      </c>
      <c r="E23" t="s">
        <v>570</v>
      </c>
      <c r="F23">
        <v>0</v>
      </c>
      <c r="G23">
        <v>0</v>
      </c>
      <c r="H23">
        <v>0</v>
      </c>
      <c r="I23">
        <v>110</v>
      </c>
      <c r="J23">
        <v>16</v>
      </c>
      <c r="K23">
        <v>0</v>
      </c>
      <c r="L23">
        <v>16</v>
      </c>
      <c r="M23">
        <v>25</v>
      </c>
      <c r="N23">
        <v>0</v>
      </c>
      <c r="O23">
        <f>F23/10+G23/5+H23/5+I23+J23+K23+L23+M23+N23+PowerRuling!$G$19*12+3*8+PowerRuling!L20+PowerRuling!L17+PowerRuling!C9+PowerRuling!C64+PowerRuling!C61</f>
        <v>200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9F617-3516-4490-8C9F-43ED117A1264}">
  <dimension ref="B1:O15"/>
  <sheetViews>
    <sheetView topLeftCell="E11" workbookViewId="0">
      <selection activeCell="L15" sqref="L15"/>
    </sheetView>
  </sheetViews>
  <sheetFormatPr baseColWidth="10" defaultRowHeight="15" x14ac:dyDescent="0.25"/>
  <cols>
    <col min="3" max="3" width="18.7109375" bestFit="1" customWidth="1"/>
    <col min="4" max="4" width="30.5703125" customWidth="1"/>
    <col min="5" max="5" width="47.5703125" bestFit="1" customWidth="1"/>
    <col min="12" max="12" width="13.7109375" bestFit="1" customWidth="1"/>
  </cols>
  <sheetData>
    <row r="1" spans="2:15" x14ac:dyDescent="0.25">
      <c r="F1" t="s">
        <v>667</v>
      </c>
      <c r="G1" t="s">
        <v>668</v>
      </c>
      <c r="H1" t="s">
        <v>669</v>
      </c>
      <c r="I1" t="s">
        <v>670</v>
      </c>
      <c r="J1" t="s">
        <v>671</v>
      </c>
      <c r="K1" t="s">
        <v>672</v>
      </c>
      <c r="L1" t="s">
        <v>673</v>
      </c>
      <c r="M1" t="s">
        <v>674</v>
      </c>
      <c r="N1" t="s">
        <v>675</v>
      </c>
      <c r="O1" t="s">
        <v>678</v>
      </c>
    </row>
    <row r="2" spans="2:15" ht="46.5" customHeight="1" x14ac:dyDescent="0.25">
      <c r="B2">
        <v>1192</v>
      </c>
      <c r="C2" t="s">
        <v>583</v>
      </c>
      <c r="D2" s="1" t="s">
        <v>584</v>
      </c>
      <c r="E2" t="s">
        <v>251</v>
      </c>
      <c r="F2">
        <v>0</v>
      </c>
      <c r="G2">
        <v>25</v>
      </c>
      <c r="H2">
        <v>0</v>
      </c>
      <c r="I2">
        <v>5</v>
      </c>
      <c r="J2">
        <v>0</v>
      </c>
      <c r="K2">
        <v>8</v>
      </c>
      <c r="L2">
        <v>0</v>
      </c>
      <c r="M2">
        <v>0</v>
      </c>
      <c r="N2">
        <v>0</v>
      </c>
      <c r="O2">
        <f>F2/10+G2/5+H2/5+I2+J2+K2+L2+M2+N2+PowerRuling!C13</f>
        <v>25</v>
      </c>
    </row>
    <row r="3" spans="2:15" ht="87" customHeight="1" x14ac:dyDescent="0.25">
      <c r="B3">
        <v>1193</v>
      </c>
      <c r="C3" t="s">
        <v>572</v>
      </c>
      <c r="D3" s="1" t="s">
        <v>585</v>
      </c>
      <c r="E3" t="s">
        <v>251</v>
      </c>
      <c r="F3">
        <v>0</v>
      </c>
      <c r="G3">
        <v>25</v>
      </c>
      <c r="H3">
        <v>0</v>
      </c>
      <c r="I3">
        <v>5</v>
      </c>
      <c r="J3">
        <v>0</v>
      </c>
      <c r="K3">
        <v>10</v>
      </c>
      <c r="L3">
        <v>0</v>
      </c>
      <c r="M3">
        <v>0</v>
      </c>
      <c r="N3">
        <v>0</v>
      </c>
      <c r="O3">
        <f>F3/10+G3/5+H3/5+I3+J3+K3+L3+M3+N3+PowerRuling!L8</f>
        <v>25</v>
      </c>
    </row>
    <row r="4" spans="2:15" ht="49.5" customHeight="1" x14ac:dyDescent="0.25">
      <c r="B4">
        <v>1194</v>
      </c>
      <c r="C4" t="s">
        <v>586</v>
      </c>
      <c r="D4" s="1" t="s">
        <v>587</v>
      </c>
      <c r="E4" t="s">
        <v>45</v>
      </c>
      <c r="F4">
        <v>0</v>
      </c>
      <c r="G4">
        <v>25</v>
      </c>
      <c r="H4">
        <v>0</v>
      </c>
      <c r="I4">
        <v>7</v>
      </c>
      <c r="J4">
        <v>0</v>
      </c>
      <c r="K4">
        <v>10</v>
      </c>
      <c r="L4">
        <v>0</v>
      </c>
      <c r="M4">
        <v>0</v>
      </c>
      <c r="N4">
        <v>0</v>
      </c>
      <c r="O4">
        <f>F4/10+G4/5+H4/5+I4+J4+K4+L4+M4+N4+1*8+PowerRuling!C6</f>
        <v>35</v>
      </c>
    </row>
    <row r="5" spans="2:15" ht="69.75" customHeight="1" x14ac:dyDescent="0.25">
      <c r="B5">
        <v>1195</v>
      </c>
      <c r="C5" t="s">
        <v>573</v>
      </c>
      <c r="D5" s="1" t="s">
        <v>588</v>
      </c>
      <c r="E5" t="s">
        <v>589</v>
      </c>
      <c r="F5">
        <v>0</v>
      </c>
      <c r="G5">
        <v>25</v>
      </c>
      <c r="H5">
        <v>0</v>
      </c>
      <c r="I5">
        <v>8</v>
      </c>
      <c r="J5">
        <v>0</v>
      </c>
      <c r="K5">
        <v>8</v>
      </c>
      <c r="L5">
        <v>0</v>
      </c>
      <c r="M5">
        <v>0</v>
      </c>
      <c r="N5">
        <v>0</v>
      </c>
      <c r="O5">
        <f>F5/10+G5/5+H5/5+I5+J5+K5+L5+M5+N5+PowerRuling!C13+PowerRuling!C16</f>
        <v>35</v>
      </c>
    </row>
    <row r="6" spans="2:15" ht="92.25" customHeight="1" x14ac:dyDescent="0.25">
      <c r="B6">
        <v>1196</v>
      </c>
      <c r="C6" t="s">
        <v>574</v>
      </c>
      <c r="D6" s="1" t="s">
        <v>590</v>
      </c>
      <c r="E6" t="s">
        <v>591</v>
      </c>
      <c r="F6">
        <v>0</v>
      </c>
      <c r="G6">
        <v>50</v>
      </c>
      <c r="H6">
        <v>0</v>
      </c>
      <c r="I6">
        <v>10</v>
      </c>
      <c r="J6">
        <v>0</v>
      </c>
      <c r="K6">
        <v>18</v>
      </c>
      <c r="L6">
        <v>0</v>
      </c>
      <c r="M6">
        <v>0</v>
      </c>
      <c r="N6">
        <v>0</v>
      </c>
      <c r="O6">
        <f>F6/10+G6/5+H6/5+I6+J6+K6+L6+M6+N6+PowerRuling!L8+PowerRuling!C13</f>
        <v>50</v>
      </c>
    </row>
    <row r="7" spans="2:15" ht="53.25" customHeight="1" x14ac:dyDescent="0.25">
      <c r="B7">
        <v>1197</v>
      </c>
      <c r="C7" t="s">
        <v>575</v>
      </c>
      <c r="D7" s="1" t="s">
        <v>592</v>
      </c>
      <c r="E7" t="s">
        <v>593</v>
      </c>
      <c r="F7">
        <v>0</v>
      </c>
      <c r="G7">
        <v>25</v>
      </c>
      <c r="H7">
        <v>0</v>
      </c>
      <c r="I7">
        <v>10</v>
      </c>
      <c r="J7">
        <v>0</v>
      </c>
      <c r="K7">
        <v>17</v>
      </c>
      <c r="L7">
        <v>0</v>
      </c>
      <c r="M7">
        <v>0</v>
      </c>
      <c r="N7">
        <v>0</v>
      </c>
      <c r="O7">
        <f>F7/10+G7/5+H7/5+I7+J7+K7+L7+M7+N7+1*8+PowerRuling!C7</f>
        <v>50</v>
      </c>
    </row>
    <row r="8" spans="2:15" ht="57.75" customHeight="1" x14ac:dyDescent="0.25">
      <c r="B8">
        <v>1198</v>
      </c>
      <c r="C8" t="s">
        <v>577</v>
      </c>
      <c r="D8" s="1" t="s">
        <v>594</v>
      </c>
      <c r="E8" t="s">
        <v>595</v>
      </c>
      <c r="F8">
        <v>0</v>
      </c>
      <c r="G8">
        <v>60</v>
      </c>
      <c r="H8">
        <v>0</v>
      </c>
      <c r="I8">
        <v>16</v>
      </c>
      <c r="J8">
        <v>0</v>
      </c>
      <c r="K8">
        <v>34</v>
      </c>
      <c r="L8">
        <v>0</v>
      </c>
      <c r="M8">
        <v>0</v>
      </c>
      <c r="N8">
        <v>0</v>
      </c>
      <c r="O8">
        <f>F8/10+G8/5+H8/5+I8+J8+K8+L8+M8+N8+PowerRuling!C14+PowerRuling!C17</f>
        <v>90</v>
      </c>
    </row>
    <row r="9" spans="2:15" ht="72.75" customHeight="1" x14ac:dyDescent="0.25">
      <c r="B9">
        <v>1199</v>
      </c>
      <c r="C9" t="s">
        <v>578</v>
      </c>
      <c r="D9" s="1" t="s">
        <v>596</v>
      </c>
      <c r="E9" t="s">
        <v>597</v>
      </c>
      <c r="F9">
        <v>0</v>
      </c>
      <c r="G9">
        <v>85</v>
      </c>
      <c r="H9">
        <v>0</v>
      </c>
      <c r="I9">
        <v>22</v>
      </c>
      <c r="J9">
        <v>0</v>
      </c>
      <c r="K9">
        <v>45</v>
      </c>
      <c r="L9">
        <v>0</v>
      </c>
      <c r="M9">
        <v>0</v>
      </c>
      <c r="N9">
        <v>0</v>
      </c>
      <c r="O9">
        <f>F9/10+G9/5+H9/5+I9+J9+K9+L9+M9+N9+PowerRuling!L8+PowerRuling!C15</f>
        <v>110</v>
      </c>
    </row>
    <row r="10" spans="2:15" ht="102" customHeight="1" x14ac:dyDescent="0.25">
      <c r="B10">
        <v>1200</v>
      </c>
      <c r="C10" t="s">
        <v>582</v>
      </c>
      <c r="D10" s="1" t="s">
        <v>598</v>
      </c>
      <c r="E10" t="s">
        <v>599</v>
      </c>
      <c r="F10">
        <v>70</v>
      </c>
      <c r="G10">
        <v>60</v>
      </c>
      <c r="H10">
        <v>0</v>
      </c>
      <c r="I10">
        <v>20</v>
      </c>
      <c r="J10">
        <v>0</v>
      </c>
      <c r="K10">
        <v>45</v>
      </c>
      <c r="L10">
        <v>0</v>
      </c>
      <c r="M10">
        <v>0</v>
      </c>
      <c r="N10">
        <v>0</v>
      </c>
      <c r="O10">
        <f>F10/10+G10/5+H10/5+I10+J10+K10+L10+M10+N10+1*8+PowerRuling!C7+PowerRuling!C19</f>
        <v>110</v>
      </c>
    </row>
    <row r="11" spans="2:15" ht="87.75" customHeight="1" x14ac:dyDescent="0.25">
      <c r="B11">
        <v>1201</v>
      </c>
      <c r="C11" t="s">
        <v>579</v>
      </c>
      <c r="D11" s="1" t="s">
        <v>600</v>
      </c>
      <c r="E11" t="s">
        <v>601</v>
      </c>
      <c r="F11">
        <v>0</v>
      </c>
      <c r="G11">
        <v>100</v>
      </c>
      <c r="H11">
        <v>0</v>
      </c>
      <c r="I11">
        <v>27</v>
      </c>
      <c r="J11">
        <v>0</v>
      </c>
      <c r="K11">
        <v>50</v>
      </c>
      <c r="L11">
        <v>0</v>
      </c>
      <c r="M11">
        <v>0</v>
      </c>
      <c r="N11">
        <v>0</v>
      </c>
      <c r="O11">
        <f>F11/10+G11/5+H11/5+I11+J11+K11+L11+M11+N11+PowerRuling!C14+PowerRuling!C17+PowerRuling!L8</f>
        <v>130</v>
      </c>
    </row>
    <row r="12" spans="2:15" ht="84" customHeight="1" x14ac:dyDescent="0.25">
      <c r="B12">
        <v>1202</v>
      </c>
      <c r="C12" t="s">
        <v>602</v>
      </c>
      <c r="D12" s="1" t="s">
        <v>603</v>
      </c>
      <c r="E12" t="s">
        <v>558</v>
      </c>
      <c r="F12">
        <v>0</v>
      </c>
      <c r="G12">
        <v>50</v>
      </c>
      <c r="H12">
        <v>0</v>
      </c>
      <c r="I12">
        <v>37</v>
      </c>
      <c r="J12">
        <v>0</v>
      </c>
      <c r="K12">
        <v>37</v>
      </c>
      <c r="L12">
        <v>0</v>
      </c>
      <c r="M12">
        <v>0</v>
      </c>
      <c r="N12">
        <v>0</v>
      </c>
      <c r="O12">
        <f>F12/10+G12/5+H12/5+I12+J12+K12+L12+M12+N12+1*8+PowerRuling!C7+PowerRuling!C20+PowerRuling!C14</f>
        <v>130</v>
      </c>
    </row>
    <row r="13" spans="2:15" ht="90.75" customHeight="1" x14ac:dyDescent="0.25">
      <c r="B13">
        <v>1203</v>
      </c>
      <c r="C13" t="s">
        <v>580</v>
      </c>
      <c r="D13" s="1" t="s">
        <v>604</v>
      </c>
      <c r="E13" t="s">
        <v>605</v>
      </c>
      <c r="F13">
        <v>0</v>
      </c>
      <c r="G13">
        <v>125</v>
      </c>
      <c r="H13">
        <v>0</v>
      </c>
      <c r="I13">
        <v>35</v>
      </c>
      <c r="J13">
        <v>0</v>
      </c>
      <c r="K13">
        <v>65</v>
      </c>
      <c r="L13">
        <v>0</v>
      </c>
      <c r="M13">
        <v>0</v>
      </c>
      <c r="N13">
        <v>0</v>
      </c>
      <c r="O13">
        <f>F13/10+G13/5+H13/5+I13+J13+K13+L13+M13+N13+5*3+PowerRuling!L8*2</f>
        <v>150</v>
      </c>
    </row>
    <row r="14" spans="2:15" ht="99" customHeight="1" x14ac:dyDescent="0.25">
      <c r="B14">
        <v>1204</v>
      </c>
      <c r="C14" t="s">
        <v>581</v>
      </c>
      <c r="D14" s="1" t="s">
        <v>606</v>
      </c>
      <c r="E14" t="s">
        <v>607</v>
      </c>
      <c r="F14">
        <v>0</v>
      </c>
      <c r="G14">
        <v>80</v>
      </c>
      <c r="H14">
        <v>0</v>
      </c>
      <c r="I14">
        <v>45</v>
      </c>
      <c r="J14">
        <v>0</v>
      </c>
      <c r="K14">
        <v>55</v>
      </c>
      <c r="L14">
        <v>0</v>
      </c>
      <c r="M14">
        <v>0</v>
      </c>
      <c r="N14">
        <v>0</v>
      </c>
      <c r="O14">
        <f>F14/10+G14/5+H14/5+I14+J14+K14+L14+M14+N14+PowerRuling!C7+PowerRuling!C14+PowerRuling!C20+2*8</f>
        <v>170</v>
      </c>
    </row>
    <row r="15" spans="2:15" ht="109.5" customHeight="1" x14ac:dyDescent="0.25">
      <c r="B15">
        <v>1205</v>
      </c>
      <c r="C15" t="s">
        <v>576</v>
      </c>
      <c r="D15" s="1" t="s">
        <v>608</v>
      </c>
      <c r="E15" t="s">
        <v>609</v>
      </c>
      <c r="F15">
        <v>0</v>
      </c>
      <c r="G15">
        <v>130</v>
      </c>
      <c r="H15">
        <v>0</v>
      </c>
      <c r="I15">
        <v>35</v>
      </c>
      <c r="J15">
        <v>0</v>
      </c>
      <c r="K15">
        <v>72</v>
      </c>
      <c r="L15">
        <v>0</v>
      </c>
      <c r="M15">
        <v>0</v>
      </c>
      <c r="N15">
        <v>0</v>
      </c>
      <c r="O15">
        <f>F15/10+G15/5+H15/5+I15+J15+K15+L15+M15+N15+5*3+2*PowerRuling!L8+PowerRuling!C15+PowerRuling!C18</f>
        <v>200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5C839-1A13-4135-8FE2-BA0C0DD834FF}">
  <dimension ref="B1:O11"/>
  <sheetViews>
    <sheetView topLeftCell="E7" workbookViewId="0">
      <selection activeCell="I13" sqref="I13"/>
    </sheetView>
  </sheetViews>
  <sheetFormatPr baseColWidth="10" defaultRowHeight="15" x14ac:dyDescent="0.25"/>
  <cols>
    <col min="3" max="3" width="14" bestFit="1" customWidth="1"/>
    <col min="4" max="4" width="28.5703125" customWidth="1"/>
    <col min="5" max="5" width="34.85546875" bestFit="1" customWidth="1"/>
    <col min="12" max="12" width="13.7109375" bestFit="1" customWidth="1"/>
  </cols>
  <sheetData>
    <row r="1" spans="2:15" x14ac:dyDescent="0.25">
      <c r="F1" t="s">
        <v>667</v>
      </c>
      <c r="G1" t="s">
        <v>668</v>
      </c>
      <c r="H1" t="s">
        <v>669</v>
      </c>
      <c r="I1" t="s">
        <v>670</v>
      </c>
      <c r="J1" t="s">
        <v>671</v>
      </c>
      <c r="K1" t="s">
        <v>672</v>
      </c>
      <c r="L1" t="s">
        <v>673</v>
      </c>
      <c r="M1" t="s">
        <v>674</v>
      </c>
      <c r="N1" t="s">
        <v>675</v>
      </c>
      <c r="O1" t="s">
        <v>678</v>
      </c>
    </row>
    <row r="2" spans="2:15" ht="59.25" customHeight="1" x14ac:dyDescent="0.25">
      <c r="B2">
        <v>1206</v>
      </c>
      <c r="C2" t="s">
        <v>613</v>
      </c>
      <c r="D2" s="1" t="s">
        <v>620</v>
      </c>
      <c r="E2" t="s">
        <v>45</v>
      </c>
      <c r="F2">
        <v>0</v>
      </c>
      <c r="G2">
        <v>20</v>
      </c>
      <c r="H2">
        <v>0</v>
      </c>
      <c r="I2">
        <v>25</v>
      </c>
      <c r="J2">
        <v>0</v>
      </c>
      <c r="K2">
        <v>0</v>
      </c>
      <c r="L2">
        <v>0</v>
      </c>
      <c r="M2">
        <v>0</v>
      </c>
      <c r="N2">
        <v>6</v>
      </c>
      <c r="O2">
        <f>F2/10+G2/5+H2/5+I2+J2+K2+L2+M2+N2</f>
        <v>35</v>
      </c>
    </row>
    <row r="3" spans="2:15" ht="49.5" customHeight="1" x14ac:dyDescent="0.25">
      <c r="B3">
        <v>1207</v>
      </c>
      <c r="C3" t="s">
        <v>612</v>
      </c>
      <c r="D3" s="1" t="s">
        <v>621</v>
      </c>
      <c r="E3" t="s">
        <v>48</v>
      </c>
      <c r="F3">
        <v>0</v>
      </c>
      <c r="G3">
        <v>30</v>
      </c>
      <c r="H3">
        <v>0</v>
      </c>
      <c r="I3">
        <v>32</v>
      </c>
      <c r="J3">
        <v>0</v>
      </c>
      <c r="K3">
        <v>0</v>
      </c>
      <c r="L3">
        <v>0</v>
      </c>
      <c r="M3">
        <v>6</v>
      </c>
      <c r="N3">
        <v>6</v>
      </c>
      <c r="O3">
        <f t="shared" ref="O3" si="0">F3/10+G3/5+H3/5+I3+J3+K3+L3+M3+N3</f>
        <v>50</v>
      </c>
    </row>
    <row r="4" spans="2:15" ht="71.25" customHeight="1" x14ac:dyDescent="0.25">
      <c r="B4">
        <v>1208</v>
      </c>
      <c r="C4" t="s">
        <v>611</v>
      </c>
      <c r="D4" s="1" t="s">
        <v>622</v>
      </c>
      <c r="E4" t="s">
        <v>623</v>
      </c>
      <c r="F4">
        <v>0</v>
      </c>
      <c r="G4">
        <v>60</v>
      </c>
      <c r="H4">
        <v>0</v>
      </c>
      <c r="I4">
        <v>40</v>
      </c>
      <c r="J4">
        <v>0</v>
      </c>
      <c r="K4">
        <v>0</v>
      </c>
      <c r="L4">
        <v>0</v>
      </c>
      <c r="M4">
        <v>0</v>
      </c>
      <c r="N4">
        <v>11</v>
      </c>
      <c r="O4">
        <f>F4/10+G4/5+H4/5+I4+J4+K4+L4+M4+N4+PowerRuling!C13</f>
        <v>70</v>
      </c>
    </row>
    <row r="5" spans="2:15" ht="54" customHeight="1" x14ac:dyDescent="0.25">
      <c r="B5">
        <v>1209</v>
      </c>
      <c r="C5" t="s">
        <v>614</v>
      </c>
      <c r="D5" s="1" t="s">
        <v>624</v>
      </c>
      <c r="E5" t="s">
        <v>61</v>
      </c>
      <c r="F5">
        <v>0</v>
      </c>
      <c r="G5">
        <v>40</v>
      </c>
      <c r="H5">
        <v>0</v>
      </c>
      <c r="I5">
        <v>55</v>
      </c>
      <c r="J5">
        <v>0</v>
      </c>
      <c r="K5">
        <v>0</v>
      </c>
      <c r="L5">
        <v>0</v>
      </c>
      <c r="M5">
        <v>-15</v>
      </c>
      <c r="N5">
        <v>2</v>
      </c>
      <c r="O5">
        <f>F5/10+G5/5+H5/5+I5+J5+K5+L5+M5+N5+20</f>
        <v>70</v>
      </c>
    </row>
    <row r="6" spans="2:15" ht="54.75" customHeight="1" x14ac:dyDescent="0.25">
      <c r="B6">
        <v>1210</v>
      </c>
      <c r="C6" t="s">
        <v>625</v>
      </c>
      <c r="D6" s="1" t="s">
        <v>634</v>
      </c>
      <c r="E6" t="s">
        <v>626</v>
      </c>
      <c r="F6">
        <v>0</v>
      </c>
      <c r="G6">
        <v>80</v>
      </c>
      <c r="H6">
        <v>0</v>
      </c>
      <c r="I6">
        <v>45</v>
      </c>
      <c r="J6">
        <v>0</v>
      </c>
      <c r="K6">
        <v>0</v>
      </c>
      <c r="L6">
        <v>0</v>
      </c>
      <c r="M6">
        <v>12</v>
      </c>
      <c r="N6">
        <v>12</v>
      </c>
      <c r="O6">
        <f>F6/10+G6/5+H6/5+I6+J6+K6+L6+M6+N6+PowerRuling!C6</f>
        <v>90</v>
      </c>
    </row>
    <row r="7" spans="2:15" ht="72.75" customHeight="1" x14ac:dyDescent="0.25">
      <c r="B7">
        <v>1211</v>
      </c>
      <c r="C7" t="s">
        <v>615</v>
      </c>
      <c r="D7" s="1" t="s">
        <v>627</v>
      </c>
      <c r="E7" t="s">
        <v>159</v>
      </c>
      <c r="F7">
        <v>0</v>
      </c>
      <c r="G7">
        <v>50</v>
      </c>
      <c r="H7">
        <v>0</v>
      </c>
      <c r="I7">
        <v>35</v>
      </c>
      <c r="J7">
        <v>0</v>
      </c>
      <c r="K7">
        <v>0</v>
      </c>
      <c r="L7">
        <v>0</v>
      </c>
      <c r="M7">
        <v>6</v>
      </c>
      <c r="N7">
        <v>3</v>
      </c>
      <c r="O7">
        <f>F7/10+G7/5+H7/5+I7+J7+K7+L7+M7+N7+1*8+PowerRuling!G29*7</f>
        <v>90</v>
      </c>
    </row>
    <row r="8" spans="2:15" ht="116.25" customHeight="1" x14ac:dyDescent="0.25">
      <c r="B8">
        <v>1212</v>
      </c>
      <c r="C8" t="s">
        <v>616</v>
      </c>
      <c r="D8" s="1" t="s">
        <v>628</v>
      </c>
      <c r="E8" t="s">
        <v>629</v>
      </c>
      <c r="F8">
        <v>0</v>
      </c>
      <c r="G8">
        <v>60</v>
      </c>
      <c r="H8">
        <v>0</v>
      </c>
      <c r="I8">
        <v>70</v>
      </c>
      <c r="J8">
        <v>0</v>
      </c>
      <c r="K8">
        <v>0</v>
      </c>
      <c r="L8">
        <v>0</v>
      </c>
      <c r="M8">
        <v>-22</v>
      </c>
      <c r="N8">
        <v>10</v>
      </c>
      <c r="O8">
        <f>F8/10+G8/5+H8/5+I8+J8+K8+L8+M8+N8+20</f>
        <v>90</v>
      </c>
    </row>
    <row r="9" spans="2:15" ht="147" customHeight="1" x14ac:dyDescent="0.25">
      <c r="B9">
        <v>1213</v>
      </c>
      <c r="C9" t="s">
        <v>617</v>
      </c>
      <c r="D9" s="1" t="s">
        <v>630</v>
      </c>
      <c r="E9" t="s">
        <v>629</v>
      </c>
      <c r="F9">
        <v>0</v>
      </c>
      <c r="G9">
        <v>40</v>
      </c>
      <c r="H9">
        <v>0</v>
      </c>
      <c r="I9">
        <v>70</v>
      </c>
      <c r="J9">
        <v>0</v>
      </c>
      <c r="K9">
        <v>0</v>
      </c>
      <c r="L9">
        <v>0</v>
      </c>
      <c r="M9">
        <v>-18</v>
      </c>
      <c r="N9">
        <v>10</v>
      </c>
      <c r="O9">
        <f>F9/10+G9/5+H9/5+I9+J9+K9+L9+M9+N9+20</f>
        <v>90</v>
      </c>
    </row>
    <row r="10" spans="2:15" ht="105" customHeight="1" x14ac:dyDescent="0.25">
      <c r="B10">
        <v>1214</v>
      </c>
      <c r="C10" t="s">
        <v>618</v>
      </c>
      <c r="D10" s="1" t="s">
        <v>631</v>
      </c>
      <c r="E10" t="s">
        <v>632</v>
      </c>
      <c r="F10">
        <v>0</v>
      </c>
      <c r="G10">
        <v>80</v>
      </c>
      <c r="H10">
        <v>0</v>
      </c>
      <c r="I10">
        <v>70</v>
      </c>
      <c r="J10">
        <v>0</v>
      </c>
      <c r="K10">
        <v>0</v>
      </c>
      <c r="L10">
        <v>0</v>
      </c>
      <c r="M10">
        <v>0</v>
      </c>
      <c r="N10">
        <v>16</v>
      </c>
      <c r="O10">
        <f>F10/10+G10/5+H10/5+I10+J10+K10+L10+M10+N10+PowerRuling!C14+PowerRuling!C17</f>
        <v>130</v>
      </c>
    </row>
    <row r="11" spans="2:15" ht="127.5" customHeight="1" x14ac:dyDescent="0.25">
      <c r="B11">
        <v>1215</v>
      </c>
      <c r="C11" t="s">
        <v>619</v>
      </c>
      <c r="D11" s="1" t="s">
        <v>633</v>
      </c>
      <c r="E11" t="s">
        <v>635</v>
      </c>
      <c r="F11">
        <v>0</v>
      </c>
      <c r="G11">
        <v>80</v>
      </c>
      <c r="H11">
        <v>0</v>
      </c>
      <c r="I11">
        <v>90</v>
      </c>
      <c r="J11">
        <v>0</v>
      </c>
      <c r="K11">
        <v>0</v>
      </c>
      <c r="L11">
        <v>0</v>
      </c>
      <c r="M11">
        <v>17</v>
      </c>
      <c r="N11">
        <v>17</v>
      </c>
      <c r="O11">
        <f>F11/10+G11/5+H11/5+I11+J11+K11+L11+M11+N11+PowerRuling!C7+20</f>
        <v>170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A045F-B925-432F-BC47-D75FF4A11A33}">
  <dimension ref="B1:O10"/>
  <sheetViews>
    <sheetView tabSelected="1" topLeftCell="E6" workbookViewId="0">
      <selection activeCell="K10" sqref="K10"/>
    </sheetView>
  </sheetViews>
  <sheetFormatPr baseColWidth="10" defaultRowHeight="15" x14ac:dyDescent="0.25"/>
  <cols>
    <col min="3" max="3" width="14" bestFit="1" customWidth="1"/>
    <col min="4" max="4" width="30.5703125" customWidth="1"/>
    <col min="5" max="5" width="73.7109375" bestFit="1" customWidth="1"/>
    <col min="12" max="12" width="13.7109375" bestFit="1" customWidth="1"/>
  </cols>
  <sheetData>
    <row r="1" spans="2:15" x14ac:dyDescent="0.25">
      <c r="F1" t="s">
        <v>667</v>
      </c>
      <c r="G1" t="s">
        <v>668</v>
      </c>
      <c r="H1" t="s">
        <v>669</v>
      </c>
      <c r="I1" t="s">
        <v>670</v>
      </c>
      <c r="J1" t="s">
        <v>671</v>
      </c>
      <c r="K1" t="s">
        <v>672</v>
      </c>
      <c r="L1" t="s">
        <v>673</v>
      </c>
      <c r="M1" t="s">
        <v>674</v>
      </c>
      <c r="N1" t="s">
        <v>675</v>
      </c>
      <c r="O1" t="s">
        <v>678</v>
      </c>
    </row>
    <row r="2" spans="2:15" ht="38.25" customHeight="1" x14ac:dyDescent="0.25">
      <c r="B2">
        <v>1216</v>
      </c>
      <c r="C2" t="s">
        <v>638</v>
      </c>
      <c r="D2" s="1" t="s">
        <v>646</v>
      </c>
      <c r="E2" t="s">
        <v>30</v>
      </c>
      <c r="F2">
        <v>20</v>
      </c>
      <c r="G2">
        <v>20</v>
      </c>
      <c r="H2">
        <v>0</v>
      </c>
      <c r="I2">
        <v>5</v>
      </c>
      <c r="J2">
        <v>0</v>
      </c>
      <c r="K2">
        <v>10</v>
      </c>
      <c r="L2">
        <v>0</v>
      </c>
      <c r="M2">
        <v>0</v>
      </c>
      <c r="N2">
        <v>0</v>
      </c>
      <c r="O2">
        <f>F2/10+G2/5+H2/5+I2+J2+K2+L2+M2+N2+PowerRuling!$G$19*2</f>
        <v>15</v>
      </c>
    </row>
    <row r="3" spans="2:15" ht="57.75" customHeight="1" x14ac:dyDescent="0.25">
      <c r="B3">
        <v>1217</v>
      </c>
      <c r="C3" t="s">
        <v>639</v>
      </c>
      <c r="D3" s="1" t="s">
        <v>647</v>
      </c>
      <c r="E3" t="s">
        <v>659</v>
      </c>
      <c r="F3">
        <v>20</v>
      </c>
      <c r="G3">
        <v>20</v>
      </c>
      <c r="H3">
        <v>0</v>
      </c>
      <c r="I3">
        <v>7</v>
      </c>
      <c r="J3">
        <v>0</v>
      </c>
      <c r="K3">
        <v>13</v>
      </c>
      <c r="L3">
        <v>0</v>
      </c>
      <c r="M3">
        <v>0</v>
      </c>
      <c r="N3">
        <v>0</v>
      </c>
      <c r="O3">
        <f>F3/10+G3/5+H3/5+I3+J3+K3+L3+M3+N3+PowerRuling!$G$19*3+PowerRuling!C65</f>
        <v>25</v>
      </c>
    </row>
    <row r="4" spans="2:15" ht="68.25" customHeight="1" x14ac:dyDescent="0.25">
      <c r="B4">
        <v>1218</v>
      </c>
      <c r="C4" t="s">
        <v>640</v>
      </c>
      <c r="D4" s="1" t="s">
        <v>648</v>
      </c>
      <c r="E4" t="s">
        <v>251</v>
      </c>
      <c r="F4">
        <v>25</v>
      </c>
      <c r="G4">
        <v>30</v>
      </c>
      <c r="H4">
        <v>0</v>
      </c>
      <c r="I4">
        <v>5</v>
      </c>
      <c r="J4">
        <v>0</v>
      </c>
      <c r="K4">
        <v>8</v>
      </c>
      <c r="L4">
        <v>0</v>
      </c>
      <c r="M4">
        <v>0</v>
      </c>
      <c r="N4">
        <v>0</v>
      </c>
      <c r="O4">
        <f>F4/10+G4/5+H4/5+I4+J4+K4+L4+M4+N4+PowerRuling!$G$19*3+1*8+PowerRuling!L8</f>
        <v>25.5</v>
      </c>
    </row>
    <row r="5" spans="2:15" ht="72.75" customHeight="1" x14ac:dyDescent="0.25">
      <c r="B5">
        <v>1219</v>
      </c>
      <c r="C5" t="s">
        <v>641</v>
      </c>
      <c r="D5" s="1" t="s">
        <v>649</v>
      </c>
      <c r="E5" t="s">
        <v>251</v>
      </c>
      <c r="F5">
        <v>20</v>
      </c>
      <c r="G5">
        <v>40</v>
      </c>
      <c r="H5">
        <v>0</v>
      </c>
      <c r="I5">
        <v>4</v>
      </c>
      <c r="J5">
        <v>0</v>
      </c>
      <c r="K5">
        <v>8</v>
      </c>
      <c r="L5">
        <v>0</v>
      </c>
      <c r="M5">
        <v>0</v>
      </c>
      <c r="N5">
        <v>0</v>
      </c>
      <c r="O5">
        <f>F5/10+G5/5+H5/5+I5+J5+K5+L5+M5+N5+PowerRuling!$G$19*3+1*8+PowerRuling!L8</f>
        <v>26</v>
      </c>
    </row>
    <row r="6" spans="2:15" ht="98.25" customHeight="1" x14ac:dyDescent="0.25">
      <c r="B6">
        <v>1220</v>
      </c>
      <c r="C6" t="s">
        <v>642</v>
      </c>
      <c r="D6" s="1" t="s">
        <v>651</v>
      </c>
      <c r="E6" t="s">
        <v>650</v>
      </c>
      <c r="F6">
        <v>50</v>
      </c>
      <c r="G6">
        <v>50</v>
      </c>
      <c r="H6">
        <v>0</v>
      </c>
      <c r="I6">
        <v>10</v>
      </c>
      <c r="J6">
        <v>0</v>
      </c>
      <c r="K6">
        <v>10</v>
      </c>
      <c r="L6">
        <v>0</v>
      </c>
      <c r="M6">
        <v>0</v>
      </c>
      <c r="N6">
        <v>0</v>
      </c>
      <c r="O6">
        <f>F6/10+G6/5+H6/5+I6+J6+K6+L6+M6+N6+PowerRuling!$G$19*5+1*8+PowerRuling!C65+14</f>
        <v>50</v>
      </c>
    </row>
    <row r="7" spans="2:15" ht="81.75" customHeight="1" x14ac:dyDescent="0.25">
      <c r="B7">
        <v>1221</v>
      </c>
      <c r="C7" t="s">
        <v>643</v>
      </c>
      <c r="D7" s="1" t="s">
        <v>653</v>
      </c>
      <c r="E7" t="s">
        <v>652</v>
      </c>
      <c r="F7">
        <v>80</v>
      </c>
      <c r="G7">
        <v>80</v>
      </c>
      <c r="H7">
        <v>0</v>
      </c>
      <c r="I7">
        <v>18</v>
      </c>
      <c r="J7">
        <v>0</v>
      </c>
      <c r="K7">
        <v>48</v>
      </c>
      <c r="L7">
        <v>0</v>
      </c>
      <c r="M7">
        <v>0</v>
      </c>
      <c r="N7">
        <v>0</v>
      </c>
      <c r="O7">
        <f>F7/10+G7/5+H7/5+I7+J7+K7+L7+M7+N7+PowerRuling!$G$19*7+2*8+PowerRuling!L8</f>
        <v>90</v>
      </c>
    </row>
    <row r="8" spans="2:15" ht="112.5" customHeight="1" x14ac:dyDescent="0.25">
      <c r="B8">
        <v>1222</v>
      </c>
      <c r="C8" t="s">
        <v>644</v>
      </c>
      <c r="D8" s="1" t="s">
        <v>654</v>
      </c>
      <c r="E8" t="s">
        <v>655</v>
      </c>
      <c r="F8">
        <v>120</v>
      </c>
      <c r="G8">
        <v>160</v>
      </c>
      <c r="H8">
        <v>0</v>
      </c>
      <c r="I8">
        <v>35</v>
      </c>
      <c r="J8">
        <v>0</v>
      </c>
      <c r="K8">
        <v>80</v>
      </c>
      <c r="L8">
        <v>0</v>
      </c>
      <c r="M8">
        <v>0</v>
      </c>
      <c r="N8">
        <v>0</v>
      </c>
      <c r="O8">
        <f>F8/10+G8/5+H8/5+I8+J8+K8+L8+M8+N8+PowerRuling!$G$19*10+1*8+3+PowerRuling!L14</f>
        <v>150</v>
      </c>
    </row>
    <row r="9" spans="2:15" ht="115.5" customHeight="1" x14ac:dyDescent="0.25">
      <c r="B9">
        <v>1223</v>
      </c>
      <c r="C9" t="s">
        <v>645</v>
      </c>
      <c r="D9" s="1" t="s">
        <v>656</v>
      </c>
      <c r="E9" t="s">
        <v>655</v>
      </c>
      <c r="F9">
        <v>80</v>
      </c>
      <c r="G9">
        <v>160</v>
      </c>
      <c r="H9">
        <v>0</v>
      </c>
      <c r="I9">
        <v>25</v>
      </c>
      <c r="J9">
        <v>0</v>
      </c>
      <c r="K9">
        <v>90</v>
      </c>
      <c r="L9">
        <v>0</v>
      </c>
      <c r="M9">
        <v>0</v>
      </c>
      <c r="N9">
        <v>0</v>
      </c>
      <c r="O9">
        <f>F9/10+G9/5+H9/5+I9+J9+K9+L9+M9+N9+PowerRuling!$G$19*10+3*1+1*8+PowerRuling!G33</f>
        <v>150</v>
      </c>
    </row>
    <row r="10" spans="2:15" ht="165" customHeight="1" x14ac:dyDescent="0.25">
      <c r="B10">
        <v>1224</v>
      </c>
      <c r="C10" t="s">
        <v>636</v>
      </c>
      <c r="D10" s="1" t="s">
        <v>657</v>
      </c>
      <c r="E10" t="s">
        <v>658</v>
      </c>
      <c r="F10">
        <v>120</v>
      </c>
      <c r="G10">
        <v>160</v>
      </c>
      <c r="H10">
        <v>0</v>
      </c>
      <c r="I10">
        <v>46</v>
      </c>
      <c r="J10">
        <v>0</v>
      </c>
      <c r="K10">
        <v>100</v>
      </c>
      <c r="L10">
        <v>0</v>
      </c>
      <c r="M10">
        <v>0</v>
      </c>
      <c r="N10">
        <v>0</v>
      </c>
      <c r="O10">
        <f>F10/10+G10/5+H10/5+I10+J10+K10+L10+M10+N10+PowerRuling!$G$19*12+6+2*8+PowerRuling!G33+PowerRuling!L14</f>
        <v>200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5F246-E8D7-402E-9A8B-F3ABB3622514}">
  <dimension ref="B2:L65"/>
  <sheetViews>
    <sheetView workbookViewId="0">
      <selection activeCell="E67" sqref="E67"/>
    </sheetView>
  </sheetViews>
  <sheetFormatPr baseColWidth="10" defaultRowHeight="15" x14ac:dyDescent="0.25"/>
  <cols>
    <col min="2" max="2" width="16" customWidth="1"/>
    <col min="6" max="6" width="36.140625" customWidth="1"/>
    <col min="11" max="11" width="25.5703125" customWidth="1"/>
  </cols>
  <sheetData>
    <row r="2" spans="2:12" x14ac:dyDescent="0.25">
      <c r="B2" t="s">
        <v>676</v>
      </c>
    </row>
    <row r="4" spans="2:12" x14ac:dyDescent="0.25">
      <c r="B4" t="s">
        <v>677</v>
      </c>
    </row>
    <row r="5" spans="2:12" x14ac:dyDescent="0.25">
      <c r="B5" t="s">
        <v>679</v>
      </c>
    </row>
    <row r="6" spans="2:12" x14ac:dyDescent="0.25">
      <c r="B6" t="s">
        <v>680</v>
      </c>
      <c r="C6">
        <v>5</v>
      </c>
    </row>
    <row r="7" spans="2:12" x14ac:dyDescent="0.25">
      <c r="B7" t="s">
        <v>681</v>
      </c>
      <c r="C7">
        <v>10</v>
      </c>
    </row>
    <row r="8" spans="2:12" x14ac:dyDescent="0.25">
      <c r="B8" t="s">
        <v>682</v>
      </c>
      <c r="C8">
        <v>20</v>
      </c>
      <c r="F8" t="s">
        <v>702</v>
      </c>
      <c r="K8" t="s">
        <v>713</v>
      </c>
      <c r="L8">
        <v>5</v>
      </c>
    </row>
    <row r="9" spans="2:12" x14ac:dyDescent="0.25">
      <c r="B9" t="s">
        <v>683</v>
      </c>
      <c r="C9">
        <v>6</v>
      </c>
    </row>
    <row r="10" spans="2:12" x14ac:dyDescent="0.25">
      <c r="B10" t="s">
        <v>684</v>
      </c>
      <c r="C10">
        <v>4</v>
      </c>
      <c r="F10" t="s">
        <v>701</v>
      </c>
      <c r="K10" t="s">
        <v>715</v>
      </c>
    </row>
    <row r="11" spans="2:12" x14ac:dyDescent="0.25">
      <c r="B11" t="s">
        <v>685</v>
      </c>
      <c r="C11">
        <v>6</v>
      </c>
      <c r="F11" t="s">
        <v>684</v>
      </c>
      <c r="G11">
        <v>5</v>
      </c>
      <c r="K11" t="s">
        <v>716</v>
      </c>
      <c r="L11">
        <v>4</v>
      </c>
    </row>
    <row r="12" spans="2:12" x14ac:dyDescent="0.25">
      <c r="B12" t="s">
        <v>686</v>
      </c>
      <c r="C12">
        <v>6</v>
      </c>
      <c r="F12" t="s">
        <v>685</v>
      </c>
      <c r="G12">
        <v>8</v>
      </c>
      <c r="K12" t="s">
        <v>717</v>
      </c>
      <c r="L12">
        <v>6</v>
      </c>
    </row>
    <row r="13" spans="2:12" x14ac:dyDescent="0.25">
      <c r="B13" t="s">
        <v>687</v>
      </c>
      <c r="C13">
        <v>7</v>
      </c>
      <c r="F13" t="s">
        <v>686</v>
      </c>
      <c r="G13">
        <v>10</v>
      </c>
    </row>
    <row r="14" spans="2:12" x14ac:dyDescent="0.25">
      <c r="B14" t="s">
        <v>688</v>
      </c>
      <c r="C14">
        <v>14</v>
      </c>
      <c r="F14" t="s">
        <v>740</v>
      </c>
      <c r="G14">
        <v>12</v>
      </c>
      <c r="K14" t="s">
        <v>727</v>
      </c>
      <c r="L14">
        <v>10</v>
      </c>
    </row>
    <row r="15" spans="2:12" x14ac:dyDescent="0.25">
      <c r="B15" t="s">
        <v>689</v>
      </c>
      <c r="C15">
        <v>21</v>
      </c>
      <c r="F15" t="s">
        <v>703</v>
      </c>
    </row>
    <row r="16" spans="2:12" x14ac:dyDescent="0.25">
      <c r="B16" t="s">
        <v>690</v>
      </c>
      <c r="C16">
        <v>7</v>
      </c>
      <c r="F16" t="s">
        <v>704</v>
      </c>
      <c r="G16">
        <v>7</v>
      </c>
    </row>
    <row r="17" spans="2:12" x14ac:dyDescent="0.25">
      <c r="B17" t="s">
        <v>691</v>
      </c>
      <c r="C17">
        <v>14</v>
      </c>
      <c r="F17" t="s">
        <v>705</v>
      </c>
      <c r="G17">
        <v>7</v>
      </c>
      <c r="K17" t="s">
        <v>755</v>
      </c>
      <c r="L17">
        <v>5</v>
      </c>
    </row>
    <row r="18" spans="2:12" x14ac:dyDescent="0.25">
      <c r="B18" t="s">
        <v>692</v>
      </c>
      <c r="C18">
        <v>21</v>
      </c>
      <c r="K18" t="s">
        <v>756</v>
      </c>
      <c r="L18">
        <v>7</v>
      </c>
    </row>
    <row r="19" spans="2:12" x14ac:dyDescent="0.25">
      <c r="B19" t="s">
        <v>696</v>
      </c>
      <c r="C19">
        <v>8</v>
      </c>
      <c r="F19" t="s">
        <v>733</v>
      </c>
      <c r="G19">
        <v>-3</v>
      </c>
    </row>
    <row r="20" spans="2:12" x14ac:dyDescent="0.25">
      <c r="B20" t="s">
        <v>697</v>
      </c>
      <c r="C20">
        <v>14</v>
      </c>
      <c r="K20" t="s">
        <v>760</v>
      </c>
      <c r="L20">
        <v>15</v>
      </c>
    </row>
    <row r="21" spans="2:12" x14ac:dyDescent="0.25">
      <c r="B21" t="s">
        <v>698</v>
      </c>
      <c r="C21">
        <v>22</v>
      </c>
    </row>
    <row r="22" spans="2:12" x14ac:dyDescent="0.25">
      <c r="B22" t="s">
        <v>726</v>
      </c>
      <c r="C22">
        <v>14</v>
      </c>
      <c r="F22" t="s">
        <v>710</v>
      </c>
    </row>
    <row r="23" spans="2:12" x14ac:dyDescent="0.25">
      <c r="B23" t="s">
        <v>693</v>
      </c>
      <c r="F23" t="s">
        <v>682</v>
      </c>
      <c r="G23">
        <v>-20</v>
      </c>
    </row>
    <row r="24" spans="2:12" x14ac:dyDescent="0.25">
      <c r="B24" t="s">
        <v>694</v>
      </c>
      <c r="C24">
        <v>6</v>
      </c>
    </row>
    <row r="25" spans="2:12" x14ac:dyDescent="0.25">
      <c r="B25" t="s">
        <v>695</v>
      </c>
      <c r="C25">
        <v>8</v>
      </c>
    </row>
    <row r="26" spans="2:12" x14ac:dyDescent="0.25">
      <c r="B26" t="s">
        <v>699</v>
      </c>
      <c r="C26">
        <v>13</v>
      </c>
      <c r="F26" t="s">
        <v>720</v>
      </c>
    </row>
    <row r="27" spans="2:12" x14ac:dyDescent="0.25">
      <c r="B27" t="s">
        <v>700</v>
      </c>
      <c r="C27">
        <v>6</v>
      </c>
      <c r="F27" t="s">
        <v>735</v>
      </c>
    </row>
    <row r="28" spans="2:12" x14ac:dyDescent="0.25">
      <c r="B28" t="s">
        <v>706</v>
      </c>
      <c r="C28">
        <v>18</v>
      </c>
    </row>
    <row r="29" spans="2:12" x14ac:dyDescent="0.25">
      <c r="B29" t="s">
        <v>707</v>
      </c>
      <c r="C29">
        <v>8</v>
      </c>
      <c r="F29" t="s">
        <v>754</v>
      </c>
      <c r="G29">
        <v>4</v>
      </c>
    </row>
    <row r="30" spans="2:12" x14ac:dyDescent="0.25">
      <c r="B30" t="s">
        <v>708</v>
      </c>
      <c r="C30">
        <v>15</v>
      </c>
    </row>
    <row r="31" spans="2:12" x14ac:dyDescent="0.25">
      <c r="B31" t="s">
        <v>709</v>
      </c>
      <c r="C31">
        <v>15</v>
      </c>
      <c r="F31" t="s">
        <v>751</v>
      </c>
    </row>
    <row r="32" spans="2:12" x14ac:dyDescent="0.25">
      <c r="B32" t="s">
        <v>711</v>
      </c>
      <c r="C32">
        <v>22</v>
      </c>
      <c r="F32" t="s">
        <v>752</v>
      </c>
      <c r="G32">
        <v>14</v>
      </c>
    </row>
    <row r="33" spans="2:7" x14ac:dyDescent="0.25">
      <c r="B33" t="s">
        <v>714</v>
      </c>
      <c r="C33">
        <v>7</v>
      </c>
      <c r="F33" t="s">
        <v>753</v>
      </c>
      <c r="G33">
        <v>14</v>
      </c>
    </row>
    <row r="34" spans="2:7" x14ac:dyDescent="0.25">
      <c r="B34" t="s">
        <v>718</v>
      </c>
      <c r="C34">
        <v>6</v>
      </c>
    </row>
    <row r="35" spans="2:7" x14ac:dyDescent="0.25">
      <c r="B35" t="s">
        <v>719</v>
      </c>
      <c r="C35">
        <v>9</v>
      </c>
    </row>
    <row r="36" spans="2:7" x14ac:dyDescent="0.25">
      <c r="B36" t="s">
        <v>721</v>
      </c>
      <c r="C36">
        <v>9</v>
      </c>
    </row>
    <row r="37" spans="2:7" x14ac:dyDescent="0.25">
      <c r="B37" t="s">
        <v>722</v>
      </c>
      <c r="C37">
        <v>10</v>
      </c>
    </row>
    <row r="38" spans="2:7" x14ac:dyDescent="0.25">
      <c r="B38" t="s">
        <v>723</v>
      </c>
      <c r="C38">
        <v>20</v>
      </c>
    </row>
    <row r="39" spans="2:7" x14ac:dyDescent="0.25">
      <c r="B39" t="s">
        <v>724</v>
      </c>
      <c r="C39">
        <v>11</v>
      </c>
    </row>
    <row r="40" spans="2:7" x14ac:dyDescent="0.25">
      <c r="B40" t="s">
        <v>725</v>
      </c>
      <c r="C40">
        <v>16</v>
      </c>
    </row>
    <row r="41" spans="2:7" x14ac:dyDescent="0.25">
      <c r="B41" t="s">
        <v>728</v>
      </c>
      <c r="C41">
        <v>14</v>
      </c>
    </row>
    <row r="42" spans="2:7" x14ac:dyDescent="0.25">
      <c r="B42" t="s">
        <v>729</v>
      </c>
      <c r="C42">
        <v>10</v>
      </c>
    </row>
    <row r="43" spans="2:7" x14ac:dyDescent="0.25">
      <c r="B43" t="s">
        <v>730</v>
      </c>
      <c r="C43">
        <v>16</v>
      </c>
    </row>
    <row r="44" spans="2:7" x14ac:dyDescent="0.25">
      <c r="B44" t="s">
        <v>731</v>
      </c>
      <c r="C44">
        <v>11</v>
      </c>
    </row>
    <row r="45" spans="2:7" x14ac:dyDescent="0.25">
      <c r="B45" t="s">
        <v>732</v>
      </c>
      <c r="C45">
        <v>13</v>
      </c>
    </row>
    <row r="46" spans="2:7" x14ac:dyDescent="0.25">
      <c r="B46" t="s">
        <v>734</v>
      </c>
      <c r="C46">
        <v>14</v>
      </c>
    </row>
    <row r="47" spans="2:7" x14ac:dyDescent="0.25">
      <c r="B47" t="s">
        <v>736</v>
      </c>
      <c r="C47">
        <v>8</v>
      </c>
    </row>
    <row r="48" spans="2:7" x14ac:dyDescent="0.25">
      <c r="B48" t="s">
        <v>737</v>
      </c>
      <c r="C48">
        <v>14</v>
      </c>
    </row>
    <row r="49" spans="2:3" x14ac:dyDescent="0.25">
      <c r="B49" t="s">
        <v>738</v>
      </c>
      <c r="C49">
        <v>10</v>
      </c>
    </row>
    <row r="50" spans="2:3" x14ac:dyDescent="0.25">
      <c r="B50" t="s">
        <v>739</v>
      </c>
      <c r="C50">
        <v>15</v>
      </c>
    </row>
    <row r="51" spans="2:3" x14ac:dyDescent="0.25">
      <c r="B51" t="s">
        <v>741</v>
      </c>
      <c r="C51">
        <v>8</v>
      </c>
    </row>
    <row r="52" spans="2:3" x14ac:dyDescent="0.25">
      <c r="B52" t="s">
        <v>742</v>
      </c>
      <c r="C52">
        <v>12</v>
      </c>
    </row>
    <row r="53" spans="2:3" x14ac:dyDescent="0.25">
      <c r="B53" t="s">
        <v>743</v>
      </c>
      <c r="C53">
        <v>7</v>
      </c>
    </row>
    <row r="54" spans="2:3" x14ac:dyDescent="0.25">
      <c r="B54" t="s">
        <v>744</v>
      </c>
      <c r="C54">
        <v>15</v>
      </c>
    </row>
    <row r="55" spans="2:3" x14ac:dyDescent="0.25">
      <c r="B55" t="s">
        <v>745</v>
      </c>
      <c r="C55">
        <v>6</v>
      </c>
    </row>
    <row r="56" spans="2:3" x14ac:dyDescent="0.25">
      <c r="B56" t="s">
        <v>746</v>
      </c>
      <c r="C56">
        <v>6</v>
      </c>
    </row>
    <row r="57" spans="2:3" x14ac:dyDescent="0.25">
      <c r="B57" t="s">
        <v>747</v>
      </c>
      <c r="C57">
        <v>11</v>
      </c>
    </row>
    <row r="58" spans="2:3" x14ac:dyDescent="0.25">
      <c r="B58" t="s">
        <v>748</v>
      </c>
      <c r="C58">
        <v>12</v>
      </c>
    </row>
    <row r="59" spans="2:3" x14ac:dyDescent="0.25">
      <c r="B59" t="s">
        <v>749</v>
      </c>
      <c r="C59">
        <v>15</v>
      </c>
    </row>
    <row r="60" spans="2:3" x14ac:dyDescent="0.25">
      <c r="B60" t="s">
        <v>750</v>
      </c>
      <c r="C60">
        <v>18</v>
      </c>
    </row>
    <row r="61" spans="2:3" x14ac:dyDescent="0.25">
      <c r="B61" t="s">
        <v>757</v>
      </c>
      <c r="C61">
        <v>7</v>
      </c>
    </row>
    <row r="62" spans="2:3" x14ac:dyDescent="0.25">
      <c r="B62" t="s">
        <v>758</v>
      </c>
      <c r="C62">
        <v>21</v>
      </c>
    </row>
    <row r="63" spans="2:3" x14ac:dyDescent="0.25">
      <c r="B63" t="s">
        <v>759</v>
      </c>
      <c r="C63">
        <v>14</v>
      </c>
    </row>
    <row r="64" spans="2:3" x14ac:dyDescent="0.25">
      <c r="B64" t="s">
        <v>761</v>
      </c>
      <c r="C64">
        <v>12</v>
      </c>
    </row>
    <row r="65" spans="2:3" x14ac:dyDescent="0.25">
      <c r="B65" t="s">
        <v>762</v>
      </c>
      <c r="C65">
        <v>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DFD57-C829-46C4-A7CF-3734419064E7}">
  <dimension ref="B1:O33"/>
  <sheetViews>
    <sheetView topLeftCell="E26" zoomScale="85" zoomScaleNormal="85" workbookViewId="0">
      <selection activeCell="J18" sqref="J18"/>
    </sheetView>
  </sheetViews>
  <sheetFormatPr baseColWidth="10" defaultRowHeight="15" x14ac:dyDescent="0.25"/>
  <cols>
    <col min="3" max="3" width="20.42578125" bestFit="1" customWidth="1"/>
    <col min="4" max="4" width="28.28515625" customWidth="1"/>
    <col min="5" max="5" width="60.28515625" bestFit="1" customWidth="1"/>
    <col min="12" max="12" width="13.7109375" bestFit="1" customWidth="1"/>
  </cols>
  <sheetData>
    <row r="1" spans="2:15" x14ac:dyDescent="0.25">
      <c r="F1" t="s">
        <v>667</v>
      </c>
      <c r="G1" t="s">
        <v>668</v>
      </c>
      <c r="H1" t="s">
        <v>669</v>
      </c>
      <c r="I1" t="s">
        <v>670</v>
      </c>
      <c r="J1" t="s">
        <v>671</v>
      </c>
      <c r="K1" t="s">
        <v>672</v>
      </c>
      <c r="L1" t="s">
        <v>673</v>
      </c>
      <c r="M1" t="s">
        <v>674</v>
      </c>
      <c r="N1" t="s">
        <v>675</v>
      </c>
      <c r="O1" t="s">
        <v>678</v>
      </c>
    </row>
    <row r="2" spans="2:15" x14ac:dyDescent="0.25">
      <c r="B2">
        <v>1000</v>
      </c>
      <c r="C2" t="s">
        <v>26</v>
      </c>
      <c r="D2" s="1" t="s">
        <v>32</v>
      </c>
      <c r="E2" t="s">
        <v>29</v>
      </c>
      <c r="F2">
        <v>0</v>
      </c>
      <c r="G2">
        <v>0</v>
      </c>
      <c r="H2">
        <v>0</v>
      </c>
      <c r="I2">
        <v>5</v>
      </c>
      <c r="J2">
        <v>2</v>
      </c>
      <c r="K2">
        <v>0</v>
      </c>
      <c r="L2">
        <v>0</v>
      </c>
      <c r="M2">
        <v>0</v>
      </c>
      <c r="N2">
        <v>0</v>
      </c>
      <c r="O2">
        <f>(F2/10)+G2/5+H2/5+I2+J2+K2+L2+M2+N2</f>
        <v>7</v>
      </c>
    </row>
    <row r="3" spans="2:15" x14ac:dyDescent="0.25">
      <c r="B3">
        <v>1001</v>
      </c>
      <c r="C3" t="s">
        <v>27</v>
      </c>
      <c r="D3" s="1" t="s">
        <v>38</v>
      </c>
      <c r="E3" t="s">
        <v>30</v>
      </c>
      <c r="F3">
        <v>0</v>
      </c>
      <c r="G3">
        <v>0</v>
      </c>
      <c r="H3">
        <v>0</v>
      </c>
      <c r="I3">
        <v>6</v>
      </c>
      <c r="J3">
        <v>2</v>
      </c>
      <c r="K3">
        <v>0</v>
      </c>
      <c r="L3">
        <v>2</v>
      </c>
      <c r="M3">
        <v>0</v>
      </c>
      <c r="N3">
        <v>0</v>
      </c>
      <c r="O3">
        <f>(F3/10)+G3/5+H3/5+I3+J3+K3+L3+M3+N3+PowerRuling!C6</f>
        <v>15</v>
      </c>
    </row>
    <row r="4" spans="2:15" x14ac:dyDescent="0.25">
      <c r="B4">
        <v>1002</v>
      </c>
      <c r="C4" t="s">
        <v>31</v>
      </c>
      <c r="D4" s="1" t="s">
        <v>32</v>
      </c>
      <c r="E4" t="s">
        <v>33</v>
      </c>
      <c r="F4">
        <v>0</v>
      </c>
      <c r="G4">
        <v>0</v>
      </c>
      <c r="H4">
        <v>0</v>
      </c>
      <c r="I4">
        <v>9</v>
      </c>
      <c r="J4">
        <v>3</v>
      </c>
      <c r="K4">
        <v>0</v>
      </c>
      <c r="L4">
        <v>3</v>
      </c>
      <c r="M4">
        <v>0</v>
      </c>
      <c r="N4">
        <v>0</v>
      </c>
      <c r="O4">
        <f>(F4/10)+G4/5+H4/5+I4+J4+K4+L4+M4+N4</f>
        <v>15</v>
      </c>
    </row>
    <row r="5" spans="2:15" x14ac:dyDescent="0.25">
      <c r="B5">
        <v>1003</v>
      </c>
      <c r="C5" t="s">
        <v>34</v>
      </c>
      <c r="D5" s="1" t="s">
        <v>32</v>
      </c>
      <c r="E5" t="s">
        <v>35</v>
      </c>
      <c r="F5">
        <v>0</v>
      </c>
      <c r="G5">
        <v>0</v>
      </c>
      <c r="H5">
        <v>0</v>
      </c>
      <c r="I5">
        <v>13</v>
      </c>
      <c r="J5">
        <v>6</v>
      </c>
      <c r="K5">
        <v>0</v>
      </c>
      <c r="L5">
        <v>6</v>
      </c>
      <c r="M5">
        <v>0</v>
      </c>
      <c r="N5">
        <v>0</v>
      </c>
      <c r="O5">
        <f>(F5/10)+G5/5+H5/5+I5+J5+K5+L5+M5+N5</f>
        <v>25</v>
      </c>
    </row>
    <row r="6" spans="2:15" ht="30" x14ac:dyDescent="0.25">
      <c r="B6">
        <v>1004</v>
      </c>
      <c r="C6" t="s">
        <v>36</v>
      </c>
      <c r="D6" s="1" t="s">
        <v>37</v>
      </c>
      <c r="E6" t="s">
        <v>39</v>
      </c>
      <c r="F6">
        <v>0</v>
      </c>
      <c r="G6">
        <v>0</v>
      </c>
      <c r="H6">
        <v>0</v>
      </c>
      <c r="I6">
        <v>6</v>
      </c>
      <c r="J6">
        <v>5</v>
      </c>
      <c r="K6">
        <v>0</v>
      </c>
      <c r="L6">
        <v>2</v>
      </c>
      <c r="M6">
        <v>0</v>
      </c>
      <c r="N6">
        <v>0</v>
      </c>
      <c r="O6">
        <f>(F6/10)+G6/5+H6/5+I6+J6+K6+L6+M6+N6+PowerRuling!C6+PowerRuling!C24</f>
        <v>24</v>
      </c>
    </row>
    <row r="7" spans="2:15" x14ac:dyDescent="0.25">
      <c r="B7">
        <v>1005</v>
      </c>
      <c r="C7" t="s">
        <v>40</v>
      </c>
      <c r="D7" s="1" t="s">
        <v>41</v>
      </c>
      <c r="E7" t="s">
        <v>42</v>
      </c>
      <c r="F7">
        <v>0</v>
      </c>
      <c r="G7">
        <v>0</v>
      </c>
      <c r="H7">
        <v>0</v>
      </c>
      <c r="I7">
        <v>18</v>
      </c>
      <c r="J7">
        <v>9</v>
      </c>
      <c r="K7">
        <v>0</v>
      </c>
      <c r="L7">
        <v>9</v>
      </c>
      <c r="M7">
        <v>0</v>
      </c>
      <c r="N7">
        <v>0</v>
      </c>
      <c r="O7">
        <f>(F7/10)+G7/5+H7/5+I7+J7+K7+L7+M7+N7</f>
        <v>36</v>
      </c>
    </row>
    <row r="8" spans="2:15" ht="30" x14ac:dyDescent="0.25">
      <c r="B8">
        <v>1006</v>
      </c>
      <c r="C8" t="s">
        <v>43</v>
      </c>
      <c r="D8" s="1" t="s">
        <v>44</v>
      </c>
      <c r="E8" t="s">
        <v>45</v>
      </c>
      <c r="F8">
        <v>50</v>
      </c>
      <c r="G8">
        <v>0</v>
      </c>
      <c r="H8">
        <v>0</v>
      </c>
      <c r="I8">
        <v>14</v>
      </c>
      <c r="J8">
        <v>6</v>
      </c>
      <c r="K8">
        <v>0</v>
      </c>
      <c r="L8">
        <v>4</v>
      </c>
      <c r="M8">
        <v>0</v>
      </c>
      <c r="N8">
        <v>0</v>
      </c>
      <c r="O8">
        <f>(F8/10)+G8/5+H8/5+I8+J8+K8+L8+M8+N8+PowerRuling!C9</f>
        <v>35</v>
      </c>
    </row>
    <row r="9" spans="2:15" ht="45" x14ac:dyDescent="0.25">
      <c r="B9">
        <v>1007</v>
      </c>
      <c r="C9" t="s">
        <v>46</v>
      </c>
      <c r="D9" s="1" t="s">
        <v>47</v>
      </c>
      <c r="E9" t="s">
        <v>48</v>
      </c>
      <c r="F9">
        <v>0</v>
      </c>
      <c r="G9">
        <v>0</v>
      </c>
      <c r="H9">
        <v>0</v>
      </c>
      <c r="I9">
        <v>21</v>
      </c>
      <c r="J9">
        <v>3</v>
      </c>
      <c r="K9">
        <v>0</v>
      </c>
      <c r="L9">
        <v>3</v>
      </c>
      <c r="M9">
        <v>0</v>
      </c>
      <c r="N9">
        <v>0</v>
      </c>
      <c r="O9">
        <f>(F9/10)+G9/5+H9/5+I9+J9+K9+L9+M9+N3+3*8</f>
        <v>51</v>
      </c>
    </row>
    <row r="10" spans="2:15" ht="45" x14ac:dyDescent="0.25">
      <c r="B10">
        <v>1008</v>
      </c>
      <c r="C10" t="s">
        <v>49</v>
      </c>
      <c r="D10" s="1" t="s">
        <v>51</v>
      </c>
      <c r="E10" t="s">
        <v>50</v>
      </c>
      <c r="F10">
        <v>50</v>
      </c>
      <c r="G10">
        <v>0</v>
      </c>
      <c r="H10">
        <v>0</v>
      </c>
      <c r="I10">
        <v>18</v>
      </c>
      <c r="J10">
        <v>6</v>
      </c>
      <c r="K10">
        <v>0</v>
      </c>
      <c r="L10">
        <v>6</v>
      </c>
      <c r="M10">
        <v>0</v>
      </c>
      <c r="N10">
        <v>0</v>
      </c>
      <c r="O10">
        <f>(F10/10)+G10/5+H10/5+I10+J10+K10+L10+M10+N10+PowerRuling!C9+PowerRuling!C24+PowerRuling!C6</f>
        <v>52</v>
      </c>
    </row>
    <row r="11" spans="2:15" ht="30" x14ac:dyDescent="0.25">
      <c r="B11">
        <v>1009</v>
      </c>
      <c r="C11" t="s">
        <v>52</v>
      </c>
      <c r="D11" s="1" t="s">
        <v>53</v>
      </c>
      <c r="E11" t="s">
        <v>54</v>
      </c>
      <c r="F11">
        <v>80</v>
      </c>
      <c r="G11">
        <v>0</v>
      </c>
      <c r="H11">
        <v>0</v>
      </c>
      <c r="I11">
        <v>25</v>
      </c>
      <c r="J11">
        <v>10</v>
      </c>
      <c r="K11">
        <v>0</v>
      </c>
      <c r="L11">
        <v>10</v>
      </c>
      <c r="M11">
        <v>0</v>
      </c>
      <c r="N11">
        <v>0</v>
      </c>
      <c r="O11">
        <f>(F11/10)+G11/5+H11/5+I11+J11+K11+L11+M11+N11</f>
        <v>53</v>
      </c>
    </row>
    <row r="12" spans="2:15" ht="60" x14ac:dyDescent="0.25">
      <c r="B12">
        <v>1010</v>
      </c>
      <c r="C12" t="s">
        <v>55</v>
      </c>
      <c r="D12" s="1" t="s">
        <v>56</v>
      </c>
      <c r="E12" t="s">
        <v>336</v>
      </c>
      <c r="F12">
        <v>0</v>
      </c>
      <c r="G12">
        <v>0</v>
      </c>
      <c r="H12">
        <v>0</v>
      </c>
      <c r="I12">
        <v>24</v>
      </c>
      <c r="J12">
        <v>7</v>
      </c>
      <c r="K12">
        <v>0</v>
      </c>
      <c r="L12">
        <v>7</v>
      </c>
      <c r="M12">
        <v>0</v>
      </c>
      <c r="N12">
        <v>0</v>
      </c>
      <c r="O12">
        <f>F12+G12+H12+I12+J12+K12+L12+M12+N12+PowerRuling!C25+3*8</f>
        <v>70</v>
      </c>
    </row>
    <row r="13" spans="2:15" ht="45" x14ac:dyDescent="0.25">
      <c r="B13">
        <v>1011</v>
      </c>
      <c r="C13" t="s">
        <v>57</v>
      </c>
      <c r="D13" s="1" t="s">
        <v>51</v>
      </c>
      <c r="E13" t="s">
        <v>58</v>
      </c>
      <c r="F13">
        <v>80</v>
      </c>
      <c r="G13">
        <v>0</v>
      </c>
      <c r="H13">
        <v>0</v>
      </c>
      <c r="I13">
        <v>28</v>
      </c>
      <c r="J13">
        <v>9</v>
      </c>
      <c r="K13">
        <v>0</v>
      </c>
      <c r="L13">
        <v>9</v>
      </c>
      <c r="M13">
        <v>0</v>
      </c>
      <c r="N13">
        <v>0</v>
      </c>
      <c r="O13">
        <f>F13/10+G13/5+H13/5+I13+J13+K13+L13+M13+N13+PowerRuling!C6+PowerRuling!C9+PowerRuling!C24</f>
        <v>71</v>
      </c>
    </row>
    <row r="14" spans="2:15" ht="45" x14ac:dyDescent="0.25">
      <c r="B14">
        <v>1012</v>
      </c>
      <c r="C14" t="s">
        <v>59</v>
      </c>
      <c r="D14" s="1" t="s">
        <v>60</v>
      </c>
      <c r="E14" t="s">
        <v>61</v>
      </c>
      <c r="F14">
        <v>0</v>
      </c>
      <c r="G14">
        <v>20</v>
      </c>
      <c r="H14">
        <v>0</v>
      </c>
      <c r="I14">
        <v>18</v>
      </c>
      <c r="J14">
        <v>10</v>
      </c>
      <c r="K14">
        <v>21</v>
      </c>
      <c r="L14">
        <v>10</v>
      </c>
      <c r="M14">
        <v>0</v>
      </c>
      <c r="N14">
        <v>0</v>
      </c>
      <c r="O14">
        <f>F14/10+G14/5+H14/5+I14+J14+K14+L14+M14+N14+PowerRuling!C16</f>
        <v>70</v>
      </c>
    </row>
    <row r="15" spans="2:15" ht="45" x14ac:dyDescent="0.25">
      <c r="B15">
        <v>1013</v>
      </c>
      <c r="C15" t="s">
        <v>62</v>
      </c>
      <c r="D15" s="1" t="s">
        <v>63</v>
      </c>
      <c r="E15" t="s">
        <v>58</v>
      </c>
      <c r="F15">
        <v>50</v>
      </c>
      <c r="G15">
        <v>0</v>
      </c>
      <c r="H15">
        <v>0</v>
      </c>
      <c r="I15">
        <v>28</v>
      </c>
      <c r="J15">
        <v>6</v>
      </c>
      <c r="K15">
        <v>0</v>
      </c>
      <c r="L15">
        <v>6</v>
      </c>
      <c r="M15">
        <v>0</v>
      </c>
      <c r="N15">
        <v>0</v>
      </c>
      <c r="O15">
        <f>F15/10+G15/5+H15/5+I15+J15+K15+L15+M15+N15+PowerRuling!C6+PowerRuling!C9+PowerRuling!C19+PowerRuling!C24</f>
        <v>70</v>
      </c>
    </row>
    <row r="16" spans="2:15" ht="45" x14ac:dyDescent="0.25">
      <c r="B16">
        <v>1014</v>
      </c>
      <c r="C16" t="s">
        <v>64</v>
      </c>
      <c r="D16" s="1" t="s">
        <v>65</v>
      </c>
      <c r="E16" t="s">
        <v>66</v>
      </c>
      <c r="F16">
        <v>120</v>
      </c>
      <c r="G16">
        <v>0</v>
      </c>
      <c r="H16">
        <v>0</v>
      </c>
      <c r="I16">
        <v>34</v>
      </c>
      <c r="J16">
        <v>16</v>
      </c>
      <c r="K16">
        <v>0</v>
      </c>
      <c r="L16">
        <v>16</v>
      </c>
      <c r="M16">
        <v>0</v>
      </c>
      <c r="N16">
        <v>0</v>
      </c>
      <c r="O16">
        <f>F16/10+G16/5+H16/5+I16+J16+K16+L16+M16+N16+PowerRuling!C26</f>
        <v>91</v>
      </c>
    </row>
    <row r="17" spans="2:15" ht="75" x14ac:dyDescent="0.25">
      <c r="B17">
        <v>1015</v>
      </c>
      <c r="C17" t="s">
        <v>67</v>
      </c>
      <c r="D17" s="1" t="s">
        <v>68</v>
      </c>
      <c r="E17" t="s">
        <v>69</v>
      </c>
      <c r="F17">
        <v>0</v>
      </c>
      <c r="G17">
        <v>0</v>
      </c>
      <c r="H17">
        <v>0</v>
      </c>
      <c r="I17">
        <v>31</v>
      </c>
      <c r="J17">
        <v>10</v>
      </c>
      <c r="K17">
        <v>0</v>
      </c>
      <c r="L17">
        <v>9</v>
      </c>
      <c r="M17">
        <v>0</v>
      </c>
      <c r="N17">
        <v>0</v>
      </c>
      <c r="O17">
        <f>F17/10+G17/5+H17/5+I17+J17+K17+L17+M17+N17+4*8+PowerRuling!C25</f>
        <v>90</v>
      </c>
    </row>
    <row r="18" spans="2:15" ht="60" x14ac:dyDescent="0.25">
      <c r="B18">
        <v>1016</v>
      </c>
      <c r="C18" t="s">
        <v>70</v>
      </c>
      <c r="D18" s="1" t="s">
        <v>71</v>
      </c>
      <c r="E18" t="s">
        <v>72</v>
      </c>
      <c r="F18">
        <v>80</v>
      </c>
      <c r="G18">
        <v>0</v>
      </c>
      <c r="H18">
        <v>0</v>
      </c>
      <c r="I18">
        <v>38</v>
      </c>
      <c r="J18">
        <v>10</v>
      </c>
      <c r="K18">
        <v>0</v>
      </c>
      <c r="L18">
        <v>10</v>
      </c>
      <c r="M18">
        <v>0</v>
      </c>
      <c r="N18">
        <v>0</v>
      </c>
      <c r="O18">
        <f>F18/5+G18/5+H18/5+I18+J18+K18+L18+M18+N18+PowerRuling!C6+PowerRuling!C9+PowerRuling!C10+PowerRuling!C11+PowerRuling!C19+PowerRuling!C24</f>
        <v>109</v>
      </c>
    </row>
    <row r="19" spans="2:15" ht="60" x14ac:dyDescent="0.25">
      <c r="B19">
        <v>1017</v>
      </c>
      <c r="C19" t="s">
        <v>73</v>
      </c>
      <c r="D19" s="1" t="s">
        <v>74</v>
      </c>
      <c r="E19" t="s">
        <v>75</v>
      </c>
      <c r="F19">
        <v>0</v>
      </c>
      <c r="G19">
        <v>35</v>
      </c>
      <c r="H19">
        <v>0</v>
      </c>
      <c r="I19">
        <v>28</v>
      </c>
      <c r="J19">
        <v>15</v>
      </c>
      <c r="K19">
        <v>32</v>
      </c>
      <c r="L19">
        <v>15</v>
      </c>
      <c r="M19">
        <v>0</v>
      </c>
      <c r="N19">
        <v>0</v>
      </c>
      <c r="O19">
        <f>F19/10+G19/5+H19/5+I19+J19+K19+L19+M19+N19+PowerRuling!C16+PowerRuling!C27</f>
        <v>110</v>
      </c>
    </row>
    <row r="20" spans="2:15" ht="30" x14ac:dyDescent="0.25">
      <c r="B20">
        <v>1018</v>
      </c>
      <c r="C20" t="s">
        <v>76</v>
      </c>
      <c r="D20" s="1" t="s">
        <v>77</v>
      </c>
      <c r="E20" t="s">
        <v>78</v>
      </c>
      <c r="F20">
        <v>60</v>
      </c>
      <c r="G20">
        <v>20</v>
      </c>
      <c r="H20">
        <v>0</v>
      </c>
      <c r="I20">
        <v>32</v>
      </c>
      <c r="J20">
        <v>14</v>
      </c>
      <c r="K20">
        <v>12</v>
      </c>
      <c r="L20">
        <v>14</v>
      </c>
      <c r="M20">
        <v>0</v>
      </c>
      <c r="N20">
        <v>7</v>
      </c>
      <c r="O20">
        <f>F20/10+G20/5+H20/5+I20+J20+K20+L20+M20+N20+5*4</f>
        <v>109</v>
      </c>
    </row>
    <row r="21" spans="2:15" ht="30" x14ac:dyDescent="0.25">
      <c r="B21">
        <v>1019</v>
      </c>
      <c r="C21" t="s">
        <v>79</v>
      </c>
      <c r="D21" s="1" t="s">
        <v>80</v>
      </c>
      <c r="E21" t="s">
        <v>78</v>
      </c>
      <c r="F21">
        <v>20</v>
      </c>
      <c r="G21">
        <v>60</v>
      </c>
      <c r="H21">
        <v>0</v>
      </c>
      <c r="I21">
        <v>12</v>
      </c>
      <c r="J21">
        <v>14</v>
      </c>
      <c r="K21">
        <v>32</v>
      </c>
      <c r="L21">
        <v>14</v>
      </c>
      <c r="M21">
        <v>0</v>
      </c>
      <c r="N21">
        <v>7</v>
      </c>
      <c r="O21">
        <f>F21/10+G21/5+H21/5+I21+J21+K21+L21+M21+N21+PowerRuling!G12+PowerRuling!G13</f>
        <v>111</v>
      </c>
    </row>
    <row r="22" spans="2:15" ht="45" x14ac:dyDescent="0.25">
      <c r="B22">
        <v>1020</v>
      </c>
      <c r="C22" t="s">
        <v>81</v>
      </c>
      <c r="D22" s="1" t="s">
        <v>65</v>
      </c>
      <c r="E22" t="s">
        <v>84</v>
      </c>
      <c r="F22">
        <v>200</v>
      </c>
      <c r="G22">
        <v>0</v>
      </c>
      <c r="H22">
        <v>0</v>
      </c>
      <c r="I22">
        <v>42</v>
      </c>
      <c r="J22">
        <v>28</v>
      </c>
      <c r="K22">
        <v>0</v>
      </c>
      <c r="L22">
        <v>28</v>
      </c>
      <c r="M22">
        <v>0</v>
      </c>
      <c r="N22">
        <v>0</v>
      </c>
      <c r="O22">
        <f>F22/10+G22/5+H22/5+I22+J22+K22+L22+M22+N22+PowerRuling!C26</f>
        <v>131</v>
      </c>
    </row>
    <row r="23" spans="2:15" ht="75" x14ac:dyDescent="0.25">
      <c r="B23">
        <v>1021</v>
      </c>
      <c r="C23" t="s">
        <v>82</v>
      </c>
      <c r="D23" s="1" t="s">
        <v>83</v>
      </c>
      <c r="E23" t="s">
        <v>85</v>
      </c>
      <c r="F23">
        <v>100</v>
      </c>
      <c r="G23">
        <v>0</v>
      </c>
      <c r="H23">
        <v>0</v>
      </c>
      <c r="I23">
        <v>50</v>
      </c>
      <c r="J23">
        <v>10</v>
      </c>
      <c r="K23">
        <v>0</v>
      </c>
      <c r="L23">
        <v>10</v>
      </c>
      <c r="M23">
        <v>0</v>
      </c>
      <c r="N23">
        <v>0</v>
      </c>
      <c r="O23">
        <f>F23/10+G23/5+H23/5+I23+J23+K23+L23+M23+N23+PowerRuling!C6+PowerRuling!C9+PowerRuling!C10+PowerRuling!C11+PowerRuling!C19+PowerRuling!C13+PowerRuling!C16+PowerRuling!C24</f>
        <v>129</v>
      </c>
    </row>
    <row r="24" spans="2:15" ht="75" x14ac:dyDescent="0.25">
      <c r="B24">
        <v>1022</v>
      </c>
      <c r="C24" t="s">
        <v>86</v>
      </c>
      <c r="D24" s="1" t="s">
        <v>87</v>
      </c>
      <c r="E24" t="s">
        <v>85</v>
      </c>
      <c r="F24">
        <v>140</v>
      </c>
      <c r="G24">
        <v>0</v>
      </c>
      <c r="H24">
        <v>0</v>
      </c>
      <c r="I24">
        <v>41</v>
      </c>
      <c r="J24">
        <v>13</v>
      </c>
      <c r="K24">
        <v>0</v>
      </c>
      <c r="L24">
        <v>13</v>
      </c>
      <c r="M24">
        <v>0</v>
      </c>
      <c r="N24">
        <v>0</v>
      </c>
      <c r="O24">
        <f>F24/10+G24/5+H24/5+I24+J24+K24+L24+M24+N24+PowerRuling!C6+PowerRuling!C9+PowerRuling!C10+PowerRuling!C11+PowerRuling!C19+PowerRuling!C24+PowerRuling!G16+PowerRuling!G17</f>
        <v>130</v>
      </c>
    </row>
    <row r="25" spans="2:15" ht="45" x14ac:dyDescent="0.25">
      <c r="B25">
        <v>1023</v>
      </c>
      <c r="C25" t="s">
        <v>88</v>
      </c>
      <c r="D25" s="1" t="s">
        <v>99</v>
      </c>
      <c r="E25" t="s">
        <v>89</v>
      </c>
      <c r="F25">
        <v>300</v>
      </c>
      <c r="G25">
        <v>0</v>
      </c>
      <c r="H25">
        <v>0</v>
      </c>
      <c r="I25">
        <v>54</v>
      </c>
      <c r="J25">
        <v>42</v>
      </c>
      <c r="K25">
        <v>0</v>
      </c>
      <c r="L25">
        <v>42</v>
      </c>
      <c r="M25">
        <v>0</v>
      </c>
      <c r="N25">
        <v>0</v>
      </c>
      <c r="O25">
        <f>F25/10+G25/5+H25/5+I25+J25+K25+L25+M25+N25+PowerRuling!G19*10+PowerRuling!C26</f>
        <v>151</v>
      </c>
    </row>
    <row r="26" spans="2:15" ht="90" x14ac:dyDescent="0.25">
      <c r="B26">
        <v>1024</v>
      </c>
      <c r="C26" t="s">
        <v>90</v>
      </c>
      <c r="D26" s="1" t="s">
        <v>91</v>
      </c>
      <c r="E26" t="s">
        <v>92</v>
      </c>
      <c r="F26">
        <v>0</v>
      </c>
      <c r="G26">
        <v>0</v>
      </c>
      <c r="H26">
        <v>0</v>
      </c>
      <c r="I26">
        <v>51</v>
      </c>
      <c r="J26">
        <v>18</v>
      </c>
      <c r="K26">
        <v>0</v>
      </c>
      <c r="L26">
        <v>18</v>
      </c>
      <c r="M26">
        <v>15</v>
      </c>
      <c r="N26">
        <v>0</v>
      </c>
      <c r="O26">
        <f>F26/10+G26/5+H26/5+I26+J26+K26+L26+M26+N26+5*8+PowerRuling!C25</f>
        <v>150</v>
      </c>
    </row>
    <row r="27" spans="2:15" ht="60" x14ac:dyDescent="0.25">
      <c r="B27">
        <v>1025</v>
      </c>
      <c r="C27" t="s">
        <v>93</v>
      </c>
      <c r="D27" s="1" t="s">
        <v>94</v>
      </c>
      <c r="E27" t="s">
        <v>95</v>
      </c>
      <c r="F27">
        <v>60</v>
      </c>
      <c r="G27">
        <v>20</v>
      </c>
      <c r="H27">
        <v>0</v>
      </c>
      <c r="I27">
        <v>25</v>
      </c>
      <c r="J27">
        <v>14</v>
      </c>
      <c r="K27">
        <v>25</v>
      </c>
      <c r="L27">
        <v>14</v>
      </c>
      <c r="M27">
        <v>0</v>
      </c>
      <c r="N27">
        <v>7</v>
      </c>
      <c r="O27">
        <f>F27/10+G27/5+H27/5+I27+J27+K27+L27+M27+N27+5*4+PowerRuling!G12+PowerRuling!G13+PowerRuling!C28</f>
        <v>151</v>
      </c>
    </row>
    <row r="28" spans="2:15" ht="75" x14ac:dyDescent="0.25">
      <c r="B28">
        <v>1026</v>
      </c>
      <c r="C28" t="s">
        <v>96</v>
      </c>
      <c r="D28" s="1" t="s">
        <v>100</v>
      </c>
      <c r="E28" t="s">
        <v>97</v>
      </c>
      <c r="F28">
        <v>0</v>
      </c>
      <c r="G28">
        <v>60</v>
      </c>
      <c r="H28">
        <v>0</v>
      </c>
      <c r="I28">
        <v>40</v>
      </c>
      <c r="J28">
        <v>18</v>
      </c>
      <c r="K28">
        <v>55</v>
      </c>
      <c r="L28">
        <v>26</v>
      </c>
      <c r="M28">
        <v>0</v>
      </c>
      <c r="N28">
        <v>0</v>
      </c>
      <c r="O28">
        <f>F28/10+G28/5+H28/5+I28+J28+K28+L28+M28+N28+PowerRuling!C16+PowerRuling!C27+PowerRuling!C29</f>
        <v>172</v>
      </c>
    </row>
    <row r="29" spans="2:15" ht="60" x14ac:dyDescent="0.25">
      <c r="B29">
        <v>1027</v>
      </c>
      <c r="C29" t="s">
        <v>98</v>
      </c>
      <c r="D29" s="1" t="s">
        <v>101</v>
      </c>
      <c r="E29" t="s">
        <v>102</v>
      </c>
      <c r="F29">
        <v>250</v>
      </c>
      <c r="G29">
        <v>0</v>
      </c>
      <c r="H29">
        <v>0</v>
      </c>
      <c r="I29">
        <v>42</v>
      </c>
      <c r="J29">
        <v>40</v>
      </c>
      <c r="K29">
        <v>0</v>
      </c>
      <c r="L29">
        <v>40</v>
      </c>
      <c r="M29">
        <v>0</v>
      </c>
      <c r="N29">
        <v>0</v>
      </c>
      <c r="O29">
        <f>F29/10+G29/5+H29/5+I29+J29+K29+L29+M29+N29+PowerRuling!C26+PowerRuling!C30</f>
        <v>175</v>
      </c>
    </row>
    <row r="30" spans="2:15" ht="90" x14ac:dyDescent="0.25">
      <c r="B30">
        <v>1028</v>
      </c>
      <c r="C30" t="s">
        <v>104</v>
      </c>
      <c r="D30" s="1" t="s">
        <v>105</v>
      </c>
      <c r="E30" t="s">
        <v>106</v>
      </c>
      <c r="F30">
        <v>0</v>
      </c>
      <c r="G30">
        <v>0</v>
      </c>
      <c r="H30">
        <v>0</v>
      </c>
      <c r="I30">
        <v>60</v>
      </c>
      <c r="J30">
        <v>18</v>
      </c>
      <c r="K30">
        <v>0</v>
      </c>
      <c r="L30">
        <v>18</v>
      </c>
      <c r="M30">
        <v>15</v>
      </c>
      <c r="N30">
        <v>0</v>
      </c>
      <c r="O30">
        <f>F30/10+G30/5+H30/5+I30+J30+K30+L30+M30+N30+5*8+PowerRuling!C25+PowerRuling!C31</f>
        <v>174</v>
      </c>
    </row>
    <row r="31" spans="2:15" ht="90" x14ac:dyDescent="0.25">
      <c r="B31">
        <v>1029</v>
      </c>
      <c r="C31" t="s">
        <v>103</v>
      </c>
      <c r="D31" s="1" t="s">
        <v>107</v>
      </c>
      <c r="E31" t="s">
        <v>108</v>
      </c>
      <c r="F31">
        <v>150</v>
      </c>
      <c r="G31">
        <v>0</v>
      </c>
      <c r="H31">
        <v>0</v>
      </c>
      <c r="I31">
        <v>100</v>
      </c>
      <c r="J31">
        <v>35</v>
      </c>
      <c r="K31">
        <v>0</v>
      </c>
      <c r="L31">
        <v>35</v>
      </c>
      <c r="M31">
        <v>0</v>
      </c>
      <c r="N31">
        <v>0</v>
      </c>
      <c r="O31">
        <f>F31/10+G31/5+H31/5+I31+J31+K31+L31+M31+N31+PowerRuling!C6+PowerRuling!C9+PowerRuling!C10+PowerRuling!C11+PowerRuling!C19+PowerRuling!C24+PowerRuling!G23</f>
        <v>200</v>
      </c>
    </row>
    <row r="32" spans="2:15" ht="75" x14ac:dyDescent="0.25">
      <c r="B32">
        <v>1030</v>
      </c>
      <c r="C32" t="s">
        <v>109</v>
      </c>
      <c r="D32" s="1" t="s">
        <v>110</v>
      </c>
      <c r="E32" t="s">
        <v>111</v>
      </c>
      <c r="F32">
        <v>0</v>
      </c>
      <c r="G32">
        <v>60</v>
      </c>
      <c r="H32">
        <v>0</v>
      </c>
      <c r="I32">
        <v>45</v>
      </c>
      <c r="J32">
        <v>18</v>
      </c>
      <c r="K32">
        <v>60</v>
      </c>
      <c r="L32">
        <v>26</v>
      </c>
      <c r="M32">
        <v>0</v>
      </c>
      <c r="N32">
        <v>0</v>
      </c>
      <c r="O32">
        <f>F32/10+G32/5+H32/5+I32+J32+K32+L32+M32+N32+PowerRuling!C16+PowerRuling!C27+PowerRuling!C29+PowerRuling!C32</f>
        <v>204</v>
      </c>
    </row>
    <row r="33" spans="2:5" ht="30" x14ac:dyDescent="0.25">
      <c r="B33">
        <v>1031</v>
      </c>
      <c r="C33" t="s">
        <v>112</v>
      </c>
      <c r="D33" s="1" t="s">
        <v>113</v>
      </c>
      <c r="E33" t="s">
        <v>712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67A6C-BD76-4F63-B522-FA55F75B46B2}">
  <dimension ref="B1:O22"/>
  <sheetViews>
    <sheetView topLeftCell="E15" zoomScale="85" zoomScaleNormal="85" workbookViewId="0">
      <selection activeCell="L19" sqref="L19"/>
    </sheetView>
  </sheetViews>
  <sheetFormatPr baseColWidth="10" defaultRowHeight="15" x14ac:dyDescent="0.25"/>
  <cols>
    <col min="3" max="3" width="18.28515625" bestFit="1" customWidth="1"/>
    <col min="4" max="4" width="35.5703125" customWidth="1"/>
    <col min="5" max="5" width="39.85546875" bestFit="1" customWidth="1"/>
    <col min="12" max="12" width="13.7109375" bestFit="1" customWidth="1"/>
  </cols>
  <sheetData>
    <row r="1" spans="2:15" x14ac:dyDescent="0.25">
      <c r="F1" t="s">
        <v>667</v>
      </c>
      <c r="G1" t="s">
        <v>668</v>
      </c>
      <c r="H1" t="s">
        <v>669</v>
      </c>
      <c r="I1" t="s">
        <v>670</v>
      </c>
      <c r="J1" t="s">
        <v>671</v>
      </c>
      <c r="K1" t="s">
        <v>672</v>
      </c>
      <c r="L1" t="s">
        <v>673</v>
      </c>
      <c r="M1" t="s">
        <v>674</v>
      </c>
      <c r="N1" t="s">
        <v>675</v>
      </c>
      <c r="O1" t="s">
        <v>678</v>
      </c>
    </row>
    <row r="2" spans="2:15" ht="21" customHeight="1" x14ac:dyDescent="0.25">
      <c r="B2">
        <v>1032</v>
      </c>
      <c r="C2" t="s">
        <v>126</v>
      </c>
      <c r="D2" s="1" t="s">
        <v>130</v>
      </c>
      <c r="E2" t="s">
        <v>29</v>
      </c>
      <c r="F2">
        <v>0</v>
      </c>
      <c r="G2">
        <v>0</v>
      </c>
      <c r="H2">
        <v>0</v>
      </c>
      <c r="I2">
        <v>2</v>
      </c>
      <c r="J2">
        <v>0</v>
      </c>
      <c r="K2">
        <v>0</v>
      </c>
      <c r="L2">
        <v>0</v>
      </c>
      <c r="M2">
        <v>5</v>
      </c>
      <c r="N2">
        <v>0</v>
      </c>
      <c r="O2">
        <f>F2/10+G2/5+H2/5+I2+J2+K2+L2+M2+N2</f>
        <v>7</v>
      </c>
    </row>
    <row r="3" spans="2:15" ht="21.75" customHeight="1" x14ac:dyDescent="0.25">
      <c r="B3">
        <v>1033</v>
      </c>
      <c r="C3" t="s">
        <v>127</v>
      </c>
      <c r="D3" s="1" t="s">
        <v>128</v>
      </c>
      <c r="E3" t="s">
        <v>129</v>
      </c>
      <c r="F3">
        <v>0</v>
      </c>
      <c r="G3">
        <v>0</v>
      </c>
      <c r="H3">
        <v>0</v>
      </c>
      <c r="I3">
        <v>7</v>
      </c>
      <c r="J3">
        <v>0</v>
      </c>
      <c r="K3">
        <v>0</v>
      </c>
      <c r="L3">
        <v>0</v>
      </c>
      <c r="M3">
        <v>8</v>
      </c>
      <c r="N3">
        <v>0</v>
      </c>
      <c r="O3">
        <f>F3/10+G3/5+H3/5+I3+J3+K3+L3+M3+N3</f>
        <v>15</v>
      </c>
    </row>
    <row r="4" spans="2:15" ht="56.25" customHeight="1" x14ac:dyDescent="0.25">
      <c r="B4">
        <v>1034</v>
      </c>
      <c r="C4" t="s">
        <v>131</v>
      </c>
      <c r="D4" s="1" t="s">
        <v>132</v>
      </c>
      <c r="E4" t="s">
        <v>30</v>
      </c>
      <c r="F4">
        <v>0</v>
      </c>
      <c r="G4">
        <v>0</v>
      </c>
      <c r="H4">
        <v>0</v>
      </c>
      <c r="I4">
        <v>2</v>
      </c>
      <c r="J4">
        <v>0</v>
      </c>
      <c r="K4">
        <v>0</v>
      </c>
      <c r="L4">
        <v>0</v>
      </c>
      <c r="M4">
        <v>8</v>
      </c>
      <c r="N4">
        <v>0</v>
      </c>
      <c r="O4">
        <f>F4/10+G4/5+H4/5+I4+J4+K4+L4+M4+N4+PowerRuling!L8</f>
        <v>15</v>
      </c>
    </row>
    <row r="5" spans="2:15" ht="45.75" customHeight="1" x14ac:dyDescent="0.25">
      <c r="B5">
        <v>1035</v>
      </c>
      <c r="C5" t="s">
        <v>133</v>
      </c>
      <c r="D5" s="1" t="s">
        <v>134</v>
      </c>
      <c r="E5" t="s">
        <v>30</v>
      </c>
      <c r="F5">
        <v>0</v>
      </c>
      <c r="G5">
        <v>0</v>
      </c>
      <c r="H5">
        <v>0</v>
      </c>
      <c r="I5">
        <v>5</v>
      </c>
      <c r="J5">
        <v>0</v>
      </c>
      <c r="K5">
        <v>0</v>
      </c>
      <c r="L5">
        <v>0</v>
      </c>
      <c r="M5">
        <v>6</v>
      </c>
      <c r="N5">
        <v>0</v>
      </c>
      <c r="O5">
        <f>F5/10+G5/5+H5/5+I5+J5+K5+L5+M5+N5+PowerRuling!C10</f>
        <v>15</v>
      </c>
    </row>
    <row r="6" spans="2:15" ht="57" customHeight="1" x14ac:dyDescent="0.25">
      <c r="B6">
        <v>1036</v>
      </c>
      <c r="C6" t="s">
        <v>135</v>
      </c>
      <c r="D6" s="1" t="s">
        <v>136</v>
      </c>
      <c r="E6" t="s">
        <v>137</v>
      </c>
      <c r="F6">
        <v>0</v>
      </c>
      <c r="G6">
        <v>0</v>
      </c>
      <c r="H6">
        <v>0</v>
      </c>
      <c r="I6">
        <v>9</v>
      </c>
      <c r="J6">
        <v>0</v>
      </c>
      <c r="K6">
        <v>0</v>
      </c>
      <c r="L6">
        <v>0</v>
      </c>
      <c r="M6">
        <v>8</v>
      </c>
      <c r="N6">
        <v>0</v>
      </c>
      <c r="O6">
        <f>F6/10+G6/5+H6/5+I6+J6+K6+L6+M6+N6+1*8</f>
        <v>25</v>
      </c>
    </row>
    <row r="7" spans="2:15" ht="53.25" customHeight="1" x14ac:dyDescent="0.25">
      <c r="B7">
        <v>1037</v>
      </c>
      <c r="C7" t="s">
        <v>138</v>
      </c>
      <c r="D7" s="1" t="s">
        <v>139</v>
      </c>
      <c r="E7" t="s">
        <v>140</v>
      </c>
      <c r="F7">
        <v>0</v>
      </c>
      <c r="G7">
        <v>0</v>
      </c>
      <c r="H7">
        <v>0</v>
      </c>
      <c r="I7">
        <v>7</v>
      </c>
      <c r="J7">
        <v>0</v>
      </c>
      <c r="K7">
        <v>0</v>
      </c>
      <c r="L7">
        <v>0</v>
      </c>
      <c r="M7">
        <v>7</v>
      </c>
      <c r="N7">
        <v>0</v>
      </c>
      <c r="O7">
        <f>F7/10+G7/5+H7/5+I7+J7+K7+L7+M7+N7+PowerRuling!C10+PowerRuling!C33</f>
        <v>25</v>
      </c>
    </row>
    <row r="8" spans="2:15" ht="68.25" customHeight="1" x14ac:dyDescent="0.25">
      <c r="B8">
        <v>1038</v>
      </c>
      <c r="C8" t="s">
        <v>141</v>
      </c>
      <c r="D8" s="1" t="s">
        <v>142</v>
      </c>
      <c r="E8" t="s">
        <v>143</v>
      </c>
      <c r="F8">
        <v>0</v>
      </c>
      <c r="G8">
        <v>0</v>
      </c>
      <c r="H8">
        <v>0</v>
      </c>
      <c r="I8">
        <v>14</v>
      </c>
      <c r="J8">
        <v>0</v>
      </c>
      <c r="K8">
        <v>0</v>
      </c>
      <c r="L8">
        <v>0</v>
      </c>
      <c r="M8">
        <v>9</v>
      </c>
      <c r="N8">
        <v>0</v>
      </c>
      <c r="O8">
        <f>F8/10+G8/5+H8/5+I8+J8+K8+L8+M8+N8+1*8+PowerRuling!L11</f>
        <v>35</v>
      </c>
    </row>
    <row r="9" spans="2:15" ht="73.5" customHeight="1" x14ac:dyDescent="0.25">
      <c r="B9">
        <v>1039</v>
      </c>
      <c r="C9" t="s">
        <v>144</v>
      </c>
      <c r="D9" s="1" t="s">
        <v>145</v>
      </c>
      <c r="E9" t="s">
        <v>146</v>
      </c>
      <c r="F9">
        <v>0</v>
      </c>
      <c r="G9">
        <v>0</v>
      </c>
      <c r="H9">
        <v>0</v>
      </c>
      <c r="I9">
        <v>6</v>
      </c>
      <c r="J9">
        <v>0</v>
      </c>
      <c r="K9">
        <v>5</v>
      </c>
      <c r="L9">
        <v>0</v>
      </c>
      <c r="M9">
        <v>13</v>
      </c>
      <c r="N9">
        <v>0</v>
      </c>
      <c r="O9">
        <f>F9/10+G9/5+H9/5+I9+J9+K9+L9+M9+N9+PowerRuling!L8+PowerRuling!C34</f>
        <v>35</v>
      </c>
    </row>
    <row r="10" spans="2:15" ht="63" customHeight="1" x14ac:dyDescent="0.25">
      <c r="B10">
        <v>1040</v>
      </c>
      <c r="C10" t="s">
        <v>147</v>
      </c>
      <c r="D10" s="1" t="s">
        <v>142</v>
      </c>
      <c r="E10" t="s">
        <v>148</v>
      </c>
      <c r="F10">
        <v>0</v>
      </c>
      <c r="G10">
        <v>0</v>
      </c>
      <c r="H10">
        <v>0</v>
      </c>
      <c r="I10">
        <v>19</v>
      </c>
      <c r="J10">
        <v>0</v>
      </c>
      <c r="K10">
        <v>0</v>
      </c>
      <c r="L10">
        <v>0</v>
      </c>
      <c r="M10">
        <v>18</v>
      </c>
      <c r="N10">
        <v>0</v>
      </c>
      <c r="O10">
        <f>F10/10+G10/5+H10/5+I10+J10+K10+L10+M10+N10+1*8+PowerRuling!L11</f>
        <v>49</v>
      </c>
    </row>
    <row r="11" spans="2:15" ht="61.5" customHeight="1" x14ac:dyDescent="0.25">
      <c r="B11">
        <v>1041</v>
      </c>
      <c r="C11" t="s">
        <v>149</v>
      </c>
      <c r="D11" s="1" t="s">
        <v>150</v>
      </c>
      <c r="E11" t="s">
        <v>151</v>
      </c>
      <c r="F11">
        <v>0</v>
      </c>
      <c r="G11">
        <v>0</v>
      </c>
      <c r="H11">
        <v>0</v>
      </c>
      <c r="I11">
        <v>26</v>
      </c>
      <c r="J11">
        <v>0</v>
      </c>
      <c r="K11">
        <v>0</v>
      </c>
      <c r="L11">
        <v>0</v>
      </c>
      <c r="M11">
        <v>26</v>
      </c>
      <c r="N11">
        <v>6</v>
      </c>
      <c r="O11">
        <f>F11/10+G11/5+H11/5+I11+J11+K11+L11+M11+N11+1*8+PowerRuling!L11</f>
        <v>70</v>
      </c>
    </row>
    <row r="12" spans="2:15" ht="75.75" customHeight="1" x14ac:dyDescent="0.25">
      <c r="B12">
        <v>1042</v>
      </c>
      <c r="C12" t="s">
        <v>152</v>
      </c>
      <c r="D12" s="1" t="s">
        <v>153</v>
      </c>
      <c r="E12" t="s">
        <v>154</v>
      </c>
      <c r="F12">
        <v>0</v>
      </c>
      <c r="G12">
        <v>0</v>
      </c>
      <c r="H12">
        <v>0</v>
      </c>
      <c r="I12">
        <v>19</v>
      </c>
      <c r="J12">
        <v>0</v>
      </c>
      <c r="K12">
        <v>0</v>
      </c>
      <c r="L12">
        <v>0</v>
      </c>
      <c r="M12">
        <v>26</v>
      </c>
      <c r="N12">
        <v>0</v>
      </c>
      <c r="O12">
        <f>F12/10+G12/5+H12/5+I12+J12+K12+L12+M12+N12+PowerRuling!C10+PowerRuling!C11+1*8+PowerRuling!C33</f>
        <v>70</v>
      </c>
    </row>
    <row r="13" spans="2:15" ht="78" customHeight="1" x14ac:dyDescent="0.25">
      <c r="B13">
        <v>1043</v>
      </c>
      <c r="C13" t="s">
        <v>155</v>
      </c>
      <c r="D13" s="1" t="s">
        <v>156</v>
      </c>
      <c r="E13" t="s">
        <v>157</v>
      </c>
      <c r="F13">
        <v>0</v>
      </c>
      <c r="G13">
        <v>0</v>
      </c>
      <c r="H13">
        <v>0</v>
      </c>
      <c r="I13">
        <v>11</v>
      </c>
      <c r="J13">
        <v>0</v>
      </c>
      <c r="K13">
        <v>14</v>
      </c>
      <c r="L13">
        <v>0</v>
      </c>
      <c r="M13">
        <v>28</v>
      </c>
      <c r="N13">
        <v>0</v>
      </c>
      <c r="O13">
        <f>F13/10+G13/5+H13/5+I13+J13+K13+L13+M13+N13+1*8+PowerRuling!C34+PowerRuling!L8</f>
        <v>72</v>
      </c>
    </row>
    <row r="14" spans="2:15" ht="57.75" customHeight="1" x14ac:dyDescent="0.25">
      <c r="B14">
        <v>1044</v>
      </c>
      <c r="C14" t="s">
        <v>158</v>
      </c>
      <c r="D14" s="1" t="s">
        <v>174</v>
      </c>
      <c r="E14" t="s">
        <v>159</v>
      </c>
      <c r="F14">
        <v>0</v>
      </c>
      <c r="G14">
        <v>0</v>
      </c>
      <c r="H14">
        <v>0</v>
      </c>
      <c r="I14">
        <v>28</v>
      </c>
      <c r="J14">
        <v>0</v>
      </c>
      <c r="K14">
        <v>0</v>
      </c>
      <c r="L14">
        <v>0</v>
      </c>
      <c r="M14">
        <v>52</v>
      </c>
      <c r="N14">
        <v>0</v>
      </c>
      <c r="O14">
        <f>F14/10+G14/5+H14/5+I14+J14+K14+L14+M14+N14+PowerRuling!C6+PowerRuling!C9</f>
        <v>91</v>
      </c>
    </row>
    <row r="15" spans="2:15" ht="56.25" customHeight="1" x14ac:dyDescent="0.25">
      <c r="B15">
        <v>1045</v>
      </c>
      <c r="C15" t="s">
        <v>160</v>
      </c>
      <c r="D15" s="1" t="s">
        <v>161</v>
      </c>
      <c r="E15" t="s">
        <v>162</v>
      </c>
      <c r="F15">
        <v>0</v>
      </c>
      <c r="G15">
        <v>0</v>
      </c>
      <c r="H15">
        <v>0</v>
      </c>
      <c r="I15">
        <v>32</v>
      </c>
      <c r="J15">
        <v>0</v>
      </c>
      <c r="K15">
        <v>0</v>
      </c>
      <c r="L15">
        <v>0</v>
      </c>
      <c r="M15">
        <v>32</v>
      </c>
      <c r="N15">
        <v>12</v>
      </c>
      <c r="O15">
        <f>F15/10+G15/5+H15/5+I15+J15+K15+L15+M15+N15+PowerRuling!C35+PowerRuling!L12</f>
        <v>91</v>
      </c>
    </row>
    <row r="16" spans="2:15" ht="66.75" customHeight="1" x14ac:dyDescent="0.25">
      <c r="B16">
        <v>1046</v>
      </c>
      <c r="C16" t="s">
        <v>175</v>
      </c>
      <c r="D16" s="1" t="s">
        <v>176</v>
      </c>
      <c r="E16" t="s">
        <v>166</v>
      </c>
      <c r="F16">
        <v>0</v>
      </c>
      <c r="G16">
        <v>0</v>
      </c>
      <c r="H16">
        <v>0</v>
      </c>
      <c r="I16">
        <v>44</v>
      </c>
      <c r="J16">
        <v>0</v>
      </c>
      <c r="K16">
        <v>0</v>
      </c>
      <c r="L16">
        <v>0</v>
      </c>
      <c r="M16">
        <v>70</v>
      </c>
      <c r="N16">
        <v>0</v>
      </c>
      <c r="O16">
        <f>F16/10+G16/5+H16/5+I16+J16+K16+L16+M16+N16+PowerRuling!C6+PowerRuling!C9+5*1</f>
        <v>130</v>
      </c>
    </row>
    <row r="17" spans="2:15" ht="70.5" customHeight="1" x14ac:dyDescent="0.25">
      <c r="B17">
        <v>1047</v>
      </c>
      <c r="C17" t="s">
        <v>178</v>
      </c>
      <c r="D17" s="1" t="s">
        <v>177</v>
      </c>
      <c r="E17" t="s">
        <v>167</v>
      </c>
      <c r="F17">
        <v>0</v>
      </c>
      <c r="G17">
        <v>0</v>
      </c>
      <c r="H17">
        <v>0</v>
      </c>
      <c r="I17">
        <v>44</v>
      </c>
      <c r="J17">
        <v>0</v>
      </c>
      <c r="K17">
        <v>0</v>
      </c>
      <c r="L17">
        <v>0</v>
      </c>
      <c r="M17">
        <v>48</v>
      </c>
      <c r="N17">
        <v>15</v>
      </c>
      <c r="O17">
        <f>F17/10+G17/5+H17/5+I17+J17+K17+L17+M17+N17+1*8+PowerRuling!C35+PowerRuling!L12</f>
        <v>130</v>
      </c>
    </row>
    <row r="18" spans="2:15" ht="78.75" customHeight="1" x14ac:dyDescent="0.25">
      <c r="B18">
        <v>1048</v>
      </c>
      <c r="C18" t="s">
        <v>179</v>
      </c>
      <c r="D18" s="1" t="s">
        <v>180</v>
      </c>
      <c r="E18" t="s">
        <v>168</v>
      </c>
      <c r="F18">
        <v>0</v>
      </c>
      <c r="G18">
        <v>0</v>
      </c>
      <c r="H18">
        <v>0</v>
      </c>
      <c r="I18">
        <v>50</v>
      </c>
      <c r="J18">
        <v>0</v>
      </c>
      <c r="K18">
        <v>0</v>
      </c>
      <c r="L18">
        <v>0</v>
      </c>
      <c r="M18">
        <v>85</v>
      </c>
      <c r="N18">
        <v>0</v>
      </c>
      <c r="O18">
        <f>F18/10+G18/5+H18/5+I18+J18+K18+L18+M18+N18+PowerRuling!C6+PowerRuling!C9+PowerRuling!L11</f>
        <v>150</v>
      </c>
    </row>
    <row r="19" spans="2:15" ht="88.5" customHeight="1" x14ac:dyDescent="0.25">
      <c r="B19">
        <v>1049</v>
      </c>
      <c r="C19" t="s">
        <v>181</v>
      </c>
      <c r="D19" s="1" t="s">
        <v>182</v>
      </c>
      <c r="E19" t="s">
        <v>169</v>
      </c>
      <c r="F19">
        <v>0</v>
      </c>
      <c r="G19">
        <v>0</v>
      </c>
      <c r="H19">
        <v>0</v>
      </c>
      <c r="I19">
        <v>40</v>
      </c>
      <c r="J19">
        <v>0</v>
      </c>
      <c r="K19">
        <v>0</v>
      </c>
      <c r="L19">
        <v>0</v>
      </c>
      <c r="M19">
        <v>70</v>
      </c>
      <c r="N19">
        <v>0</v>
      </c>
      <c r="O19">
        <f>F19/10+G19/5+H19/5+I19+J19+K19+L19+M19+N19+PowerRuling!C10+PowerRuling!C11+PowerRuling!C12+1*8+PowerRuling!C33+PowerRuling!C36</f>
        <v>150</v>
      </c>
    </row>
    <row r="20" spans="2:15" ht="99" customHeight="1" x14ac:dyDescent="0.25">
      <c r="B20">
        <v>1050</v>
      </c>
      <c r="C20" t="s">
        <v>183</v>
      </c>
      <c r="D20" s="1" t="s">
        <v>184</v>
      </c>
      <c r="E20" t="s">
        <v>170</v>
      </c>
      <c r="F20">
        <v>0</v>
      </c>
      <c r="G20">
        <v>0</v>
      </c>
      <c r="H20">
        <v>0</v>
      </c>
      <c r="I20">
        <v>23</v>
      </c>
      <c r="J20">
        <v>0</v>
      </c>
      <c r="K20">
        <v>55</v>
      </c>
      <c r="L20">
        <v>0</v>
      </c>
      <c r="M20">
        <v>60</v>
      </c>
      <c r="N20">
        <v>0</v>
      </c>
      <c r="O20">
        <f>F20/10+G20/5+H20/5+I20+J20+K20+L20+M20+N20+PowerRuling!L8+2*8+PowerRuling!C34+PowerRuling!C37</f>
        <v>175</v>
      </c>
    </row>
    <row r="21" spans="2:15" ht="98.25" customHeight="1" x14ac:dyDescent="0.25">
      <c r="B21">
        <v>1051</v>
      </c>
      <c r="C21" t="s">
        <v>171</v>
      </c>
      <c r="D21" s="1" t="s">
        <v>173</v>
      </c>
      <c r="E21" t="s">
        <v>172</v>
      </c>
      <c r="F21">
        <v>0</v>
      </c>
      <c r="G21">
        <v>0</v>
      </c>
      <c r="H21">
        <v>0</v>
      </c>
      <c r="I21">
        <v>60</v>
      </c>
      <c r="J21">
        <v>0</v>
      </c>
      <c r="K21">
        <v>0</v>
      </c>
      <c r="L21">
        <v>0</v>
      </c>
      <c r="M21">
        <v>90</v>
      </c>
      <c r="N21">
        <v>28</v>
      </c>
      <c r="O21">
        <f>F21/10+G21/5+H21/5+I21+J21+K21+L21+M21+N21+PowerRuling!C35+PowerRuling!L12+1*8</f>
        <v>201</v>
      </c>
    </row>
    <row r="22" spans="2:15" ht="36.75" customHeight="1" x14ac:dyDescent="0.25">
      <c r="B22">
        <v>1052</v>
      </c>
      <c r="C22" t="s">
        <v>163</v>
      </c>
      <c r="D22" s="1" t="s">
        <v>164</v>
      </c>
      <c r="E22" t="s">
        <v>165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C5CED-70F3-4061-8153-EB3DDD81F3FA}">
  <dimension ref="B1:O19"/>
  <sheetViews>
    <sheetView topLeftCell="E15" zoomScaleNormal="100" workbookViewId="0">
      <selection activeCell="I18" sqref="I18"/>
    </sheetView>
  </sheetViews>
  <sheetFormatPr baseColWidth="10" defaultRowHeight="15" x14ac:dyDescent="0.25"/>
  <cols>
    <col min="4" max="4" width="30.7109375" customWidth="1"/>
    <col min="5" max="5" width="46.42578125" customWidth="1"/>
    <col min="12" max="12" width="13.7109375" bestFit="1" customWidth="1"/>
  </cols>
  <sheetData>
    <row r="1" spans="2:15" x14ac:dyDescent="0.25">
      <c r="F1" t="s">
        <v>667</v>
      </c>
      <c r="G1" t="s">
        <v>668</v>
      </c>
      <c r="H1" t="s">
        <v>669</v>
      </c>
      <c r="I1" t="s">
        <v>670</v>
      </c>
      <c r="J1" t="s">
        <v>671</v>
      </c>
      <c r="K1" t="s">
        <v>672</v>
      </c>
      <c r="L1" t="s">
        <v>673</v>
      </c>
      <c r="M1" t="s">
        <v>674</v>
      </c>
      <c r="N1" t="s">
        <v>675</v>
      </c>
      <c r="O1" t="s">
        <v>678</v>
      </c>
    </row>
    <row r="2" spans="2:15" ht="36.75" customHeight="1" x14ac:dyDescent="0.25">
      <c r="B2">
        <v>1053</v>
      </c>
      <c r="C2" t="s">
        <v>186</v>
      </c>
      <c r="D2" s="1" t="s">
        <v>204</v>
      </c>
      <c r="E2" t="s">
        <v>29</v>
      </c>
      <c r="F2">
        <v>0</v>
      </c>
      <c r="G2">
        <v>0</v>
      </c>
      <c r="H2">
        <v>0</v>
      </c>
      <c r="I2">
        <v>7</v>
      </c>
      <c r="J2">
        <v>0</v>
      </c>
      <c r="K2">
        <v>0</v>
      </c>
      <c r="L2">
        <v>0</v>
      </c>
      <c r="M2">
        <v>0</v>
      </c>
      <c r="N2">
        <v>0</v>
      </c>
      <c r="O2">
        <f>F2/10+G2/5+H2+I2+J2+K2+L2+M2+N2</f>
        <v>7</v>
      </c>
    </row>
    <row r="3" spans="2:15" ht="48.75" customHeight="1" x14ac:dyDescent="0.25">
      <c r="B3">
        <v>1054</v>
      </c>
      <c r="C3" t="s">
        <v>187</v>
      </c>
      <c r="D3" s="1" t="s">
        <v>204</v>
      </c>
      <c r="E3" t="s">
        <v>205</v>
      </c>
      <c r="F3">
        <v>30</v>
      </c>
      <c r="G3">
        <v>0</v>
      </c>
      <c r="H3">
        <v>0</v>
      </c>
      <c r="I3">
        <v>12</v>
      </c>
      <c r="J3">
        <v>0</v>
      </c>
      <c r="K3">
        <v>0</v>
      </c>
      <c r="L3">
        <v>0</v>
      </c>
      <c r="M3">
        <v>0</v>
      </c>
      <c r="N3">
        <v>0</v>
      </c>
      <c r="O3">
        <f t="shared" ref="O3:O4" si="0">F3/10+G3/5+H3+I3+J3+K3+L3+M3+N3</f>
        <v>15</v>
      </c>
    </row>
    <row r="4" spans="2:15" ht="90" x14ac:dyDescent="0.25">
      <c r="B4">
        <v>1055</v>
      </c>
      <c r="C4" t="s">
        <v>198</v>
      </c>
      <c r="D4" s="1" t="s">
        <v>204</v>
      </c>
      <c r="E4" t="s">
        <v>206</v>
      </c>
      <c r="F4">
        <v>70</v>
      </c>
      <c r="G4">
        <v>0</v>
      </c>
      <c r="H4">
        <v>0</v>
      </c>
      <c r="I4">
        <v>18</v>
      </c>
      <c r="J4">
        <v>0</v>
      </c>
      <c r="K4">
        <v>0</v>
      </c>
      <c r="L4">
        <v>0</v>
      </c>
      <c r="M4">
        <v>0</v>
      </c>
      <c r="N4">
        <v>0</v>
      </c>
      <c r="O4">
        <f t="shared" si="0"/>
        <v>25</v>
      </c>
    </row>
    <row r="5" spans="2:15" ht="120" x14ac:dyDescent="0.25">
      <c r="B5">
        <v>1056</v>
      </c>
      <c r="C5" t="s">
        <v>192</v>
      </c>
      <c r="D5" s="1" t="s">
        <v>207</v>
      </c>
      <c r="E5" t="s">
        <v>45</v>
      </c>
      <c r="F5">
        <v>80</v>
      </c>
      <c r="G5">
        <v>0</v>
      </c>
      <c r="H5">
        <v>0</v>
      </c>
      <c r="I5">
        <v>21</v>
      </c>
      <c r="J5">
        <v>0</v>
      </c>
      <c r="K5">
        <v>0</v>
      </c>
      <c r="L5">
        <v>0</v>
      </c>
      <c r="M5">
        <v>0</v>
      </c>
      <c r="N5">
        <v>0</v>
      </c>
      <c r="O5">
        <f>F5/10+G5/5+H5+I5+J5+K5+L5+M5+N5+PowerRuling!C6</f>
        <v>34</v>
      </c>
    </row>
    <row r="6" spans="2:15" ht="75" x14ac:dyDescent="0.25">
      <c r="B6">
        <v>1057</v>
      </c>
      <c r="C6" t="s">
        <v>193</v>
      </c>
      <c r="D6" s="1" t="s">
        <v>208</v>
      </c>
      <c r="E6" t="s">
        <v>209</v>
      </c>
      <c r="F6">
        <v>70</v>
      </c>
      <c r="G6">
        <v>0</v>
      </c>
      <c r="H6">
        <v>0</v>
      </c>
      <c r="I6">
        <v>18</v>
      </c>
      <c r="J6">
        <v>1</v>
      </c>
      <c r="K6">
        <v>0</v>
      </c>
      <c r="L6">
        <v>1</v>
      </c>
      <c r="M6">
        <v>0</v>
      </c>
      <c r="N6">
        <v>0</v>
      </c>
      <c r="O6">
        <f>F6/10+G6/5+H6+I6+J6+K6+L6+M6+N6+PowerRuling!C19</f>
        <v>35</v>
      </c>
    </row>
    <row r="7" spans="2:15" ht="90" x14ac:dyDescent="0.25">
      <c r="B7">
        <v>1058</v>
      </c>
      <c r="C7" t="s">
        <v>194</v>
      </c>
      <c r="D7" s="1" t="s">
        <v>210</v>
      </c>
      <c r="E7" t="s">
        <v>211</v>
      </c>
      <c r="F7">
        <v>80</v>
      </c>
      <c r="G7">
        <v>0</v>
      </c>
      <c r="H7">
        <v>0</v>
      </c>
      <c r="I7">
        <v>26</v>
      </c>
      <c r="J7">
        <v>4</v>
      </c>
      <c r="K7">
        <v>0</v>
      </c>
      <c r="L7">
        <v>4</v>
      </c>
      <c r="M7">
        <v>0</v>
      </c>
      <c r="N7">
        <v>0</v>
      </c>
      <c r="O7">
        <f>F7/10+G7/5+H7+I7+J7+K7+L7+M7+N7+1*8</f>
        <v>50</v>
      </c>
    </row>
    <row r="8" spans="2:15" ht="195" x14ac:dyDescent="0.25">
      <c r="B8">
        <v>1059</v>
      </c>
      <c r="C8" t="s">
        <v>199</v>
      </c>
      <c r="D8" s="1" t="s">
        <v>212</v>
      </c>
      <c r="E8" t="s">
        <v>213</v>
      </c>
      <c r="F8">
        <v>90</v>
      </c>
      <c r="G8">
        <v>0</v>
      </c>
      <c r="H8">
        <v>0</v>
      </c>
      <c r="I8">
        <v>28</v>
      </c>
      <c r="J8">
        <v>0</v>
      </c>
      <c r="K8">
        <v>0</v>
      </c>
      <c r="L8">
        <v>0</v>
      </c>
      <c r="M8">
        <v>0</v>
      </c>
      <c r="N8">
        <v>0</v>
      </c>
      <c r="O8">
        <f>F8/10+G8/5+H8+I8+J8+K8+L8+M8+N8+PowerRuling!C6+1*8</f>
        <v>50</v>
      </c>
    </row>
    <row r="9" spans="2:15" ht="72" customHeight="1" x14ac:dyDescent="0.25">
      <c r="B9">
        <v>1060</v>
      </c>
      <c r="C9" t="s">
        <v>188</v>
      </c>
      <c r="D9" s="1" t="s">
        <v>214</v>
      </c>
      <c r="E9" t="s">
        <v>215</v>
      </c>
      <c r="F9">
        <v>110</v>
      </c>
      <c r="G9">
        <v>0</v>
      </c>
      <c r="H9">
        <v>0</v>
      </c>
      <c r="I9">
        <v>34</v>
      </c>
      <c r="J9">
        <v>6</v>
      </c>
      <c r="K9">
        <v>0</v>
      </c>
      <c r="L9">
        <v>6</v>
      </c>
      <c r="M9">
        <v>0</v>
      </c>
      <c r="N9">
        <v>0</v>
      </c>
      <c r="O9">
        <f>F9/10+G9/5+H9+I9+J9+K9+L9+M9+N9+PowerRuling!C19+PowerRuling!C9</f>
        <v>71</v>
      </c>
    </row>
    <row r="10" spans="2:15" ht="69.75" customHeight="1" x14ac:dyDescent="0.25">
      <c r="B10">
        <v>1061</v>
      </c>
      <c r="C10" t="s">
        <v>189</v>
      </c>
      <c r="D10" s="1" t="s">
        <v>216</v>
      </c>
      <c r="E10" t="s">
        <v>217</v>
      </c>
      <c r="F10">
        <v>150</v>
      </c>
      <c r="G10">
        <v>0</v>
      </c>
      <c r="H10">
        <v>0</v>
      </c>
      <c r="I10">
        <v>43</v>
      </c>
      <c r="J10">
        <v>0</v>
      </c>
      <c r="K10">
        <v>0</v>
      </c>
      <c r="L10">
        <v>7</v>
      </c>
      <c r="M10">
        <v>0</v>
      </c>
      <c r="N10">
        <v>0</v>
      </c>
      <c r="O10">
        <f>F10/10+G10/5+H10+I10+J10+K10+L10+M10+N10+PowerRuling!C6+PowerRuling!C38</f>
        <v>90</v>
      </c>
    </row>
    <row r="11" spans="2:15" ht="120" customHeight="1" x14ac:dyDescent="0.25">
      <c r="B11">
        <v>1062</v>
      </c>
      <c r="C11" t="s">
        <v>195</v>
      </c>
      <c r="D11" s="1" t="s">
        <v>218</v>
      </c>
      <c r="E11" t="s">
        <v>219</v>
      </c>
      <c r="F11">
        <v>240</v>
      </c>
      <c r="G11">
        <v>0</v>
      </c>
      <c r="H11">
        <v>0</v>
      </c>
      <c r="I11">
        <v>40</v>
      </c>
      <c r="J11">
        <v>16</v>
      </c>
      <c r="K11">
        <v>0</v>
      </c>
      <c r="L11">
        <v>16</v>
      </c>
      <c r="M11">
        <v>-10</v>
      </c>
      <c r="N11">
        <v>0</v>
      </c>
      <c r="O11">
        <f>F11/10+G11/5+H11+I11+J11+K11+L11+M11+N11+1*8+PowerRuling!C6+PowerRuling!C39</f>
        <v>110</v>
      </c>
    </row>
    <row r="12" spans="2:15" ht="119.25" customHeight="1" x14ac:dyDescent="0.25">
      <c r="B12">
        <v>1063</v>
      </c>
      <c r="C12" t="s">
        <v>196</v>
      </c>
      <c r="D12" s="1" t="s">
        <v>220</v>
      </c>
      <c r="E12" t="s">
        <v>221</v>
      </c>
      <c r="F12">
        <v>80</v>
      </c>
      <c r="G12">
        <v>0</v>
      </c>
      <c r="H12">
        <v>0</v>
      </c>
      <c r="I12">
        <v>55</v>
      </c>
      <c r="J12">
        <v>16</v>
      </c>
      <c r="K12">
        <v>0</v>
      </c>
      <c r="L12">
        <v>16</v>
      </c>
      <c r="M12">
        <v>-10</v>
      </c>
      <c r="N12">
        <v>0</v>
      </c>
      <c r="O12">
        <f>F12/10+G12/5+H12+I12+J12+K12+L12+M12+N12+1*8+PowerRuling!C40</f>
        <v>109</v>
      </c>
    </row>
    <row r="13" spans="2:15" ht="75.75" customHeight="1" x14ac:dyDescent="0.25">
      <c r="B13">
        <v>1064</v>
      </c>
      <c r="C13" t="s">
        <v>200</v>
      </c>
      <c r="D13" s="1" t="s">
        <v>222</v>
      </c>
      <c r="E13" t="s">
        <v>78</v>
      </c>
      <c r="F13">
        <v>200</v>
      </c>
      <c r="G13">
        <v>0</v>
      </c>
      <c r="H13">
        <v>0</v>
      </c>
      <c r="I13">
        <v>48</v>
      </c>
      <c r="J13">
        <v>14</v>
      </c>
      <c r="K13">
        <v>0</v>
      </c>
      <c r="L13">
        <v>14</v>
      </c>
      <c r="M13">
        <v>-10</v>
      </c>
      <c r="N13">
        <v>0</v>
      </c>
      <c r="O13">
        <f>F13/10+G13/5+H13+I13+J13+K13+L13+M13+N13+PowerRuling!C41+PowerRuling!L14</f>
        <v>110</v>
      </c>
    </row>
    <row r="14" spans="2:15" ht="96.75" customHeight="1" x14ac:dyDescent="0.25">
      <c r="B14">
        <v>1065</v>
      </c>
      <c r="C14" t="s">
        <v>191</v>
      </c>
      <c r="D14" s="1" t="s">
        <v>223</v>
      </c>
      <c r="E14" t="s">
        <v>224</v>
      </c>
      <c r="F14">
        <v>200</v>
      </c>
      <c r="G14">
        <v>0</v>
      </c>
      <c r="H14">
        <v>0</v>
      </c>
      <c r="I14">
        <v>49</v>
      </c>
      <c r="J14">
        <v>0</v>
      </c>
      <c r="K14">
        <v>0</v>
      </c>
      <c r="L14">
        <v>20</v>
      </c>
      <c r="M14">
        <v>0</v>
      </c>
      <c r="N14">
        <v>0</v>
      </c>
      <c r="O14">
        <f>F14/10+G14/5+H14+I14+J14+K14+L14+M14+N14+PowerRuling!C6+PowerRuling!C38+2*8</f>
        <v>130</v>
      </c>
    </row>
    <row r="15" spans="2:15" ht="91.5" customHeight="1" x14ac:dyDescent="0.25">
      <c r="B15">
        <v>1066</v>
      </c>
      <c r="C15" t="s">
        <v>190</v>
      </c>
      <c r="D15" s="1" t="s">
        <v>225</v>
      </c>
      <c r="E15" t="s">
        <v>226</v>
      </c>
      <c r="F15">
        <v>200</v>
      </c>
      <c r="G15">
        <v>0</v>
      </c>
      <c r="H15">
        <v>0</v>
      </c>
      <c r="I15">
        <v>55</v>
      </c>
      <c r="J15">
        <v>15</v>
      </c>
      <c r="K15">
        <v>0</v>
      </c>
      <c r="L15">
        <v>15</v>
      </c>
      <c r="M15">
        <v>0</v>
      </c>
      <c r="N15">
        <v>0</v>
      </c>
      <c r="O15">
        <f>F15/10+G15/5+H15+I15+J15+K15+L15+M15+N15+PowerRuling!C9+PowerRuling!C19+PowerRuling!C42</f>
        <v>129</v>
      </c>
    </row>
    <row r="16" spans="2:15" ht="114.75" customHeight="1" x14ac:dyDescent="0.25">
      <c r="B16">
        <v>1067</v>
      </c>
      <c r="C16" t="s">
        <v>201</v>
      </c>
      <c r="D16" s="1" t="s">
        <v>227</v>
      </c>
      <c r="E16" t="s">
        <v>228</v>
      </c>
      <c r="F16">
        <v>200</v>
      </c>
      <c r="G16">
        <v>0</v>
      </c>
      <c r="H16">
        <v>0</v>
      </c>
      <c r="I16">
        <v>49</v>
      </c>
      <c r="J16">
        <v>0</v>
      </c>
      <c r="K16">
        <v>0</v>
      </c>
      <c r="L16">
        <v>24</v>
      </c>
      <c r="M16">
        <v>0</v>
      </c>
      <c r="N16">
        <v>0</v>
      </c>
      <c r="O16">
        <f>F16/10+G16/5+H16+I16+J16+K16+L16+M16+N16+PowerRuling!C6+2*8+PowerRuling!C38+PowerRuling!C43</f>
        <v>150</v>
      </c>
    </row>
    <row r="17" spans="2:15" ht="110.25" customHeight="1" x14ac:dyDescent="0.25">
      <c r="B17">
        <v>1068</v>
      </c>
      <c r="C17" t="s">
        <v>202</v>
      </c>
      <c r="D17" s="1" t="s">
        <v>231</v>
      </c>
      <c r="E17" t="s">
        <v>232</v>
      </c>
      <c r="F17">
        <v>300</v>
      </c>
      <c r="G17">
        <v>0</v>
      </c>
      <c r="H17">
        <v>0</v>
      </c>
      <c r="I17">
        <v>65</v>
      </c>
      <c r="J17">
        <v>20</v>
      </c>
      <c r="K17">
        <v>0</v>
      </c>
      <c r="L17">
        <v>20</v>
      </c>
      <c r="M17">
        <v>-10</v>
      </c>
      <c r="N17">
        <v>0</v>
      </c>
      <c r="O17">
        <f>F17/10+G17/5+H17+I17+J17+K17+L17+M17+N17+2*8+PowerRuling!C6+PowerRuling!C39+PowerRuling!C40</f>
        <v>173</v>
      </c>
    </row>
    <row r="18" spans="2:15" ht="100.5" customHeight="1" x14ac:dyDescent="0.25">
      <c r="B18">
        <v>1069</v>
      </c>
      <c r="C18" t="s">
        <v>203</v>
      </c>
      <c r="D18" s="1" t="s">
        <v>233</v>
      </c>
      <c r="E18" t="s">
        <v>234</v>
      </c>
      <c r="F18">
        <v>200</v>
      </c>
      <c r="G18">
        <v>0</v>
      </c>
      <c r="H18">
        <v>0</v>
      </c>
      <c r="I18">
        <v>80</v>
      </c>
      <c r="J18">
        <v>18</v>
      </c>
      <c r="K18">
        <v>0</v>
      </c>
      <c r="L18">
        <v>18</v>
      </c>
      <c r="M18">
        <v>-10</v>
      </c>
      <c r="N18">
        <v>0</v>
      </c>
      <c r="O18">
        <f>F18/10+G18/5+H18+I18+J18+K18+L18+M18+N18+1*8+PowerRuling!L14+PowerRuling!C40+PowerRuling!C41</f>
        <v>174</v>
      </c>
    </row>
    <row r="19" spans="2:15" ht="54.75" customHeight="1" x14ac:dyDescent="0.25">
      <c r="B19">
        <v>1070</v>
      </c>
      <c r="C19" t="s">
        <v>197</v>
      </c>
      <c r="D19" s="1" t="s">
        <v>230</v>
      </c>
      <c r="E19" t="s">
        <v>229</v>
      </c>
      <c r="O19">
        <f>F19/10+G19/5+H19+I19+J19+K19+L19+M19+N19</f>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45DA4-B6A7-43F4-9E25-B651EFDB9442}">
  <dimension ref="B1:O15"/>
  <sheetViews>
    <sheetView topLeftCell="E9" workbookViewId="0">
      <selection activeCell="B12" sqref="A12:XFD12"/>
    </sheetView>
  </sheetViews>
  <sheetFormatPr baseColWidth="10" defaultRowHeight="15" x14ac:dyDescent="0.25"/>
  <cols>
    <col min="3" max="3" width="14.5703125" bestFit="1" customWidth="1"/>
    <col min="4" max="4" width="41.42578125" customWidth="1"/>
    <col min="5" max="5" width="50.7109375" bestFit="1" customWidth="1"/>
    <col min="12" max="12" width="13.7109375" bestFit="1" customWidth="1"/>
  </cols>
  <sheetData>
    <row r="1" spans="2:15" x14ac:dyDescent="0.25">
      <c r="F1" t="s">
        <v>667</v>
      </c>
      <c r="G1" t="s">
        <v>668</v>
      </c>
      <c r="H1" t="s">
        <v>669</v>
      </c>
      <c r="I1" t="s">
        <v>670</v>
      </c>
      <c r="J1" t="s">
        <v>671</v>
      </c>
      <c r="K1" t="s">
        <v>672</v>
      </c>
      <c r="L1" t="s">
        <v>673</v>
      </c>
      <c r="M1" t="s">
        <v>674</v>
      </c>
      <c r="N1" t="s">
        <v>675</v>
      </c>
      <c r="O1" t="s">
        <v>678</v>
      </c>
    </row>
    <row r="2" spans="2:15" ht="29.25" customHeight="1" x14ac:dyDescent="0.25">
      <c r="B2">
        <v>1071</v>
      </c>
      <c r="C2" t="s">
        <v>236</v>
      </c>
      <c r="D2" s="1" t="s">
        <v>250</v>
      </c>
      <c r="E2" t="s">
        <v>251</v>
      </c>
      <c r="F2">
        <v>0</v>
      </c>
      <c r="G2">
        <v>0</v>
      </c>
      <c r="H2">
        <v>0</v>
      </c>
      <c r="I2">
        <v>7</v>
      </c>
      <c r="J2">
        <v>0</v>
      </c>
      <c r="K2">
        <v>0</v>
      </c>
      <c r="L2">
        <v>0</v>
      </c>
      <c r="M2">
        <v>6</v>
      </c>
      <c r="N2">
        <v>0</v>
      </c>
      <c r="O2">
        <f>F2/10+G2/5+H2/5+I2+J2+K2+L2+M2+N2+PowerRuling!$G$29*3</f>
        <v>25</v>
      </c>
    </row>
    <row r="3" spans="2:15" ht="31.5" customHeight="1" x14ac:dyDescent="0.25">
      <c r="B3">
        <v>1072</v>
      </c>
      <c r="C3" t="s">
        <v>237</v>
      </c>
      <c r="D3" s="1" t="s">
        <v>252</v>
      </c>
      <c r="E3" t="s">
        <v>253</v>
      </c>
      <c r="F3">
        <v>0</v>
      </c>
      <c r="G3">
        <v>0</v>
      </c>
      <c r="H3">
        <v>0</v>
      </c>
      <c r="I3">
        <v>12</v>
      </c>
      <c r="J3">
        <v>0</v>
      </c>
      <c r="K3">
        <v>0</v>
      </c>
      <c r="L3">
        <v>0</v>
      </c>
      <c r="M3">
        <v>7</v>
      </c>
      <c r="N3">
        <v>0</v>
      </c>
      <c r="O3">
        <f>F3/10+G3/5+H3/5+I3+J3+K3+L3+M3+N3+PowerRuling!$G$29*4</f>
        <v>35</v>
      </c>
    </row>
    <row r="4" spans="2:15" ht="32.25" customHeight="1" x14ac:dyDescent="0.25">
      <c r="B4">
        <v>1073</v>
      </c>
      <c r="C4" t="s">
        <v>238</v>
      </c>
      <c r="D4" s="1" t="s">
        <v>254</v>
      </c>
      <c r="E4" t="s">
        <v>48</v>
      </c>
      <c r="F4">
        <v>0</v>
      </c>
      <c r="G4">
        <v>0</v>
      </c>
      <c r="H4">
        <v>0</v>
      </c>
      <c r="I4">
        <v>13</v>
      </c>
      <c r="J4">
        <v>0</v>
      </c>
      <c r="K4">
        <v>0</v>
      </c>
      <c r="L4">
        <v>0</v>
      </c>
      <c r="M4">
        <v>6</v>
      </c>
      <c r="N4">
        <v>0</v>
      </c>
      <c r="O4">
        <f>F4/10+G4/5+H4/5+I4+J4+K4+L4+M4+N4+PowerRuling!$G$29*5+PowerRuling!C44</f>
        <v>50</v>
      </c>
    </row>
    <row r="5" spans="2:15" ht="55.5" customHeight="1" x14ac:dyDescent="0.25">
      <c r="B5">
        <v>1074</v>
      </c>
      <c r="C5" t="s">
        <v>239</v>
      </c>
      <c r="D5" s="1" t="s">
        <v>255</v>
      </c>
      <c r="E5" t="s">
        <v>256</v>
      </c>
      <c r="F5">
        <v>0</v>
      </c>
      <c r="G5">
        <v>0</v>
      </c>
      <c r="H5">
        <v>0</v>
      </c>
      <c r="I5">
        <v>15</v>
      </c>
      <c r="J5">
        <v>0</v>
      </c>
      <c r="K5">
        <v>0</v>
      </c>
      <c r="L5">
        <v>0</v>
      </c>
      <c r="M5">
        <v>7</v>
      </c>
      <c r="N5">
        <v>0</v>
      </c>
      <c r="O5">
        <f>F5/10+G5/5+H5/5+I5+J5+K5+L5+M5+N5+PowerRuling!$G$29*5+1*8</f>
        <v>50</v>
      </c>
    </row>
    <row r="6" spans="2:15" ht="42" customHeight="1" x14ac:dyDescent="0.25">
      <c r="B6">
        <v>1075</v>
      </c>
      <c r="C6" t="s">
        <v>240</v>
      </c>
      <c r="D6" s="1" t="s">
        <v>257</v>
      </c>
      <c r="E6" t="s">
        <v>61</v>
      </c>
      <c r="F6">
        <v>40</v>
      </c>
      <c r="G6">
        <v>0</v>
      </c>
      <c r="H6">
        <v>0</v>
      </c>
      <c r="I6">
        <v>23</v>
      </c>
      <c r="J6">
        <v>0</v>
      </c>
      <c r="K6">
        <v>0</v>
      </c>
      <c r="L6">
        <v>0</v>
      </c>
      <c r="M6">
        <v>11</v>
      </c>
      <c r="N6">
        <v>0</v>
      </c>
      <c r="O6">
        <f>F6/10+G6/5+H6/5+I6+J6+K6+L6+M6+N6+PowerRuling!$G$29*6+1*8</f>
        <v>70</v>
      </c>
    </row>
    <row r="7" spans="2:15" ht="42" customHeight="1" x14ac:dyDescent="0.25">
      <c r="B7">
        <v>1076</v>
      </c>
      <c r="C7" t="s">
        <v>241</v>
      </c>
      <c r="D7" s="1" t="s">
        <v>258</v>
      </c>
      <c r="E7" t="s">
        <v>61</v>
      </c>
      <c r="F7">
        <v>0</v>
      </c>
      <c r="G7">
        <v>0</v>
      </c>
      <c r="H7">
        <v>0</v>
      </c>
      <c r="I7">
        <v>18</v>
      </c>
      <c r="J7">
        <v>0</v>
      </c>
      <c r="K7">
        <v>10</v>
      </c>
      <c r="L7">
        <v>0</v>
      </c>
      <c r="M7">
        <v>7</v>
      </c>
      <c r="N7">
        <v>0</v>
      </c>
      <c r="O7">
        <f>F7/10+G7/5+H7/5+I7+J7+K7+L7+M7+N7+PowerRuling!$G$29*6+PowerRuling!C6+PowerRuling!C12</f>
        <v>70</v>
      </c>
    </row>
    <row r="8" spans="2:15" ht="48.75" customHeight="1" x14ac:dyDescent="0.25">
      <c r="B8">
        <v>1077</v>
      </c>
      <c r="C8" t="s">
        <v>245</v>
      </c>
      <c r="D8" s="1" t="s">
        <v>259</v>
      </c>
      <c r="E8" t="s">
        <v>260</v>
      </c>
      <c r="F8">
        <v>100</v>
      </c>
      <c r="G8">
        <v>0</v>
      </c>
      <c r="H8">
        <v>0</v>
      </c>
      <c r="I8">
        <v>34</v>
      </c>
      <c r="J8">
        <v>0</v>
      </c>
      <c r="K8">
        <v>0</v>
      </c>
      <c r="L8">
        <v>0</v>
      </c>
      <c r="M8">
        <v>18</v>
      </c>
      <c r="N8">
        <v>0</v>
      </c>
      <c r="O8">
        <f>F8/10+G8/5+H8/5+I8+J8+K8+L8+M8+N8+PowerRuling!$G$29*8+2*8</f>
        <v>110</v>
      </c>
    </row>
    <row r="9" spans="2:15" ht="66.75" customHeight="1" x14ac:dyDescent="0.25">
      <c r="B9">
        <v>1078</v>
      </c>
      <c r="C9" t="s">
        <v>246</v>
      </c>
      <c r="D9" s="1" t="s">
        <v>261</v>
      </c>
      <c r="E9" t="s">
        <v>262</v>
      </c>
      <c r="F9">
        <v>0</v>
      </c>
      <c r="G9">
        <v>0</v>
      </c>
      <c r="H9">
        <v>0</v>
      </c>
      <c r="I9">
        <v>28</v>
      </c>
      <c r="J9">
        <v>0</v>
      </c>
      <c r="K9">
        <v>0</v>
      </c>
      <c r="L9">
        <v>0</v>
      </c>
      <c r="M9">
        <v>31</v>
      </c>
      <c r="N9">
        <v>0</v>
      </c>
      <c r="O9">
        <f>F9/10+G9/5+H9/5+I9+J9+K9+L9+M9+N9+PowerRuling!$G$29*8+1*8+PowerRuling!C44</f>
        <v>110</v>
      </c>
    </row>
    <row r="10" spans="2:15" ht="71.25" customHeight="1" x14ac:dyDescent="0.25">
      <c r="B10">
        <v>1079</v>
      </c>
      <c r="C10" t="s">
        <v>249</v>
      </c>
      <c r="D10" s="1" t="s">
        <v>263</v>
      </c>
      <c r="E10" t="s">
        <v>264</v>
      </c>
      <c r="F10">
        <v>0</v>
      </c>
      <c r="G10">
        <v>0</v>
      </c>
      <c r="H10">
        <v>0</v>
      </c>
      <c r="I10">
        <v>32</v>
      </c>
      <c r="J10">
        <v>0</v>
      </c>
      <c r="K10">
        <v>25</v>
      </c>
      <c r="L10">
        <v>0</v>
      </c>
      <c r="M10">
        <v>22</v>
      </c>
      <c r="N10">
        <v>0</v>
      </c>
      <c r="O10">
        <f>F10/10+G10/5+H10/5+I10+J10+K10+L10+M10+N10+PowerRuling!$G$29*9+PowerRuling!C6+PowerRuling!C10+PowerRuling!C12</f>
        <v>130</v>
      </c>
    </row>
    <row r="11" spans="2:15" ht="66" customHeight="1" x14ac:dyDescent="0.25">
      <c r="B11">
        <v>1080</v>
      </c>
      <c r="C11" t="s">
        <v>247</v>
      </c>
      <c r="D11" s="1" t="s">
        <v>265</v>
      </c>
      <c r="E11" t="s">
        <v>266</v>
      </c>
      <c r="F11">
        <v>100</v>
      </c>
      <c r="G11">
        <v>0</v>
      </c>
      <c r="H11">
        <v>0</v>
      </c>
      <c r="I11">
        <v>37</v>
      </c>
      <c r="J11">
        <v>0</v>
      </c>
      <c r="K11">
        <v>0</v>
      </c>
      <c r="L11">
        <v>0</v>
      </c>
      <c r="M11">
        <v>18</v>
      </c>
      <c r="N11">
        <v>0</v>
      </c>
      <c r="O11">
        <f>F11/10+G11/5+H11/5+I11+J11+K11+L11+M11+N11+PowerRuling!$G$29*9+2*8+PowerRuling!C45</f>
        <v>130</v>
      </c>
    </row>
    <row r="12" spans="2:15" ht="90.75" customHeight="1" x14ac:dyDescent="0.25">
      <c r="B12">
        <v>1081</v>
      </c>
      <c r="C12" t="s">
        <v>248</v>
      </c>
      <c r="D12" s="1" t="s">
        <v>271</v>
      </c>
      <c r="E12" t="s">
        <v>267</v>
      </c>
      <c r="F12">
        <v>0</v>
      </c>
      <c r="G12">
        <v>0</v>
      </c>
      <c r="H12">
        <v>0</v>
      </c>
      <c r="I12">
        <v>42</v>
      </c>
      <c r="J12">
        <v>0</v>
      </c>
      <c r="K12">
        <v>0</v>
      </c>
      <c r="L12">
        <v>0</v>
      </c>
      <c r="M12">
        <v>45</v>
      </c>
      <c r="N12">
        <v>0</v>
      </c>
      <c r="O12">
        <f>F12/10+G12/5+H12/5+I12+J12+K12+L12+M12+N12+PowerRuling!$G$29*10+1*8+PowerRuling!C44+PowerRuling!L12</f>
        <v>152</v>
      </c>
    </row>
    <row r="13" spans="2:15" ht="78.75" customHeight="1" x14ac:dyDescent="0.25">
      <c r="B13">
        <v>1082</v>
      </c>
      <c r="C13" t="s">
        <v>244</v>
      </c>
      <c r="D13" s="1" t="s">
        <v>272</v>
      </c>
      <c r="E13" t="s">
        <v>268</v>
      </c>
      <c r="F13">
        <v>0</v>
      </c>
      <c r="G13">
        <v>0</v>
      </c>
      <c r="H13">
        <v>0</v>
      </c>
      <c r="I13">
        <v>45</v>
      </c>
      <c r="J13">
        <v>0</v>
      </c>
      <c r="K13">
        <v>36</v>
      </c>
      <c r="L13">
        <v>0</v>
      </c>
      <c r="M13">
        <v>24</v>
      </c>
      <c r="N13">
        <v>0</v>
      </c>
      <c r="O13">
        <f>F13/10+G13/5+H13/5+I13+J13+K13+L13+M13+N13+PowerRuling!$G$29*11+PowerRuling!C6+PowerRuling!C10+PowerRuling!C12+PowerRuling!L12</f>
        <v>170</v>
      </c>
    </row>
    <row r="14" spans="2:15" ht="75" customHeight="1" x14ac:dyDescent="0.25">
      <c r="B14">
        <v>1083</v>
      </c>
      <c r="C14" t="s">
        <v>242</v>
      </c>
      <c r="D14" s="1" t="s">
        <v>273</v>
      </c>
      <c r="E14" t="s">
        <v>269</v>
      </c>
      <c r="F14">
        <v>250</v>
      </c>
      <c r="G14">
        <v>0</v>
      </c>
      <c r="H14">
        <v>0</v>
      </c>
      <c r="I14">
        <v>50</v>
      </c>
      <c r="J14">
        <v>0</v>
      </c>
      <c r="K14">
        <v>0</v>
      </c>
      <c r="L14">
        <v>0</v>
      </c>
      <c r="M14">
        <v>34</v>
      </c>
      <c r="N14">
        <v>0</v>
      </c>
      <c r="O14">
        <f>F14/10+G14/5+H14/5+I14+J14+K14+L14+M14+N14+PowerRuling!$G$29*12+2*8+PowerRuling!C45+PowerRuling!C46</f>
        <v>200</v>
      </c>
    </row>
    <row r="15" spans="2:15" ht="93" customHeight="1" x14ac:dyDescent="0.25">
      <c r="B15">
        <v>1084</v>
      </c>
      <c r="C15" t="s">
        <v>243</v>
      </c>
      <c r="D15" s="1" t="s">
        <v>274</v>
      </c>
      <c r="E15" t="s">
        <v>270</v>
      </c>
      <c r="F15">
        <v>0</v>
      </c>
      <c r="G15">
        <v>0</v>
      </c>
      <c r="H15">
        <v>0</v>
      </c>
      <c r="I15">
        <v>64</v>
      </c>
      <c r="J15">
        <v>0</v>
      </c>
      <c r="K15">
        <v>0</v>
      </c>
      <c r="L15">
        <v>0</v>
      </c>
      <c r="M15">
        <v>55</v>
      </c>
      <c r="N15">
        <v>0</v>
      </c>
      <c r="O15">
        <f>F15/10+G15/5+H15/5+I15+J15+K15+L15+M15+N15+PowerRuling!$G$29*12+2*8+PowerRuling!C44+PowerRuling!L12</f>
        <v>200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A25AD-0CA4-48E8-92CF-38BBD575942E}">
  <dimension ref="B1:O24"/>
  <sheetViews>
    <sheetView topLeftCell="E19" workbookViewId="0">
      <selection activeCell="L28" sqref="L28"/>
    </sheetView>
  </sheetViews>
  <sheetFormatPr baseColWidth="10" defaultRowHeight="15" x14ac:dyDescent="0.25"/>
  <cols>
    <col min="3" max="3" width="22.28515625" bestFit="1" customWidth="1"/>
    <col min="4" max="4" width="43" customWidth="1"/>
    <col min="5" max="5" width="44.5703125" bestFit="1" customWidth="1"/>
    <col min="12" max="12" width="13.7109375" bestFit="1" customWidth="1"/>
  </cols>
  <sheetData>
    <row r="1" spans="2:15" x14ac:dyDescent="0.25">
      <c r="F1" t="s">
        <v>667</v>
      </c>
      <c r="G1" t="s">
        <v>668</v>
      </c>
      <c r="H1" t="s">
        <v>669</v>
      </c>
      <c r="I1" t="s">
        <v>670</v>
      </c>
      <c r="J1" t="s">
        <v>671</v>
      </c>
      <c r="K1" t="s">
        <v>672</v>
      </c>
      <c r="L1" t="s">
        <v>673</v>
      </c>
      <c r="M1" t="s">
        <v>674</v>
      </c>
      <c r="N1" t="s">
        <v>675</v>
      </c>
      <c r="O1" t="s">
        <v>678</v>
      </c>
    </row>
    <row r="2" spans="2:15" ht="49.5" customHeight="1" x14ac:dyDescent="0.25">
      <c r="B2">
        <v>1085</v>
      </c>
      <c r="C2" t="s">
        <v>276</v>
      </c>
      <c r="D2" s="1" t="s">
        <v>313</v>
      </c>
      <c r="E2" t="s">
        <v>30</v>
      </c>
      <c r="F2">
        <v>0</v>
      </c>
      <c r="G2">
        <v>40</v>
      </c>
      <c r="H2">
        <v>0</v>
      </c>
      <c r="I2">
        <v>0</v>
      </c>
      <c r="J2">
        <v>0</v>
      </c>
      <c r="K2">
        <v>12</v>
      </c>
      <c r="L2">
        <v>0</v>
      </c>
      <c r="M2">
        <v>0</v>
      </c>
      <c r="N2">
        <v>0</v>
      </c>
      <c r="O2">
        <f>F2/10+G2/5+H2/5+I2+J2+K2+L2+M2+N2+PowerRuling!$G$19*2+1</f>
        <v>15</v>
      </c>
    </row>
    <row r="3" spans="2:15" ht="54" customHeight="1" x14ac:dyDescent="0.25">
      <c r="B3">
        <v>1086</v>
      </c>
      <c r="C3" t="s">
        <v>277</v>
      </c>
      <c r="D3" s="1" t="s">
        <v>314</v>
      </c>
      <c r="E3" t="s">
        <v>251</v>
      </c>
      <c r="F3">
        <v>0</v>
      </c>
      <c r="G3">
        <v>75</v>
      </c>
      <c r="H3">
        <v>0</v>
      </c>
      <c r="I3">
        <v>0</v>
      </c>
      <c r="J3">
        <v>0</v>
      </c>
      <c r="K3">
        <v>16</v>
      </c>
      <c r="L3">
        <v>0</v>
      </c>
      <c r="M3">
        <v>0</v>
      </c>
      <c r="N3">
        <v>0</v>
      </c>
      <c r="O3">
        <f>F3/10+G3/5+H3/5+I3+J3+K3+L3+M3+N3+PowerRuling!$G$19*3+3</f>
        <v>25</v>
      </c>
    </row>
    <row r="4" spans="2:15" ht="53.25" customHeight="1" x14ac:dyDescent="0.25">
      <c r="B4">
        <v>1087</v>
      </c>
      <c r="C4" t="s">
        <v>278</v>
      </c>
      <c r="D4" s="1" t="s">
        <v>315</v>
      </c>
      <c r="E4" t="s">
        <v>251</v>
      </c>
      <c r="F4">
        <v>0</v>
      </c>
      <c r="G4">
        <v>40</v>
      </c>
      <c r="H4">
        <v>25</v>
      </c>
      <c r="I4">
        <v>0</v>
      </c>
      <c r="J4">
        <v>2</v>
      </c>
      <c r="K4">
        <v>9</v>
      </c>
      <c r="L4">
        <v>2</v>
      </c>
      <c r="M4">
        <v>0</v>
      </c>
      <c r="N4">
        <v>0</v>
      </c>
      <c r="O4">
        <f>F4/10+G4/5+H4/5+I4+J4+K4+L4+M4+N4+PowerRuling!$G$19*3+1*8</f>
        <v>25</v>
      </c>
    </row>
    <row r="5" spans="2:15" ht="63" customHeight="1" x14ac:dyDescent="0.25">
      <c r="B5">
        <v>1088</v>
      </c>
      <c r="C5" t="s">
        <v>279</v>
      </c>
      <c r="D5" s="1" t="s">
        <v>316</v>
      </c>
      <c r="E5" t="s">
        <v>288</v>
      </c>
      <c r="F5">
        <v>0</v>
      </c>
      <c r="G5">
        <v>60</v>
      </c>
      <c r="H5">
        <v>0</v>
      </c>
      <c r="I5">
        <v>0</v>
      </c>
      <c r="J5">
        <v>1</v>
      </c>
      <c r="K5">
        <v>19</v>
      </c>
      <c r="L5">
        <v>1</v>
      </c>
      <c r="M5">
        <v>0</v>
      </c>
      <c r="N5">
        <v>0</v>
      </c>
      <c r="O5">
        <f>F5/10+G5/5+H5/5+I5+J5+K5+L5+M5+N5+PowerRuling!$G$19*4+5*2.5+1.5</f>
        <v>35</v>
      </c>
    </row>
    <row r="6" spans="2:15" ht="70.5" customHeight="1" x14ac:dyDescent="0.25">
      <c r="B6">
        <v>1089</v>
      </c>
      <c r="C6" t="s">
        <v>280</v>
      </c>
      <c r="D6" s="1" t="s">
        <v>317</v>
      </c>
      <c r="E6" t="s">
        <v>289</v>
      </c>
      <c r="F6">
        <v>0</v>
      </c>
      <c r="G6">
        <v>90</v>
      </c>
      <c r="H6">
        <v>0</v>
      </c>
      <c r="I6">
        <v>0</v>
      </c>
      <c r="J6">
        <v>0</v>
      </c>
      <c r="K6">
        <v>16</v>
      </c>
      <c r="L6">
        <v>0</v>
      </c>
      <c r="M6">
        <v>0</v>
      </c>
      <c r="N6">
        <v>0</v>
      </c>
      <c r="O6">
        <f>F6/10+G6/5+H6/5+I6+J6+K6+L6+M6+N6+PowerRuling!$G$19*4+3+2*5</f>
        <v>35</v>
      </c>
    </row>
    <row r="7" spans="2:15" ht="62.25" customHeight="1" x14ac:dyDescent="0.25">
      <c r="B7">
        <v>1090</v>
      </c>
      <c r="C7" t="s">
        <v>281</v>
      </c>
      <c r="D7" s="1" t="s">
        <v>318</v>
      </c>
      <c r="E7" t="s">
        <v>290</v>
      </c>
      <c r="F7">
        <v>0</v>
      </c>
      <c r="G7">
        <v>50</v>
      </c>
      <c r="H7">
        <v>40</v>
      </c>
      <c r="I7">
        <v>0</v>
      </c>
      <c r="J7">
        <v>6</v>
      </c>
      <c r="K7">
        <v>19</v>
      </c>
      <c r="L7">
        <v>6</v>
      </c>
      <c r="M7">
        <v>0</v>
      </c>
      <c r="N7">
        <v>0</v>
      </c>
      <c r="O7">
        <f>F7/10+G7/5+H7/5+I7+J7+K7+L7+M7+N7+PowerRuling!$G$19*5+1*8+PowerRuling!C47</f>
        <v>50</v>
      </c>
    </row>
    <row r="8" spans="2:15" ht="74.25" customHeight="1" x14ac:dyDescent="0.25">
      <c r="B8">
        <v>1091</v>
      </c>
      <c r="C8" t="s">
        <v>284</v>
      </c>
      <c r="D8" s="1" t="s">
        <v>328</v>
      </c>
      <c r="E8" t="s">
        <v>291</v>
      </c>
      <c r="F8">
        <v>0</v>
      </c>
      <c r="G8">
        <v>120</v>
      </c>
      <c r="H8">
        <v>0</v>
      </c>
      <c r="I8">
        <v>0</v>
      </c>
      <c r="J8">
        <v>6</v>
      </c>
      <c r="K8">
        <v>32</v>
      </c>
      <c r="L8">
        <v>6</v>
      </c>
      <c r="M8">
        <v>0</v>
      </c>
      <c r="N8">
        <v>0</v>
      </c>
      <c r="O8">
        <f>F8/10+G8/5+H8/5+I8+J8+K8+L8+M8+N8+PowerRuling!$G$19*6+2+5*2.5+5</f>
        <v>69.5</v>
      </c>
    </row>
    <row r="9" spans="2:15" ht="80.25" customHeight="1" x14ac:dyDescent="0.25">
      <c r="B9">
        <v>1092</v>
      </c>
      <c r="C9" t="s">
        <v>285</v>
      </c>
      <c r="D9" s="1" t="s">
        <v>329</v>
      </c>
      <c r="E9" t="s">
        <v>291</v>
      </c>
      <c r="F9">
        <v>0</v>
      </c>
      <c r="G9">
        <v>80</v>
      </c>
      <c r="H9">
        <v>0</v>
      </c>
      <c r="I9">
        <v>0</v>
      </c>
      <c r="J9">
        <v>3</v>
      </c>
      <c r="K9">
        <v>46</v>
      </c>
      <c r="L9">
        <v>3</v>
      </c>
      <c r="M9">
        <v>0</v>
      </c>
      <c r="N9">
        <v>0</v>
      </c>
      <c r="O9">
        <f>F9/10+G9/5+H9/5+I9+J9+K9+L9+M9+N9+PowerRuling!$G$19*6+2+5*2.5+5</f>
        <v>69.5</v>
      </c>
    </row>
    <row r="10" spans="2:15" ht="84" customHeight="1" x14ac:dyDescent="0.25">
      <c r="B10">
        <v>1093</v>
      </c>
      <c r="C10" t="s">
        <v>286</v>
      </c>
      <c r="D10" s="1" t="s">
        <v>330</v>
      </c>
      <c r="E10" t="s">
        <v>291</v>
      </c>
      <c r="F10">
        <v>0</v>
      </c>
      <c r="G10">
        <v>80</v>
      </c>
      <c r="H10">
        <v>0</v>
      </c>
      <c r="I10">
        <v>0</v>
      </c>
      <c r="J10">
        <v>3</v>
      </c>
      <c r="K10">
        <v>46</v>
      </c>
      <c r="L10">
        <v>3</v>
      </c>
      <c r="M10">
        <v>0</v>
      </c>
      <c r="N10">
        <v>0</v>
      </c>
      <c r="O10">
        <f>F10/10+G10/5+H10/5+I10+J10+K10+L10+M10+N10+PowerRuling!$G$19*6+2+5*2.5+5</f>
        <v>69.5</v>
      </c>
    </row>
    <row r="11" spans="2:15" ht="79.5" customHeight="1" x14ac:dyDescent="0.25">
      <c r="B11">
        <v>1094</v>
      </c>
      <c r="C11" t="s">
        <v>287</v>
      </c>
      <c r="D11" s="1" t="s">
        <v>331</v>
      </c>
      <c r="E11" t="s">
        <v>291</v>
      </c>
      <c r="F11">
        <v>0</v>
      </c>
      <c r="G11">
        <v>120</v>
      </c>
      <c r="H11">
        <v>0</v>
      </c>
      <c r="I11">
        <v>0</v>
      </c>
      <c r="J11">
        <v>6</v>
      </c>
      <c r="K11">
        <v>32</v>
      </c>
      <c r="L11">
        <v>6</v>
      </c>
      <c r="M11">
        <v>0</v>
      </c>
      <c r="N11">
        <v>0</v>
      </c>
      <c r="O11">
        <f>F11/10+G11/5+H11/5+I11+J11+K11+L11+M11+N11+PowerRuling!$G$19*6+2+5*2.5+5</f>
        <v>69.5</v>
      </c>
    </row>
    <row r="12" spans="2:15" ht="89.25" customHeight="1" x14ac:dyDescent="0.25">
      <c r="B12">
        <v>1095</v>
      </c>
      <c r="C12" t="s">
        <v>282</v>
      </c>
      <c r="D12" s="1" t="s">
        <v>319</v>
      </c>
      <c r="E12" t="s">
        <v>292</v>
      </c>
      <c r="F12">
        <v>0</v>
      </c>
      <c r="G12">
        <v>150</v>
      </c>
      <c r="H12">
        <v>0</v>
      </c>
      <c r="I12">
        <v>0</v>
      </c>
      <c r="J12">
        <v>0</v>
      </c>
      <c r="K12">
        <v>31</v>
      </c>
      <c r="L12">
        <v>0</v>
      </c>
      <c r="M12">
        <v>0</v>
      </c>
      <c r="N12">
        <v>0</v>
      </c>
      <c r="O12">
        <f>F12/10+G12/5+H12/5+I12+J12+K12+L12+M12+N12+PowerRuling!$G$19*6+3+2*5+PowerRuling!C48</f>
        <v>70</v>
      </c>
    </row>
    <row r="13" spans="2:15" ht="87" customHeight="1" x14ac:dyDescent="0.25">
      <c r="B13">
        <v>1096</v>
      </c>
      <c r="C13" t="s">
        <v>283</v>
      </c>
      <c r="D13" s="1" t="s">
        <v>320</v>
      </c>
      <c r="E13" t="s">
        <v>293</v>
      </c>
      <c r="F13">
        <v>0</v>
      </c>
      <c r="G13">
        <v>80</v>
      </c>
      <c r="H13">
        <v>60</v>
      </c>
      <c r="I13">
        <v>0</v>
      </c>
      <c r="J13">
        <v>12</v>
      </c>
      <c r="K13">
        <v>35</v>
      </c>
      <c r="L13">
        <v>12</v>
      </c>
      <c r="M13">
        <v>0</v>
      </c>
      <c r="N13">
        <v>0</v>
      </c>
      <c r="O13">
        <f>F13/10+G13/5+H13/5+I13+J13+K13+L13+M13+N13+PowerRuling!$G$19*7+2*8+PowerRuling!C47</f>
        <v>90</v>
      </c>
    </row>
    <row r="14" spans="2:15" ht="75" customHeight="1" x14ac:dyDescent="0.25">
      <c r="B14">
        <v>1097</v>
      </c>
      <c r="C14" t="s">
        <v>294</v>
      </c>
      <c r="D14" s="1" t="s">
        <v>332</v>
      </c>
      <c r="E14" t="s">
        <v>299</v>
      </c>
      <c r="F14">
        <v>0</v>
      </c>
      <c r="G14">
        <v>180</v>
      </c>
      <c r="H14">
        <v>0</v>
      </c>
      <c r="I14">
        <v>0</v>
      </c>
      <c r="J14">
        <v>3</v>
      </c>
      <c r="K14">
        <v>68</v>
      </c>
      <c r="L14">
        <v>3</v>
      </c>
      <c r="M14">
        <v>0</v>
      </c>
      <c r="N14">
        <v>0</v>
      </c>
      <c r="O14">
        <f>F14/10+G14/5+H14/5+I14+J14+K14+L14+M14+N14+PowerRuling!$G$19*8+2+3.5*5+5</f>
        <v>110.5</v>
      </c>
    </row>
    <row r="15" spans="2:15" ht="76.5" customHeight="1" x14ac:dyDescent="0.25">
      <c r="B15">
        <v>1098</v>
      </c>
      <c r="C15" t="s">
        <v>295</v>
      </c>
      <c r="D15" s="1" t="s">
        <v>333</v>
      </c>
      <c r="E15" t="s">
        <v>299</v>
      </c>
      <c r="F15">
        <v>0</v>
      </c>
      <c r="G15">
        <v>120</v>
      </c>
      <c r="H15">
        <v>0</v>
      </c>
      <c r="I15">
        <v>0</v>
      </c>
      <c r="J15">
        <v>17</v>
      </c>
      <c r="K15">
        <v>52</v>
      </c>
      <c r="L15">
        <v>17</v>
      </c>
      <c r="M15">
        <v>0</v>
      </c>
      <c r="N15">
        <v>0</v>
      </c>
      <c r="O15">
        <f>F15/10+G15/5+H15/5+I15+J15+K15+L15+M15+N15+PowerRuling!$G$19*8+2+3.5*5+5</f>
        <v>110.5</v>
      </c>
    </row>
    <row r="16" spans="2:15" ht="86.25" customHeight="1" x14ac:dyDescent="0.25">
      <c r="B16">
        <v>1099</v>
      </c>
      <c r="C16" t="s">
        <v>296</v>
      </c>
      <c r="D16" s="1" t="s">
        <v>334</v>
      </c>
      <c r="E16" t="s">
        <v>299</v>
      </c>
      <c r="F16">
        <v>0</v>
      </c>
      <c r="G16">
        <v>240</v>
      </c>
      <c r="H16">
        <v>0</v>
      </c>
      <c r="I16">
        <v>0</v>
      </c>
      <c r="J16">
        <v>3</v>
      </c>
      <c r="K16">
        <v>56</v>
      </c>
      <c r="L16">
        <v>3</v>
      </c>
      <c r="M16">
        <v>0</v>
      </c>
      <c r="N16">
        <v>0</v>
      </c>
      <c r="O16">
        <f>F16/10+G16/5+H16/5+I16+J16+K16+L16+M16+N16+PowerRuling!$G$19*8+2+3.5*5+5</f>
        <v>110.5</v>
      </c>
    </row>
    <row r="17" spans="2:15" ht="78.75" customHeight="1" x14ac:dyDescent="0.25">
      <c r="B17">
        <v>1100</v>
      </c>
      <c r="C17" t="s">
        <v>297</v>
      </c>
      <c r="D17" s="1" t="s">
        <v>335</v>
      </c>
      <c r="E17" t="s">
        <v>299</v>
      </c>
      <c r="F17">
        <v>0</v>
      </c>
      <c r="G17">
        <v>140</v>
      </c>
      <c r="H17">
        <v>0</v>
      </c>
      <c r="I17">
        <v>0</v>
      </c>
      <c r="J17">
        <v>3</v>
      </c>
      <c r="K17">
        <v>76</v>
      </c>
      <c r="L17">
        <v>3</v>
      </c>
      <c r="M17">
        <v>0</v>
      </c>
      <c r="N17">
        <v>0</v>
      </c>
      <c r="O17">
        <f>F17/10+G17/5+H17/5+I17+J17+K17+L17+M17+N17+PowerRuling!$G$19*8+2+3.5*5+5</f>
        <v>110.5</v>
      </c>
    </row>
    <row r="18" spans="2:15" ht="80.25" customHeight="1" x14ac:dyDescent="0.25">
      <c r="B18">
        <v>1101</v>
      </c>
      <c r="C18" t="s">
        <v>302</v>
      </c>
      <c r="D18" s="1" t="s">
        <v>321</v>
      </c>
      <c r="E18" t="s">
        <v>307</v>
      </c>
      <c r="F18">
        <v>0</v>
      </c>
      <c r="G18">
        <v>180</v>
      </c>
      <c r="H18">
        <v>0</v>
      </c>
      <c r="I18">
        <v>0</v>
      </c>
      <c r="J18">
        <v>12</v>
      </c>
      <c r="K18">
        <v>50</v>
      </c>
      <c r="L18">
        <v>12</v>
      </c>
      <c r="M18">
        <v>0</v>
      </c>
      <c r="N18">
        <v>0</v>
      </c>
      <c r="O18">
        <f>F18/10+G18/5+H18/5+I18+J18+K18+L18+M18+N18+PowerRuling!$G$19*9+4+5*4+PowerRuling!C48+PowerRuling!G13</f>
        <v>131</v>
      </c>
    </row>
    <row r="19" spans="2:15" ht="87" customHeight="1" x14ac:dyDescent="0.25">
      <c r="B19">
        <v>1102</v>
      </c>
      <c r="C19" t="s">
        <v>303</v>
      </c>
      <c r="D19" s="1" t="s">
        <v>322</v>
      </c>
      <c r="E19" t="s">
        <v>308</v>
      </c>
      <c r="F19">
        <v>0</v>
      </c>
      <c r="G19">
        <v>120</v>
      </c>
      <c r="H19">
        <v>80</v>
      </c>
      <c r="I19">
        <v>0</v>
      </c>
      <c r="J19">
        <v>18</v>
      </c>
      <c r="K19">
        <v>50</v>
      </c>
      <c r="L19">
        <v>18</v>
      </c>
      <c r="M19">
        <v>0</v>
      </c>
      <c r="N19">
        <v>0</v>
      </c>
      <c r="O19">
        <f>F19/10+G19/5+H19/5+I19+J19+K19+L19+M19+N19+PowerRuling!$G$19*9+3*8+PowerRuling!C47</f>
        <v>131</v>
      </c>
    </row>
    <row r="20" spans="2:15" ht="81" customHeight="1" x14ac:dyDescent="0.25">
      <c r="B20">
        <v>1103</v>
      </c>
      <c r="C20" t="s">
        <v>305</v>
      </c>
      <c r="D20" s="1" t="s">
        <v>323</v>
      </c>
      <c r="E20" t="s">
        <v>309</v>
      </c>
      <c r="F20">
        <v>0</v>
      </c>
      <c r="G20">
        <v>120</v>
      </c>
      <c r="H20">
        <v>120</v>
      </c>
      <c r="I20">
        <v>0</v>
      </c>
      <c r="J20">
        <v>18</v>
      </c>
      <c r="K20">
        <v>54</v>
      </c>
      <c r="L20">
        <v>18</v>
      </c>
      <c r="M20">
        <v>0</v>
      </c>
      <c r="N20">
        <v>0</v>
      </c>
      <c r="O20">
        <f>F20/10+G20/5+H20/5+I20+J20+K20+L20+M20+N20+PowerRuling!$G$19*10+3*8+PowerRuling!C47+PowerRuling!C49</f>
        <v>150</v>
      </c>
    </row>
    <row r="21" spans="2:15" ht="79.5" customHeight="1" x14ac:dyDescent="0.25">
      <c r="B21">
        <v>1104</v>
      </c>
      <c r="C21" t="s">
        <v>301</v>
      </c>
      <c r="D21" s="1" t="s">
        <v>324</v>
      </c>
      <c r="E21" t="s">
        <v>310</v>
      </c>
      <c r="F21">
        <v>0</v>
      </c>
      <c r="G21">
        <v>180</v>
      </c>
      <c r="H21">
        <v>0</v>
      </c>
      <c r="I21">
        <v>0</v>
      </c>
      <c r="J21">
        <v>12</v>
      </c>
      <c r="K21">
        <v>56</v>
      </c>
      <c r="L21">
        <v>12</v>
      </c>
      <c r="M21">
        <v>0</v>
      </c>
      <c r="N21">
        <v>0</v>
      </c>
      <c r="O21">
        <f>F21/10+G21/5+H21/5+I21+J21+K21+L21+M21+N21+PowerRuling!$G$19*10+5+5*4+PowerRuling!C48+PowerRuling!G13+PowerRuling!C50</f>
        <v>150</v>
      </c>
    </row>
    <row r="22" spans="2:15" ht="86.25" customHeight="1" x14ac:dyDescent="0.25">
      <c r="B22">
        <v>1105</v>
      </c>
      <c r="C22" t="s">
        <v>306</v>
      </c>
      <c r="D22" s="1" t="s">
        <v>325</v>
      </c>
      <c r="E22" t="s">
        <v>311</v>
      </c>
      <c r="F22">
        <v>0</v>
      </c>
      <c r="G22">
        <v>180</v>
      </c>
      <c r="H22">
        <v>0</v>
      </c>
      <c r="I22">
        <v>0</v>
      </c>
      <c r="J22">
        <v>12</v>
      </c>
      <c r="K22">
        <v>62</v>
      </c>
      <c r="L22">
        <v>12</v>
      </c>
      <c r="M22">
        <v>0</v>
      </c>
      <c r="N22">
        <v>0</v>
      </c>
      <c r="O22">
        <f>F22/10+G22/5+H22/5+I22+J22+K22+L22+M22+N22+PowerRuling!$G$19*11+5+5*5+PowerRuling!C48+PowerRuling!C50+PowerRuling!G13+PowerRuling!G14</f>
        <v>170</v>
      </c>
    </row>
    <row r="23" spans="2:15" ht="104.25" customHeight="1" x14ac:dyDescent="0.25">
      <c r="B23">
        <v>1106</v>
      </c>
      <c r="C23" t="s">
        <v>304</v>
      </c>
      <c r="D23" s="1" t="s">
        <v>326</v>
      </c>
      <c r="E23" t="s">
        <v>312</v>
      </c>
      <c r="F23">
        <v>0</v>
      </c>
      <c r="G23">
        <v>200</v>
      </c>
      <c r="H23">
        <v>160</v>
      </c>
      <c r="I23">
        <v>0</v>
      </c>
      <c r="J23">
        <v>20</v>
      </c>
      <c r="K23">
        <v>64</v>
      </c>
      <c r="L23">
        <v>20</v>
      </c>
      <c r="M23">
        <v>0</v>
      </c>
      <c r="N23">
        <v>0</v>
      </c>
      <c r="O23">
        <f>F23/10+G23/5+H23/5+I23+J23+K23+L23+M23+N23+PowerRuling!$G$19*12+3*8+PowerRuling!C49+PowerRuling!C47+20</f>
        <v>202</v>
      </c>
    </row>
    <row r="24" spans="2:15" ht="90.75" customHeight="1" x14ac:dyDescent="0.25">
      <c r="B24">
        <v>1107</v>
      </c>
      <c r="C24" t="s">
        <v>298</v>
      </c>
      <c r="D24" s="1" t="s">
        <v>327</v>
      </c>
      <c r="E24" t="s">
        <v>300</v>
      </c>
      <c r="F24">
        <v>0</v>
      </c>
      <c r="G24">
        <v>400</v>
      </c>
      <c r="H24">
        <v>0</v>
      </c>
      <c r="I24">
        <v>0</v>
      </c>
      <c r="J24">
        <v>13</v>
      </c>
      <c r="K24">
        <v>90</v>
      </c>
      <c r="L24">
        <v>13</v>
      </c>
      <c r="M24">
        <v>0</v>
      </c>
      <c r="N24">
        <v>0</v>
      </c>
      <c r="O24">
        <f>F24/10+G24/5+H24/5+I24+J24+K24+L24+M24+N24+PowerRuling!$G$19*12+5+5*5+10</f>
        <v>200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D27EC-A5E9-4AC1-8ACA-52AFB6B78A4C}">
  <dimension ref="B1:O16"/>
  <sheetViews>
    <sheetView topLeftCell="E11" workbookViewId="0">
      <selection activeCell="K9" sqref="K9"/>
    </sheetView>
  </sheetViews>
  <sheetFormatPr baseColWidth="10" defaultRowHeight="15" x14ac:dyDescent="0.25"/>
  <cols>
    <col min="3" max="3" width="15.140625" bestFit="1" customWidth="1"/>
    <col min="4" max="4" width="43" customWidth="1"/>
    <col min="5" max="5" width="48.5703125" bestFit="1" customWidth="1"/>
    <col min="12" max="12" width="13.7109375" bestFit="1" customWidth="1"/>
  </cols>
  <sheetData>
    <row r="1" spans="2:15" x14ac:dyDescent="0.25">
      <c r="F1" t="s">
        <v>667</v>
      </c>
      <c r="G1" t="s">
        <v>668</v>
      </c>
      <c r="H1" t="s">
        <v>669</v>
      </c>
      <c r="I1" t="s">
        <v>670</v>
      </c>
      <c r="J1" t="s">
        <v>671</v>
      </c>
      <c r="K1" t="s">
        <v>672</v>
      </c>
      <c r="L1" t="s">
        <v>673</v>
      </c>
      <c r="M1" t="s">
        <v>674</v>
      </c>
      <c r="N1" t="s">
        <v>675</v>
      </c>
      <c r="O1" t="s">
        <v>678</v>
      </c>
    </row>
    <row r="2" spans="2:15" ht="23.25" customHeight="1" x14ac:dyDescent="0.25">
      <c r="B2">
        <v>1108</v>
      </c>
      <c r="C2" t="s">
        <v>338</v>
      </c>
      <c r="D2" s="1" t="s">
        <v>364</v>
      </c>
      <c r="E2" t="s">
        <v>30</v>
      </c>
      <c r="F2">
        <v>0</v>
      </c>
      <c r="G2">
        <v>0</v>
      </c>
      <c r="H2">
        <v>0</v>
      </c>
      <c r="I2">
        <v>0</v>
      </c>
      <c r="J2">
        <v>4</v>
      </c>
      <c r="K2">
        <v>13</v>
      </c>
      <c r="L2">
        <v>4</v>
      </c>
      <c r="M2">
        <v>0</v>
      </c>
      <c r="N2">
        <v>0</v>
      </c>
      <c r="O2">
        <f>F2/10+G2/5+H2/5+I2+J2+K2+L2+M2+N2+PowerRuling!$G$19*2</f>
        <v>15</v>
      </c>
    </row>
    <row r="3" spans="2:15" ht="35.25" customHeight="1" x14ac:dyDescent="0.25">
      <c r="B3">
        <v>1109</v>
      </c>
      <c r="C3" t="s">
        <v>344</v>
      </c>
      <c r="D3" s="1" t="s">
        <v>367</v>
      </c>
      <c r="E3" t="s">
        <v>30</v>
      </c>
      <c r="F3">
        <v>0</v>
      </c>
      <c r="G3">
        <v>20</v>
      </c>
      <c r="H3">
        <v>0</v>
      </c>
      <c r="I3">
        <v>0</v>
      </c>
      <c r="J3">
        <v>2</v>
      </c>
      <c r="K3">
        <v>13</v>
      </c>
      <c r="L3">
        <v>2</v>
      </c>
      <c r="M3">
        <v>0</v>
      </c>
      <c r="N3">
        <v>0</v>
      </c>
      <c r="O3">
        <f>F3/10+G3/5+H3/5+I3+J3+K3+L3+M3+N3+PowerRuling!$G$19*2</f>
        <v>15</v>
      </c>
    </row>
    <row r="4" spans="2:15" ht="31.5" customHeight="1" x14ac:dyDescent="0.25">
      <c r="B4">
        <v>1110</v>
      </c>
      <c r="C4" t="s">
        <v>345</v>
      </c>
      <c r="D4" s="1" t="s">
        <v>365</v>
      </c>
      <c r="E4" t="s">
        <v>251</v>
      </c>
      <c r="F4">
        <v>0</v>
      </c>
      <c r="G4">
        <v>35</v>
      </c>
      <c r="H4">
        <v>0</v>
      </c>
      <c r="I4">
        <v>0</v>
      </c>
      <c r="J4">
        <v>4</v>
      </c>
      <c r="K4">
        <v>19</v>
      </c>
      <c r="L4">
        <v>4</v>
      </c>
      <c r="M4">
        <v>0</v>
      </c>
      <c r="N4">
        <v>0</v>
      </c>
      <c r="O4">
        <f>F4/10+G4/5+H4/5+I4+J4+K4+L4+M4+N4+PowerRuling!$G$19*3</f>
        <v>25</v>
      </c>
    </row>
    <row r="5" spans="2:15" ht="65.25" customHeight="1" x14ac:dyDescent="0.25">
      <c r="B5">
        <v>1111</v>
      </c>
      <c r="C5" t="s">
        <v>351</v>
      </c>
      <c r="D5" s="1" t="s">
        <v>366</v>
      </c>
      <c r="E5" t="s">
        <v>353</v>
      </c>
      <c r="F5">
        <v>0</v>
      </c>
      <c r="G5">
        <v>35</v>
      </c>
      <c r="H5">
        <v>0</v>
      </c>
      <c r="I5">
        <v>0</v>
      </c>
      <c r="J5">
        <v>2</v>
      </c>
      <c r="K5">
        <v>18</v>
      </c>
      <c r="L5">
        <v>2</v>
      </c>
      <c r="M5">
        <v>0</v>
      </c>
      <c r="N5">
        <v>0</v>
      </c>
      <c r="O5">
        <f>F5/10+G5/5+H5/5+I5+J5+K5+L5+M5+N5+PowerRuling!$G$19*4+1*8+PowerRuling!G13</f>
        <v>35</v>
      </c>
    </row>
    <row r="6" spans="2:15" ht="60.75" customHeight="1" x14ac:dyDescent="0.25">
      <c r="B6">
        <v>1112</v>
      </c>
      <c r="C6" t="s">
        <v>352</v>
      </c>
      <c r="D6" s="1" t="s">
        <v>368</v>
      </c>
      <c r="E6" t="s">
        <v>354</v>
      </c>
      <c r="F6">
        <v>0</v>
      </c>
      <c r="G6">
        <v>35</v>
      </c>
      <c r="H6">
        <v>0</v>
      </c>
      <c r="I6">
        <v>0</v>
      </c>
      <c r="J6">
        <v>6</v>
      </c>
      <c r="K6">
        <v>23</v>
      </c>
      <c r="L6">
        <v>6</v>
      </c>
      <c r="M6">
        <v>0</v>
      </c>
      <c r="N6">
        <v>0</v>
      </c>
      <c r="O6">
        <f>F6/10+G6/5+H6/5+I6+J6+K6+L6+M6+N6+PowerRuling!$G$19*4+PowerRuling!L8</f>
        <v>35</v>
      </c>
    </row>
    <row r="7" spans="2:15" ht="60.75" customHeight="1" x14ac:dyDescent="0.25">
      <c r="B7">
        <v>1113</v>
      </c>
      <c r="C7" t="s">
        <v>339</v>
      </c>
      <c r="D7" s="1" t="s">
        <v>369</v>
      </c>
      <c r="E7" t="s">
        <v>355</v>
      </c>
      <c r="F7">
        <v>0</v>
      </c>
      <c r="G7">
        <v>0</v>
      </c>
      <c r="H7">
        <v>0</v>
      </c>
      <c r="I7">
        <v>0</v>
      </c>
      <c r="J7">
        <v>9</v>
      </c>
      <c r="K7">
        <v>23</v>
      </c>
      <c r="L7">
        <v>9</v>
      </c>
      <c r="M7">
        <v>0</v>
      </c>
      <c r="N7">
        <v>0</v>
      </c>
      <c r="O7">
        <f>F7/10+G7/5+H7/5+I7+J7+K7+L7+M7+N7+PowerRuling!$G$19*5+3*8</f>
        <v>50</v>
      </c>
    </row>
    <row r="8" spans="2:15" ht="36.75" customHeight="1" x14ac:dyDescent="0.25">
      <c r="B8">
        <v>1114</v>
      </c>
      <c r="C8" t="s">
        <v>343</v>
      </c>
      <c r="D8" s="1" t="s">
        <v>370</v>
      </c>
      <c r="E8" t="s">
        <v>48</v>
      </c>
      <c r="F8">
        <v>0</v>
      </c>
      <c r="G8">
        <v>45</v>
      </c>
      <c r="H8">
        <v>0</v>
      </c>
      <c r="I8">
        <v>0</v>
      </c>
      <c r="J8">
        <v>3</v>
      </c>
      <c r="K8">
        <v>37</v>
      </c>
      <c r="L8">
        <v>3</v>
      </c>
      <c r="M8">
        <v>0</v>
      </c>
      <c r="N8">
        <v>0</v>
      </c>
      <c r="O8">
        <f>F8/10+G8/5+H8/5+I8+J8+K8+L8+M8+N8+PowerRuling!$G$19*5+5+PowerRuling!C51</f>
        <v>50</v>
      </c>
    </row>
    <row r="9" spans="2:15" ht="40.5" customHeight="1" x14ac:dyDescent="0.25">
      <c r="B9">
        <v>1115</v>
      </c>
      <c r="C9" t="s">
        <v>350</v>
      </c>
      <c r="D9" s="1" t="s">
        <v>371</v>
      </c>
      <c r="E9" t="s">
        <v>356</v>
      </c>
      <c r="F9">
        <v>0</v>
      </c>
      <c r="G9">
        <v>45</v>
      </c>
      <c r="H9">
        <v>0</v>
      </c>
      <c r="I9">
        <v>0</v>
      </c>
      <c r="J9">
        <v>6</v>
      </c>
      <c r="K9">
        <v>40</v>
      </c>
      <c r="L9">
        <v>6</v>
      </c>
      <c r="M9">
        <v>0</v>
      </c>
      <c r="N9">
        <v>0</v>
      </c>
      <c r="O9">
        <f>F9/10+G9/5+H9/5+I9+J9+K9+L9+M9+N9+PowerRuling!$G$19*6+7.5+PowerRuling!C51+PowerRuling!C52</f>
        <v>70.5</v>
      </c>
    </row>
    <row r="10" spans="2:15" ht="51.75" customHeight="1" x14ac:dyDescent="0.25">
      <c r="B10">
        <v>1116</v>
      </c>
      <c r="C10" t="s">
        <v>340</v>
      </c>
      <c r="D10" s="1" t="s">
        <v>372</v>
      </c>
      <c r="E10" t="s">
        <v>357</v>
      </c>
      <c r="F10">
        <v>0</v>
      </c>
      <c r="G10">
        <v>0</v>
      </c>
      <c r="H10">
        <v>0</v>
      </c>
      <c r="I10">
        <v>0</v>
      </c>
      <c r="J10">
        <v>11</v>
      </c>
      <c r="K10">
        <v>34</v>
      </c>
      <c r="L10">
        <v>11</v>
      </c>
      <c r="M10">
        <v>0</v>
      </c>
      <c r="N10">
        <v>0</v>
      </c>
      <c r="O10">
        <f>F10/10+G10/5+H10/5+I10+J10+K10+L10+M10+N10+PowerRuling!$G$19*6+3*8+8</f>
        <v>70</v>
      </c>
    </row>
    <row r="11" spans="2:15" ht="52.5" customHeight="1" x14ac:dyDescent="0.25">
      <c r="B11">
        <v>1117</v>
      </c>
      <c r="C11" t="s">
        <v>346</v>
      </c>
      <c r="D11" s="1" t="s">
        <v>373</v>
      </c>
      <c r="E11" t="s">
        <v>358</v>
      </c>
      <c r="F11">
        <v>0</v>
      </c>
      <c r="G11">
        <v>35</v>
      </c>
      <c r="H11">
        <v>0</v>
      </c>
      <c r="I11">
        <v>0</v>
      </c>
      <c r="J11">
        <v>9</v>
      </c>
      <c r="K11">
        <v>30</v>
      </c>
      <c r="L11">
        <v>9</v>
      </c>
      <c r="M11">
        <v>0</v>
      </c>
      <c r="N11">
        <v>0</v>
      </c>
      <c r="O11">
        <f>F11/10+G11/5+H11/5+I11+J11+K11+L11+M11+N11+PowerRuling!$G$19*7+3*8+PowerRuling!G13+PowerRuling!C21</f>
        <v>90</v>
      </c>
    </row>
    <row r="12" spans="2:15" ht="84" customHeight="1" x14ac:dyDescent="0.25">
      <c r="B12">
        <v>1118</v>
      </c>
      <c r="C12" t="s">
        <v>349</v>
      </c>
      <c r="D12" s="1" t="s">
        <v>374</v>
      </c>
      <c r="E12" t="s">
        <v>359</v>
      </c>
      <c r="F12">
        <v>0</v>
      </c>
      <c r="G12">
        <v>75</v>
      </c>
      <c r="H12">
        <v>0</v>
      </c>
      <c r="I12">
        <v>0</v>
      </c>
      <c r="J12">
        <v>11</v>
      </c>
      <c r="K12">
        <v>48</v>
      </c>
      <c r="L12">
        <v>11</v>
      </c>
      <c r="M12">
        <v>0</v>
      </c>
      <c r="N12">
        <v>0</v>
      </c>
      <c r="O12">
        <f>F12/10+G12/5+H12/5+I12+J12+K12+L12+M12+N12+PowerRuling!$G$19*7+1*8+PowerRuling!G13+4*2</f>
        <v>90</v>
      </c>
    </row>
    <row r="13" spans="2:15" ht="78.75" customHeight="1" x14ac:dyDescent="0.25">
      <c r="B13">
        <v>1119</v>
      </c>
      <c r="C13" t="s">
        <v>341</v>
      </c>
      <c r="D13" s="1" t="s">
        <v>375</v>
      </c>
      <c r="E13" t="s">
        <v>360</v>
      </c>
      <c r="F13">
        <v>0</v>
      </c>
      <c r="G13">
        <v>0</v>
      </c>
      <c r="H13">
        <v>0</v>
      </c>
      <c r="I13">
        <v>0</v>
      </c>
      <c r="J13">
        <v>24</v>
      </c>
      <c r="K13">
        <v>70</v>
      </c>
      <c r="L13">
        <v>24</v>
      </c>
      <c r="M13">
        <v>0</v>
      </c>
      <c r="N13">
        <v>0</v>
      </c>
      <c r="O13">
        <f>F13/10+G13/5+H13/5+I13+J13+K13+L13+M13+N13+PowerRuling!$G$19*9+3*8+8+PowerRuling!C53</f>
        <v>130</v>
      </c>
    </row>
    <row r="14" spans="2:15" ht="88.5" customHeight="1" x14ac:dyDescent="0.25">
      <c r="B14">
        <v>1120</v>
      </c>
      <c r="C14" t="s">
        <v>348</v>
      </c>
      <c r="D14" s="1" t="s">
        <v>376</v>
      </c>
      <c r="E14" t="s">
        <v>361</v>
      </c>
      <c r="F14">
        <v>0</v>
      </c>
      <c r="G14">
        <v>65</v>
      </c>
      <c r="H14">
        <v>0</v>
      </c>
      <c r="I14">
        <v>0</v>
      </c>
      <c r="J14">
        <v>18</v>
      </c>
      <c r="K14">
        <v>70</v>
      </c>
      <c r="L14">
        <v>18</v>
      </c>
      <c r="M14">
        <v>0</v>
      </c>
      <c r="N14">
        <v>0</v>
      </c>
      <c r="O14">
        <f>F14/10+G14/5+H14/5+I14+J14+K14+L14+M14+N14+PowerRuling!$G$19*10+3*8+PowerRuling!G13+PowerRuling!C21+PowerRuling!L8</f>
        <v>150</v>
      </c>
    </row>
    <row r="15" spans="2:15" ht="78.75" customHeight="1" x14ac:dyDescent="0.25">
      <c r="B15">
        <v>1121</v>
      </c>
      <c r="C15" t="s">
        <v>347</v>
      </c>
      <c r="D15" s="1" t="s">
        <v>377</v>
      </c>
      <c r="E15" t="s">
        <v>362</v>
      </c>
      <c r="F15">
        <v>0</v>
      </c>
      <c r="G15">
        <v>75</v>
      </c>
      <c r="H15">
        <v>0</v>
      </c>
      <c r="I15">
        <v>0</v>
      </c>
      <c r="J15">
        <v>26</v>
      </c>
      <c r="K15">
        <v>104</v>
      </c>
      <c r="L15">
        <v>26</v>
      </c>
      <c r="M15">
        <v>0</v>
      </c>
      <c r="N15">
        <v>0</v>
      </c>
      <c r="O15">
        <f>F15/10+G15/5+H15/5+I15+J15+K15+L15+M15+N15+PowerRuling!$G$19*11+1*8+PowerRuling!G13+4*2+6</f>
        <v>170</v>
      </c>
    </row>
    <row r="16" spans="2:15" ht="78" customHeight="1" x14ac:dyDescent="0.25">
      <c r="B16">
        <v>1122</v>
      </c>
      <c r="C16" t="s">
        <v>342</v>
      </c>
      <c r="D16" s="1" t="s">
        <v>378</v>
      </c>
      <c r="E16" t="s">
        <v>363</v>
      </c>
      <c r="F16">
        <v>0</v>
      </c>
      <c r="G16">
        <v>0</v>
      </c>
      <c r="H16">
        <v>0</v>
      </c>
      <c r="I16">
        <v>0</v>
      </c>
      <c r="J16">
        <v>32</v>
      </c>
      <c r="K16">
        <v>110</v>
      </c>
      <c r="L16">
        <v>32</v>
      </c>
      <c r="M16">
        <v>0</v>
      </c>
      <c r="N16">
        <v>0</v>
      </c>
      <c r="O16">
        <f>F16/10+G16/5+H16/5+I16+J16+K16+L16+M16+N16+PowerRuling!$G$19*12+4*8+8+PowerRuling!C53+PowerRuling!C54</f>
        <v>200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D62A5-C004-44A9-885B-19FEC1A55407}">
  <dimension ref="B1:O13"/>
  <sheetViews>
    <sheetView topLeftCell="E9" workbookViewId="0">
      <selection activeCell="G19" sqref="G19"/>
    </sheetView>
  </sheetViews>
  <sheetFormatPr baseColWidth="10" defaultRowHeight="15" x14ac:dyDescent="0.25"/>
  <cols>
    <col min="3" max="3" width="19.42578125" bestFit="1" customWidth="1"/>
    <col min="4" max="4" width="27.85546875" customWidth="1"/>
    <col min="5" max="5" width="59" bestFit="1" customWidth="1"/>
    <col min="12" max="12" width="13.7109375" bestFit="1" customWidth="1"/>
  </cols>
  <sheetData>
    <row r="1" spans="2:15" x14ac:dyDescent="0.25">
      <c r="F1" t="s">
        <v>667</v>
      </c>
      <c r="G1" t="s">
        <v>668</v>
      </c>
      <c r="H1" t="s">
        <v>669</v>
      </c>
      <c r="I1" t="s">
        <v>670</v>
      </c>
      <c r="J1" t="s">
        <v>671</v>
      </c>
      <c r="K1" t="s">
        <v>672</v>
      </c>
      <c r="L1" t="s">
        <v>673</v>
      </c>
      <c r="M1" t="s">
        <v>674</v>
      </c>
      <c r="N1" t="s">
        <v>675</v>
      </c>
      <c r="O1" t="s">
        <v>678</v>
      </c>
    </row>
    <row r="2" spans="2:15" ht="44.25" customHeight="1" x14ac:dyDescent="0.25">
      <c r="B2">
        <v>1123</v>
      </c>
      <c r="C2" t="s">
        <v>387</v>
      </c>
      <c r="D2" s="1" t="s">
        <v>397</v>
      </c>
      <c r="E2" t="s">
        <v>48</v>
      </c>
      <c r="F2">
        <v>0</v>
      </c>
      <c r="G2">
        <v>0</v>
      </c>
      <c r="H2">
        <v>0</v>
      </c>
      <c r="I2">
        <v>0</v>
      </c>
      <c r="J2">
        <v>0</v>
      </c>
      <c r="K2">
        <v>44</v>
      </c>
      <c r="L2">
        <v>0</v>
      </c>
      <c r="M2">
        <v>0</v>
      </c>
      <c r="N2">
        <v>0</v>
      </c>
      <c r="O2">
        <f>F2/10+G2/5+H2/5+I2+J2+L2+K2+M2+N2+PowerRuling!C55</f>
        <v>50</v>
      </c>
    </row>
    <row r="3" spans="2:15" ht="65.25" customHeight="1" x14ac:dyDescent="0.25">
      <c r="B3">
        <v>1124</v>
      </c>
      <c r="C3" t="s">
        <v>388</v>
      </c>
      <c r="D3" s="1" t="s">
        <v>398</v>
      </c>
      <c r="E3" t="s">
        <v>61</v>
      </c>
      <c r="F3">
        <v>0</v>
      </c>
      <c r="G3">
        <v>0</v>
      </c>
      <c r="H3">
        <v>0</v>
      </c>
      <c r="I3">
        <v>0</v>
      </c>
      <c r="J3">
        <v>0</v>
      </c>
      <c r="K3">
        <v>64</v>
      </c>
      <c r="L3">
        <v>0</v>
      </c>
      <c r="M3">
        <v>0</v>
      </c>
      <c r="N3">
        <v>0</v>
      </c>
      <c r="O3">
        <f>F3/10+G3/5+H3/5+I3+J3+L3+K3+M3+N3+PowerRuling!C56</f>
        <v>70</v>
      </c>
    </row>
    <row r="4" spans="2:15" ht="69" customHeight="1" x14ac:dyDescent="0.25">
      <c r="B4">
        <v>1125</v>
      </c>
      <c r="C4" t="s">
        <v>389</v>
      </c>
      <c r="D4" s="1" t="s">
        <v>399</v>
      </c>
      <c r="E4" t="s">
        <v>61</v>
      </c>
      <c r="F4">
        <v>0</v>
      </c>
      <c r="G4">
        <v>0</v>
      </c>
      <c r="H4">
        <v>0</v>
      </c>
      <c r="I4">
        <v>0</v>
      </c>
      <c r="J4">
        <v>0</v>
      </c>
      <c r="K4">
        <v>59</v>
      </c>
      <c r="L4">
        <v>0</v>
      </c>
      <c r="M4">
        <v>0</v>
      </c>
      <c r="N4">
        <v>0</v>
      </c>
      <c r="O4">
        <f>F4/10+G4/5+H4/5+I4+J4+L4+K4+M4+N4+PowerRuling!C57</f>
        <v>70</v>
      </c>
    </row>
    <row r="5" spans="2:15" ht="69.75" customHeight="1" x14ac:dyDescent="0.25">
      <c r="B5">
        <v>1126</v>
      </c>
      <c r="C5" t="s">
        <v>390</v>
      </c>
      <c r="D5" s="1" t="s">
        <v>400</v>
      </c>
      <c r="E5" t="s">
        <v>159</v>
      </c>
      <c r="F5">
        <v>0</v>
      </c>
      <c r="G5">
        <v>0</v>
      </c>
      <c r="H5">
        <v>0</v>
      </c>
      <c r="I5">
        <v>0</v>
      </c>
      <c r="J5">
        <v>0</v>
      </c>
      <c r="K5">
        <v>78</v>
      </c>
      <c r="L5">
        <v>0</v>
      </c>
      <c r="M5">
        <v>0</v>
      </c>
      <c r="N5">
        <v>0</v>
      </c>
      <c r="O5">
        <f>F5/10+G5/5+H5/5+I5+J5+L5+K5+M5+N5+PowerRuling!C58</f>
        <v>90</v>
      </c>
    </row>
    <row r="6" spans="2:15" ht="80.25" customHeight="1" x14ac:dyDescent="0.25">
      <c r="B6">
        <v>1127</v>
      </c>
      <c r="C6" t="s">
        <v>391</v>
      </c>
      <c r="D6" s="1" t="s">
        <v>401</v>
      </c>
      <c r="E6" t="s">
        <v>159</v>
      </c>
      <c r="F6">
        <v>0</v>
      </c>
      <c r="G6">
        <v>0</v>
      </c>
      <c r="H6">
        <v>0</v>
      </c>
      <c r="I6">
        <v>0</v>
      </c>
      <c r="J6">
        <v>0</v>
      </c>
      <c r="K6">
        <v>75</v>
      </c>
      <c r="L6">
        <v>0</v>
      </c>
      <c r="M6">
        <v>0</v>
      </c>
      <c r="N6">
        <v>0</v>
      </c>
      <c r="O6">
        <f>F6/10+G6/5+H6/5+I6+J6+L6+K6+M6+N6+PowerRuling!C59</f>
        <v>90</v>
      </c>
    </row>
    <row r="7" spans="2:15" ht="68.25" customHeight="1" x14ac:dyDescent="0.25">
      <c r="B7">
        <v>1128</v>
      </c>
      <c r="C7" t="s">
        <v>382</v>
      </c>
      <c r="D7" s="1" t="s">
        <v>402</v>
      </c>
      <c r="E7" t="s">
        <v>78</v>
      </c>
      <c r="F7">
        <v>0</v>
      </c>
      <c r="G7">
        <v>0</v>
      </c>
      <c r="H7">
        <v>0</v>
      </c>
      <c r="I7">
        <v>0</v>
      </c>
      <c r="J7">
        <v>0</v>
      </c>
      <c r="K7">
        <v>92</v>
      </c>
      <c r="L7">
        <v>0</v>
      </c>
      <c r="M7">
        <v>0</v>
      </c>
      <c r="N7">
        <v>0</v>
      </c>
      <c r="O7">
        <f>F7/10+G7/5+H7/5+I7+J7+L7+K7+M7+N7+PowerRuling!C60</f>
        <v>110</v>
      </c>
    </row>
    <row r="8" spans="2:15" ht="97.5" customHeight="1" x14ac:dyDescent="0.25">
      <c r="B8">
        <v>1129</v>
      </c>
      <c r="C8" t="s">
        <v>386</v>
      </c>
      <c r="D8" s="1" t="s">
        <v>403</v>
      </c>
      <c r="E8" t="s">
        <v>392</v>
      </c>
      <c r="F8">
        <v>0</v>
      </c>
      <c r="G8">
        <v>0</v>
      </c>
      <c r="H8">
        <v>0</v>
      </c>
      <c r="I8">
        <v>0</v>
      </c>
      <c r="J8">
        <v>0</v>
      </c>
      <c r="K8">
        <v>109</v>
      </c>
      <c r="L8">
        <v>0</v>
      </c>
      <c r="M8">
        <v>0</v>
      </c>
      <c r="N8">
        <v>0</v>
      </c>
      <c r="O8">
        <f>F8/10+G8/5+H8/5+I8+J8+L8+K8+M8+N8+PowerRuling!C56+PowerRuling!C59</f>
        <v>130</v>
      </c>
    </row>
    <row r="9" spans="2:15" ht="72.75" customHeight="1" x14ac:dyDescent="0.25">
      <c r="B9">
        <v>1130</v>
      </c>
      <c r="C9" t="s">
        <v>383</v>
      </c>
      <c r="D9" s="1" t="s">
        <v>404</v>
      </c>
      <c r="E9" t="s">
        <v>393</v>
      </c>
      <c r="F9">
        <v>0</v>
      </c>
      <c r="G9">
        <v>0</v>
      </c>
      <c r="H9">
        <v>0</v>
      </c>
      <c r="I9">
        <v>0</v>
      </c>
      <c r="J9">
        <v>0</v>
      </c>
      <c r="K9">
        <v>121</v>
      </c>
      <c r="L9">
        <v>0</v>
      </c>
      <c r="M9">
        <v>0</v>
      </c>
      <c r="N9">
        <v>0</v>
      </c>
      <c r="O9">
        <f>F9/10+G9/5+H9/5+I9+J9+L9+K9+M9+N9+PowerRuling!C60+PowerRuling!C57</f>
        <v>150</v>
      </c>
    </row>
    <row r="10" spans="2:15" ht="77.25" customHeight="1" x14ac:dyDescent="0.25">
      <c r="B10">
        <v>1131</v>
      </c>
      <c r="C10" t="s">
        <v>380</v>
      </c>
      <c r="D10" s="1" t="s">
        <v>405</v>
      </c>
      <c r="E10" t="s">
        <v>394</v>
      </c>
      <c r="F10">
        <v>0</v>
      </c>
      <c r="G10">
        <v>0</v>
      </c>
      <c r="H10">
        <v>0</v>
      </c>
      <c r="I10">
        <v>0</v>
      </c>
      <c r="J10">
        <v>0</v>
      </c>
      <c r="K10">
        <v>117</v>
      </c>
      <c r="L10">
        <v>0</v>
      </c>
      <c r="M10">
        <v>0</v>
      </c>
      <c r="N10">
        <v>0</v>
      </c>
      <c r="O10">
        <f>F10/10+G10/5+H10/5+I10+J10+L10+K10+M10+N10+PowerRuling!C59+PowerRuling!C60</f>
        <v>150</v>
      </c>
    </row>
    <row r="11" spans="2:15" ht="108" customHeight="1" x14ac:dyDescent="0.25">
      <c r="B11">
        <v>1132</v>
      </c>
      <c r="C11" t="s">
        <v>381</v>
      </c>
      <c r="D11" s="1" t="s">
        <v>406</v>
      </c>
      <c r="E11" t="s">
        <v>395</v>
      </c>
      <c r="F11">
        <v>0</v>
      </c>
      <c r="G11">
        <v>0</v>
      </c>
      <c r="H11">
        <v>0</v>
      </c>
      <c r="I11">
        <v>0</v>
      </c>
      <c r="J11">
        <v>0</v>
      </c>
      <c r="K11">
        <v>135</v>
      </c>
      <c r="L11">
        <v>0</v>
      </c>
      <c r="M11">
        <v>0</v>
      </c>
      <c r="N11">
        <v>0</v>
      </c>
      <c r="O11">
        <f>F11/10+G11/5+H11/5+I11+J11+L11+K11+M11+N11+PowerRuling!C56+PowerRuling!C57+PowerRuling!C60</f>
        <v>170</v>
      </c>
    </row>
    <row r="12" spans="2:15" ht="84" customHeight="1" x14ac:dyDescent="0.25">
      <c r="B12">
        <v>1133</v>
      </c>
      <c r="C12" t="s">
        <v>385</v>
      </c>
      <c r="D12" s="1" t="s">
        <v>407</v>
      </c>
      <c r="E12" t="s">
        <v>409</v>
      </c>
      <c r="F12">
        <v>0</v>
      </c>
      <c r="G12">
        <v>0</v>
      </c>
      <c r="H12">
        <v>0</v>
      </c>
      <c r="I12">
        <v>0</v>
      </c>
      <c r="J12">
        <v>0</v>
      </c>
      <c r="K12">
        <v>137</v>
      </c>
      <c r="L12">
        <v>0</v>
      </c>
      <c r="M12">
        <v>0</v>
      </c>
      <c r="N12">
        <v>0</v>
      </c>
      <c r="O12">
        <f>F12/10+G12/5+H12/5+I12+J12+L12+K12+M12+N12+PowerRuling!C58+PowerRuling!C59+PowerRuling!C56</f>
        <v>170</v>
      </c>
    </row>
    <row r="13" spans="2:15" ht="87.75" customHeight="1" x14ac:dyDescent="0.25">
      <c r="B13">
        <v>1134</v>
      </c>
      <c r="C13" t="s">
        <v>384</v>
      </c>
      <c r="D13" s="1" t="s">
        <v>408</v>
      </c>
      <c r="E13" t="s">
        <v>396</v>
      </c>
      <c r="F13">
        <v>0</v>
      </c>
      <c r="G13">
        <v>0</v>
      </c>
      <c r="H13">
        <v>0</v>
      </c>
      <c r="I13">
        <v>0</v>
      </c>
      <c r="J13">
        <v>0</v>
      </c>
      <c r="K13">
        <v>161</v>
      </c>
      <c r="L13">
        <v>0</v>
      </c>
      <c r="M13">
        <v>0</v>
      </c>
      <c r="N13">
        <v>0</v>
      </c>
      <c r="O13">
        <f>F13/10+G13/5+H13/5+I13+J13+L13+K13+M13+N13+PowerRuling!C55+PowerRuling!C56+PowerRuling!C59+PowerRuling!C58</f>
        <v>200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15</vt:i4>
      </vt:variant>
    </vt:vector>
  </HeadingPairs>
  <TitlesOfParts>
    <vt:vector size="15" baseType="lpstr">
      <vt:lpstr>ListOfItems</vt:lpstr>
      <vt:lpstr>PowerRuling</vt:lpstr>
      <vt:lpstr>Swords</vt:lpstr>
      <vt:lpstr>Daggers</vt:lpstr>
      <vt:lpstr>Axes</vt:lpstr>
      <vt:lpstr>Claws</vt:lpstr>
      <vt:lpstr>Scepters</vt:lpstr>
      <vt:lpstr>Staves</vt:lpstr>
      <vt:lpstr>Grimoire</vt:lpstr>
      <vt:lpstr>Bow</vt:lpstr>
      <vt:lpstr>Arbalest</vt:lpstr>
      <vt:lpstr>Spears</vt:lpstr>
      <vt:lpstr>Maces</vt:lpstr>
      <vt:lpstr>Firearms</vt:lpstr>
      <vt:lpstr>Scythes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Maxime Joly</dc:creator>
  <cp:lastModifiedBy>Maxime Joly</cp:lastModifiedBy>
  <dcterms:created xsi:type="dcterms:W3CDTF">2024-08-06T06:47:20Z</dcterms:created>
  <dcterms:modified xsi:type="dcterms:W3CDTF">2024-08-28T14:35:17Z</dcterms:modified>
</cp:coreProperties>
</file>