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embeddings/oleObject1.bin" ContentType="application/vnd.openxmlformats-officedocument.oleObject"/>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SHarris\DESI\SystemEng\Throughput\"/>
    </mc:Choice>
  </mc:AlternateContent>
  <bookViews>
    <workbookView xWindow="0" yWindow="0" windowWidth="18024" windowHeight="8568" tabRatio="919"/>
  </bookViews>
  <sheets>
    <sheet name="Cover Page" sheetId="8" r:id="rId1"/>
    <sheet name="Throughput" sheetId="4" r:id="rId2"/>
    <sheet name="Noise" sheetId="28" r:id="rId3"/>
    <sheet name="ESTIMATED overall throughput" sheetId="26" r:id="rId4"/>
    <sheet name="Estimated ELG SNR" sheetId="29" r:id="rId5"/>
    <sheet name="Estimated QSO SNR" sheetId="31" r:id="rId6"/>
    <sheet name="Corrector_Coating" sheetId="20" r:id="rId7"/>
    <sheet name="Spectrograph Throughput" sheetId="32" r:id="rId8"/>
    <sheet name="DESI-347-v16_Inst_throughput_fo" sheetId="17" r:id="rId9"/>
    <sheet name="Patrol Disk" sheetId="12" r:id="rId10"/>
    <sheet name="FRD losses" sheetId="13" r:id="rId11"/>
    <sheet name="Fiber absorption" sheetId="14" r:id="rId12"/>
    <sheet name="Fiber AR Coating Results" sheetId="30" r:id="rId13"/>
    <sheet name="barrel misalignment blur" sheetId="15" r:id="rId14"/>
    <sheet name="barrel misalignment lateral" sheetId="21" r:id="rId15"/>
    <sheet name="vignetting" sheetId="16" r:id="rId16"/>
    <sheet name="geometric_blur" sheetId="10" r:id="rId17"/>
    <sheet name="Jacoby_seeing" sheetId="19" r:id="rId18"/>
    <sheet name="Fiber Tilt" sheetId="23" r:id="rId19"/>
    <sheet name="Lateral offset throughput est" sheetId="24" r:id="rId20"/>
    <sheet name="Blur throughput estimate" sheetId="25" r:id="rId21"/>
    <sheet name="Obscuration" sheetId="27" r:id="rId22"/>
  </sheets>
  <definedNames>
    <definedName name="_xlnm.Print_Area" localSheetId="1">Throughput!$A$29:$R$41</definedName>
  </definedNames>
  <calcPr calcId="162913"/>
</workbook>
</file>

<file path=xl/calcChain.xml><?xml version="1.0" encoding="utf-8"?>
<calcChain xmlns="http://schemas.openxmlformats.org/spreadsheetml/2006/main">
  <c r="C50" i="31" l="1"/>
  <c r="N18" i="28"/>
  <c r="M18" i="28"/>
  <c r="L18" i="28"/>
  <c r="K18" i="28"/>
  <c r="J18" i="28"/>
  <c r="I18" i="28"/>
  <c r="H18" i="28"/>
  <c r="G18" i="28"/>
  <c r="F18" i="28"/>
  <c r="E18" i="28"/>
  <c r="D18" i="28"/>
  <c r="C18" i="28"/>
  <c r="B18" i="28"/>
  <c r="L191" i="32"/>
  <c r="Q191" i="32"/>
  <c r="P191" i="32"/>
  <c r="O191" i="32"/>
  <c r="N191" i="32"/>
  <c r="M191" i="32"/>
  <c r="K191" i="32"/>
  <c r="J191" i="32"/>
  <c r="I191" i="32"/>
  <c r="H191" i="32"/>
  <c r="G191" i="32"/>
  <c r="F191" i="32"/>
  <c r="E191" i="32"/>
  <c r="D191" i="32"/>
  <c r="C191" i="32"/>
  <c r="B191" i="32"/>
  <c r="Q190" i="32"/>
  <c r="P190" i="32"/>
  <c r="O190" i="32"/>
  <c r="N190" i="32"/>
  <c r="M190" i="32"/>
  <c r="L190" i="32"/>
  <c r="K190" i="32"/>
  <c r="J190" i="32"/>
  <c r="I190" i="32"/>
  <c r="H190" i="32"/>
  <c r="G190" i="32"/>
  <c r="F190" i="32"/>
  <c r="E190" i="32"/>
  <c r="D190" i="32"/>
  <c r="C190" i="32"/>
  <c r="B190" i="32"/>
  <c r="Q189" i="32"/>
  <c r="P189" i="32"/>
  <c r="O189" i="32"/>
  <c r="N189" i="32"/>
  <c r="M189" i="32"/>
  <c r="L189" i="32"/>
  <c r="K189" i="32"/>
  <c r="J189" i="32"/>
  <c r="I189" i="32"/>
  <c r="H189" i="32"/>
  <c r="G189" i="32"/>
  <c r="F189" i="32"/>
  <c r="E189" i="32"/>
  <c r="D189" i="32"/>
  <c r="C189" i="32"/>
  <c r="B189" i="32"/>
  <c r="G188" i="32"/>
  <c r="AD8" i="32" s="1"/>
  <c r="Q171" i="32"/>
  <c r="P171" i="32"/>
  <c r="O171" i="32"/>
  <c r="N171" i="32"/>
  <c r="M171" i="32"/>
  <c r="L171" i="32"/>
  <c r="K171" i="32"/>
  <c r="J171" i="32"/>
  <c r="I171" i="32"/>
  <c r="H171" i="32"/>
  <c r="G171" i="32"/>
  <c r="F171" i="32"/>
  <c r="E171" i="32"/>
  <c r="D171" i="32"/>
  <c r="C171" i="32"/>
  <c r="B171" i="32"/>
  <c r="Q170" i="32"/>
  <c r="P170" i="32"/>
  <c r="O170" i="32"/>
  <c r="N170" i="32"/>
  <c r="M170" i="32"/>
  <c r="L170" i="32"/>
  <c r="K170" i="32"/>
  <c r="J170" i="32"/>
  <c r="I170" i="32"/>
  <c r="H170" i="32"/>
  <c r="G170" i="32"/>
  <c r="F170" i="32"/>
  <c r="E170" i="32"/>
  <c r="D170" i="32"/>
  <c r="C170" i="32"/>
  <c r="B170" i="32"/>
  <c r="Q169" i="32"/>
  <c r="P169" i="32"/>
  <c r="O169" i="32"/>
  <c r="N169" i="32"/>
  <c r="M169" i="32"/>
  <c r="M168" i="32" s="1"/>
  <c r="AC14" i="32" s="1"/>
  <c r="L169" i="32"/>
  <c r="K169" i="32"/>
  <c r="J169" i="32"/>
  <c r="I169" i="32"/>
  <c r="H169" i="32"/>
  <c r="G169" i="32"/>
  <c r="G168" i="32" s="1"/>
  <c r="AC8" i="32" s="1"/>
  <c r="F169" i="32"/>
  <c r="E169" i="32"/>
  <c r="D169" i="32"/>
  <c r="C169" i="32"/>
  <c r="B169" i="32"/>
  <c r="B168" i="32" s="1"/>
  <c r="AC3" i="32" s="1"/>
  <c r="J168" i="32"/>
  <c r="AC11" i="32" s="1"/>
  <c r="Q151" i="32"/>
  <c r="P151" i="32"/>
  <c r="O151" i="32"/>
  <c r="N151" i="32"/>
  <c r="M151" i="32"/>
  <c r="L151" i="32"/>
  <c r="K151" i="32"/>
  <c r="J151" i="32"/>
  <c r="I151" i="32"/>
  <c r="H151" i="32"/>
  <c r="G151" i="32"/>
  <c r="F151" i="32"/>
  <c r="E151" i="32"/>
  <c r="D151" i="32"/>
  <c r="C151" i="32"/>
  <c r="B151" i="32"/>
  <c r="Q150" i="32"/>
  <c r="Q148" i="32" s="1"/>
  <c r="AB18" i="32" s="1"/>
  <c r="P150" i="32"/>
  <c r="P148" i="32" s="1"/>
  <c r="AB17" i="32" s="1"/>
  <c r="O150" i="32"/>
  <c r="N150" i="32"/>
  <c r="M150" i="32"/>
  <c r="L150" i="32"/>
  <c r="K150" i="32"/>
  <c r="J150" i="32"/>
  <c r="I150" i="32"/>
  <c r="H150" i="32"/>
  <c r="G150" i="32"/>
  <c r="F150" i="32"/>
  <c r="E150" i="32"/>
  <c r="D150" i="32"/>
  <c r="C150" i="32"/>
  <c r="B150" i="32"/>
  <c r="Q149" i="32"/>
  <c r="P149" i="32"/>
  <c r="O149" i="32"/>
  <c r="N149" i="32"/>
  <c r="M149" i="32"/>
  <c r="L149" i="32"/>
  <c r="K149" i="32"/>
  <c r="J149" i="32"/>
  <c r="I149" i="32"/>
  <c r="H149" i="32"/>
  <c r="G149" i="32"/>
  <c r="F149" i="32"/>
  <c r="E149" i="32"/>
  <c r="D149" i="32"/>
  <c r="C149" i="32"/>
  <c r="B149" i="32"/>
  <c r="Q131" i="32"/>
  <c r="P131" i="32"/>
  <c r="O131" i="32"/>
  <c r="N131" i="32"/>
  <c r="M131" i="32"/>
  <c r="L131" i="32"/>
  <c r="K131" i="32"/>
  <c r="J131" i="32"/>
  <c r="I131" i="32"/>
  <c r="H131" i="32"/>
  <c r="G131" i="32"/>
  <c r="F131" i="32"/>
  <c r="E131" i="32"/>
  <c r="D131" i="32"/>
  <c r="C131" i="32"/>
  <c r="B131" i="32"/>
  <c r="Q130" i="32"/>
  <c r="P130" i="32"/>
  <c r="O130" i="32"/>
  <c r="N130" i="32"/>
  <c r="M130" i="32"/>
  <c r="L130" i="32"/>
  <c r="K130" i="32"/>
  <c r="J130" i="32"/>
  <c r="I130" i="32"/>
  <c r="H130" i="32"/>
  <c r="G130" i="32"/>
  <c r="F130" i="32"/>
  <c r="E130" i="32"/>
  <c r="D130" i="32"/>
  <c r="C130" i="32"/>
  <c r="B130" i="32"/>
  <c r="Q129" i="32"/>
  <c r="Q128" i="32" s="1"/>
  <c r="AA18" i="32" s="1"/>
  <c r="P129" i="32"/>
  <c r="O129" i="32"/>
  <c r="N129" i="32"/>
  <c r="M129" i="32"/>
  <c r="L129" i="32"/>
  <c r="K129" i="32"/>
  <c r="J129" i="32"/>
  <c r="I129" i="32"/>
  <c r="H129" i="32"/>
  <c r="G129" i="32"/>
  <c r="F129" i="32"/>
  <c r="E129" i="32"/>
  <c r="D129" i="32"/>
  <c r="C129" i="32"/>
  <c r="B129" i="32"/>
  <c r="Q111" i="32"/>
  <c r="P111" i="32"/>
  <c r="O111" i="32"/>
  <c r="N111" i="32"/>
  <c r="M111" i="32"/>
  <c r="L111" i="32"/>
  <c r="K111" i="32"/>
  <c r="J111" i="32"/>
  <c r="I111" i="32"/>
  <c r="H111" i="32"/>
  <c r="G111" i="32"/>
  <c r="F111" i="32"/>
  <c r="E111" i="32"/>
  <c r="D111" i="32"/>
  <c r="C111" i="32"/>
  <c r="B111" i="32"/>
  <c r="Q110" i="32"/>
  <c r="P110" i="32"/>
  <c r="O110" i="32"/>
  <c r="N110" i="32"/>
  <c r="M110" i="32"/>
  <c r="L110" i="32"/>
  <c r="K110" i="32"/>
  <c r="J110" i="32"/>
  <c r="I110" i="32"/>
  <c r="H110" i="32"/>
  <c r="G110" i="32"/>
  <c r="F110" i="32"/>
  <c r="E110" i="32"/>
  <c r="D110" i="32"/>
  <c r="C110" i="32"/>
  <c r="B110" i="32"/>
  <c r="Q109" i="32"/>
  <c r="Q108" i="32" s="1"/>
  <c r="Z18" i="32" s="1"/>
  <c r="P109" i="32"/>
  <c r="O109" i="32"/>
  <c r="N109" i="32"/>
  <c r="M109" i="32"/>
  <c r="L109" i="32"/>
  <c r="L108" i="32" s="1"/>
  <c r="Z13" i="32" s="1"/>
  <c r="K109" i="32"/>
  <c r="K108" i="32" s="1"/>
  <c r="Z12" i="32" s="1"/>
  <c r="J109" i="32"/>
  <c r="I109" i="32"/>
  <c r="H109" i="32"/>
  <c r="G109" i="32"/>
  <c r="F109" i="32"/>
  <c r="F108" i="32" s="1"/>
  <c r="Z7" i="32" s="1"/>
  <c r="E109" i="32"/>
  <c r="D109" i="32"/>
  <c r="C109" i="32"/>
  <c r="B109" i="32"/>
  <c r="B90" i="32"/>
  <c r="Q89" i="32"/>
  <c r="M89" i="32"/>
  <c r="I91" i="32"/>
  <c r="E91" i="32"/>
  <c r="J91" i="32"/>
  <c r="H91" i="32"/>
  <c r="G91" i="32"/>
  <c r="F91" i="32"/>
  <c r="D91" i="32"/>
  <c r="C91" i="32"/>
  <c r="B91" i="32"/>
  <c r="P89" i="32"/>
  <c r="O89" i="32"/>
  <c r="N89" i="32"/>
  <c r="L89" i="32"/>
  <c r="K89" i="32"/>
  <c r="J89" i="32"/>
  <c r="H89" i="32"/>
  <c r="G89" i="32"/>
  <c r="F89" i="32"/>
  <c r="D89" i="32"/>
  <c r="C89" i="32"/>
  <c r="B89" i="32"/>
  <c r="Q91" i="32"/>
  <c r="P91" i="32"/>
  <c r="O91" i="32"/>
  <c r="N91" i="32"/>
  <c r="M91" i="32"/>
  <c r="L91" i="32"/>
  <c r="K71" i="32"/>
  <c r="Q90" i="32"/>
  <c r="P90" i="32"/>
  <c r="O90" i="32"/>
  <c r="N90" i="32"/>
  <c r="M90" i="32"/>
  <c r="L90" i="32"/>
  <c r="K90" i="32"/>
  <c r="J70" i="32"/>
  <c r="I70" i="32"/>
  <c r="I90" i="32"/>
  <c r="H90" i="32"/>
  <c r="G90" i="32"/>
  <c r="F90" i="32"/>
  <c r="E90" i="32"/>
  <c r="D90" i="32"/>
  <c r="D88" i="32" s="1"/>
  <c r="Y5" i="32" s="1"/>
  <c r="C90" i="32"/>
  <c r="Q70" i="32"/>
  <c r="P70" i="32"/>
  <c r="L71" i="32"/>
  <c r="I71" i="32"/>
  <c r="H71" i="32"/>
  <c r="E71" i="32"/>
  <c r="D71" i="32"/>
  <c r="P71" i="32"/>
  <c r="O71" i="32"/>
  <c r="J71" i="32"/>
  <c r="G71" i="32"/>
  <c r="F71" i="32"/>
  <c r="C71" i="32"/>
  <c r="B71" i="32"/>
  <c r="O70" i="32"/>
  <c r="N70" i="32"/>
  <c r="K70" i="32"/>
  <c r="G70" i="32"/>
  <c r="F70" i="32"/>
  <c r="C70" i="32"/>
  <c r="B70" i="32"/>
  <c r="O69" i="32"/>
  <c r="N69" i="32"/>
  <c r="K69" i="32"/>
  <c r="J69" i="32"/>
  <c r="G69" i="32"/>
  <c r="F69" i="32"/>
  <c r="C69" i="32"/>
  <c r="B69" i="32"/>
  <c r="Q51" i="32"/>
  <c r="P51" i="32"/>
  <c r="O51" i="32"/>
  <c r="N51" i="32"/>
  <c r="M51" i="32"/>
  <c r="L51" i="32"/>
  <c r="K51" i="32"/>
  <c r="J51" i="32"/>
  <c r="I51" i="32"/>
  <c r="H51" i="32"/>
  <c r="G51" i="32"/>
  <c r="F51" i="32"/>
  <c r="E51" i="32"/>
  <c r="D51" i="32"/>
  <c r="C51" i="32"/>
  <c r="B51" i="32"/>
  <c r="Q50" i="32"/>
  <c r="P50" i="32"/>
  <c r="O50" i="32"/>
  <c r="N50" i="32"/>
  <c r="M50" i="32"/>
  <c r="L50" i="32"/>
  <c r="K50" i="32"/>
  <c r="J50" i="32"/>
  <c r="I50" i="32"/>
  <c r="H50" i="32"/>
  <c r="G50" i="32"/>
  <c r="F50" i="32"/>
  <c r="E50" i="32"/>
  <c r="D50" i="32"/>
  <c r="C50" i="32"/>
  <c r="B50" i="32"/>
  <c r="Q49" i="32"/>
  <c r="P49" i="32"/>
  <c r="O49" i="32"/>
  <c r="N49" i="32"/>
  <c r="M49" i="32"/>
  <c r="L49" i="32"/>
  <c r="K49" i="32"/>
  <c r="J49" i="32"/>
  <c r="J48" i="32" s="1"/>
  <c r="W11" i="32" s="1"/>
  <c r="I49" i="32"/>
  <c r="H49" i="32"/>
  <c r="G49" i="32"/>
  <c r="F49" i="32"/>
  <c r="E49" i="32"/>
  <c r="D49" i="32"/>
  <c r="C49" i="32"/>
  <c r="B49" i="32"/>
  <c r="B48" i="32" s="1"/>
  <c r="W3" i="32" s="1"/>
  <c r="Q31" i="32"/>
  <c r="P31" i="32"/>
  <c r="O31" i="32"/>
  <c r="N31" i="32"/>
  <c r="M31" i="32"/>
  <c r="L31" i="32"/>
  <c r="K31" i="32"/>
  <c r="J31" i="32"/>
  <c r="I31" i="32"/>
  <c r="H31" i="32"/>
  <c r="G31" i="32"/>
  <c r="F31" i="32"/>
  <c r="E31" i="32"/>
  <c r="D31" i="32"/>
  <c r="C31" i="32"/>
  <c r="B31" i="32"/>
  <c r="Q30" i="32"/>
  <c r="P30" i="32"/>
  <c r="O30" i="32"/>
  <c r="N30" i="32"/>
  <c r="M30" i="32"/>
  <c r="L30" i="32"/>
  <c r="K30" i="32"/>
  <c r="J30" i="32"/>
  <c r="I30" i="32"/>
  <c r="H30" i="32"/>
  <c r="G30" i="32"/>
  <c r="F30" i="32"/>
  <c r="E30" i="32"/>
  <c r="D30" i="32"/>
  <c r="C30" i="32"/>
  <c r="B30" i="32"/>
  <c r="Q29" i="32"/>
  <c r="Q28" i="32" s="1"/>
  <c r="V18" i="32" s="1"/>
  <c r="P29" i="32"/>
  <c r="O29" i="32"/>
  <c r="N29" i="32"/>
  <c r="M29" i="32"/>
  <c r="L29" i="32"/>
  <c r="K29" i="32"/>
  <c r="J29" i="32"/>
  <c r="I29" i="32"/>
  <c r="H29" i="32"/>
  <c r="G29" i="32"/>
  <c r="F29" i="32"/>
  <c r="E29" i="32"/>
  <c r="D29" i="32"/>
  <c r="C29" i="32"/>
  <c r="B29" i="32"/>
  <c r="Q11" i="32"/>
  <c r="P11" i="32"/>
  <c r="O11" i="32"/>
  <c r="N11" i="32"/>
  <c r="M11" i="32"/>
  <c r="L11" i="32"/>
  <c r="K11" i="32"/>
  <c r="J11" i="32"/>
  <c r="I11" i="32"/>
  <c r="H11" i="32"/>
  <c r="G11" i="32"/>
  <c r="F11" i="32"/>
  <c r="E11" i="32"/>
  <c r="D11" i="32"/>
  <c r="C11" i="32"/>
  <c r="B11" i="32"/>
  <c r="Q10" i="32"/>
  <c r="P10" i="32"/>
  <c r="O10" i="32"/>
  <c r="N10" i="32"/>
  <c r="M10" i="32"/>
  <c r="L10" i="32"/>
  <c r="K10" i="32"/>
  <c r="J10" i="32"/>
  <c r="I10" i="32"/>
  <c r="H10" i="32"/>
  <c r="G10" i="32"/>
  <c r="F10" i="32"/>
  <c r="E10" i="32"/>
  <c r="D10" i="32"/>
  <c r="C10" i="32"/>
  <c r="B10" i="32"/>
  <c r="Q9" i="32"/>
  <c r="P9" i="32"/>
  <c r="O9" i="32"/>
  <c r="N9" i="32"/>
  <c r="M9" i="32"/>
  <c r="L9" i="32"/>
  <c r="K9" i="32"/>
  <c r="J9" i="32"/>
  <c r="I9" i="32"/>
  <c r="H9" i="32"/>
  <c r="G9" i="32"/>
  <c r="F9" i="32"/>
  <c r="E9" i="32"/>
  <c r="D9" i="32"/>
  <c r="C9" i="32"/>
  <c r="B9" i="32"/>
  <c r="Y2" i="32"/>
  <c r="X2" i="32"/>
  <c r="W2" i="32"/>
  <c r="V2" i="32"/>
  <c r="U2" i="32"/>
  <c r="D69" i="32"/>
  <c r="L69" i="32"/>
  <c r="D70" i="32"/>
  <c r="L70" i="32"/>
  <c r="Q71" i="32"/>
  <c r="E69" i="32"/>
  <c r="I69" i="32"/>
  <c r="M69" i="32"/>
  <c r="Q69" i="32"/>
  <c r="E70" i="32"/>
  <c r="M70" i="32"/>
  <c r="H69" i="32"/>
  <c r="P69" i="32"/>
  <c r="H70" i="32"/>
  <c r="E89" i="32"/>
  <c r="I89" i="32"/>
  <c r="N71" i="32"/>
  <c r="C43" i="29"/>
  <c r="H51" i="29"/>
  <c r="B35" i="4"/>
  <c r="C35" i="4" s="1"/>
  <c r="D35" i="4" s="1"/>
  <c r="E35" i="4" s="1"/>
  <c r="F35" i="4" s="1"/>
  <c r="G35" i="4" s="1"/>
  <c r="H35" i="4" s="1"/>
  <c r="I35" i="4" s="1"/>
  <c r="J35" i="4" s="1"/>
  <c r="K35" i="4" s="1"/>
  <c r="L35" i="4" s="1"/>
  <c r="M35" i="4" s="1"/>
  <c r="N35" i="4" s="1"/>
  <c r="O35" i="4" s="1"/>
  <c r="P35" i="4" s="1"/>
  <c r="Q35" i="4" s="1"/>
  <c r="B33" i="4"/>
  <c r="C33" i="4" s="1"/>
  <c r="D33" i="4" s="1"/>
  <c r="E33" i="4" s="1"/>
  <c r="F33" i="4" s="1"/>
  <c r="G33" i="4" s="1"/>
  <c r="H33" i="4" s="1"/>
  <c r="I33" i="4" s="1"/>
  <c r="J33" i="4" s="1"/>
  <c r="K33" i="4" s="1"/>
  <c r="L33" i="4" s="1"/>
  <c r="M33" i="4" s="1"/>
  <c r="N33" i="4" s="1"/>
  <c r="O33" i="4" s="1"/>
  <c r="P33" i="4" s="1"/>
  <c r="Q33" i="4" s="1"/>
  <c r="B32" i="4"/>
  <c r="C32" i="4" s="1"/>
  <c r="D32" i="4" s="1"/>
  <c r="E32" i="4" s="1"/>
  <c r="F32" i="4" s="1"/>
  <c r="G32" i="4" s="1"/>
  <c r="H32" i="4" s="1"/>
  <c r="I32" i="4" s="1"/>
  <c r="J32" i="4" s="1"/>
  <c r="K32" i="4" s="1"/>
  <c r="L32" i="4" s="1"/>
  <c r="M32" i="4" s="1"/>
  <c r="N32" i="4" s="1"/>
  <c r="O32" i="4" s="1"/>
  <c r="P32" i="4" s="1"/>
  <c r="Q32" i="4" s="1"/>
  <c r="B8" i="26"/>
  <c r="C8" i="26" s="1"/>
  <c r="D8" i="26" s="1"/>
  <c r="E8" i="26" s="1"/>
  <c r="F8" i="26" s="1"/>
  <c r="G8" i="26" s="1"/>
  <c r="H8" i="26" s="1"/>
  <c r="I8" i="26" s="1"/>
  <c r="J8" i="26" s="1"/>
  <c r="K8" i="26" s="1"/>
  <c r="L8" i="26" s="1"/>
  <c r="M8" i="26" s="1"/>
  <c r="N8" i="26" s="1"/>
  <c r="O8" i="26" s="1"/>
  <c r="C51" i="4"/>
  <c r="D51" i="4" s="1"/>
  <c r="E51" i="4" s="1"/>
  <c r="F51" i="4" s="1"/>
  <c r="G51" i="4" s="1"/>
  <c r="H51" i="4" s="1"/>
  <c r="I51" i="4" s="1"/>
  <c r="J51" i="4" s="1"/>
  <c r="K51" i="4" s="1"/>
  <c r="L51" i="4" s="1"/>
  <c r="M51" i="4" s="1"/>
  <c r="N51" i="4" s="1"/>
  <c r="O51" i="4" s="1"/>
  <c r="P51" i="4" s="1"/>
  <c r="Q51" i="4" s="1"/>
  <c r="C52" i="4"/>
  <c r="D52" i="4" s="1"/>
  <c r="E52" i="4" s="1"/>
  <c r="F52" i="4" s="1"/>
  <c r="G52" i="4" s="1"/>
  <c r="H52" i="4" s="1"/>
  <c r="I52" i="4" s="1"/>
  <c r="J52" i="4" s="1"/>
  <c r="K52" i="4" s="1"/>
  <c r="L52" i="4" s="1"/>
  <c r="M52" i="4" s="1"/>
  <c r="N52" i="4" s="1"/>
  <c r="O52" i="4" s="1"/>
  <c r="P52" i="4" s="1"/>
  <c r="Q52" i="4" s="1"/>
  <c r="C53" i="4"/>
  <c r="D53" i="4" s="1"/>
  <c r="E53" i="4" s="1"/>
  <c r="F53" i="4" s="1"/>
  <c r="G53" i="4" s="1"/>
  <c r="H53" i="4" s="1"/>
  <c r="I53" i="4" s="1"/>
  <c r="J53" i="4" s="1"/>
  <c r="K53" i="4" s="1"/>
  <c r="L53" i="4" s="1"/>
  <c r="M53" i="4" s="1"/>
  <c r="N53" i="4" s="1"/>
  <c r="O53" i="4" s="1"/>
  <c r="P53" i="4" s="1"/>
  <c r="Q53" i="4" s="1"/>
  <c r="C59" i="4"/>
  <c r="D59" i="4" s="1"/>
  <c r="E59" i="4" s="1"/>
  <c r="F59" i="4" s="1"/>
  <c r="G59" i="4" s="1"/>
  <c r="H59" i="4" s="1"/>
  <c r="I59" i="4" s="1"/>
  <c r="J59" i="4" s="1"/>
  <c r="K59" i="4" s="1"/>
  <c r="L59" i="4" s="1"/>
  <c r="M59" i="4" s="1"/>
  <c r="N59" i="4" s="1"/>
  <c r="O59" i="4" s="1"/>
  <c r="P59" i="4" s="1"/>
  <c r="Q59" i="4" s="1"/>
  <c r="C60" i="4"/>
  <c r="D60" i="4" s="1"/>
  <c r="E60" i="4" s="1"/>
  <c r="F60" i="4" s="1"/>
  <c r="G60" i="4" s="1"/>
  <c r="H60" i="4" s="1"/>
  <c r="I60" i="4" s="1"/>
  <c r="J60" i="4" s="1"/>
  <c r="K60" i="4" s="1"/>
  <c r="L60" i="4" s="1"/>
  <c r="M60" i="4" s="1"/>
  <c r="N60" i="4" s="1"/>
  <c r="O60" i="4" s="1"/>
  <c r="P60" i="4" s="1"/>
  <c r="Q60" i="4" s="1"/>
  <c r="B3" i="27"/>
  <c r="B7" i="27" s="1"/>
  <c r="B4" i="27"/>
  <c r="B5" i="27"/>
  <c r="C34" i="4"/>
  <c r="D34" i="4" s="1"/>
  <c r="E34" i="4" s="1"/>
  <c r="F34" i="4" s="1"/>
  <c r="G34" i="4" s="1"/>
  <c r="H34" i="4" s="1"/>
  <c r="I34" i="4" s="1"/>
  <c r="J34" i="4" s="1"/>
  <c r="K34" i="4" s="1"/>
  <c r="L34" i="4" s="1"/>
  <c r="M34" i="4" s="1"/>
  <c r="N34" i="4" s="1"/>
  <c r="O34" i="4" s="1"/>
  <c r="P34" i="4" s="1"/>
  <c r="Q34" i="4" s="1"/>
  <c r="B18" i="20"/>
  <c r="B10" i="4" s="1"/>
  <c r="C16" i="20"/>
  <c r="D16" i="20" s="1"/>
  <c r="C37" i="31"/>
  <c r="H24" i="31"/>
  <c r="H26" i="31" s="1"/>
  <c r="H29" i="31" s="1"/>
  <c r="H31" i="31" s="1"/>
  <c r="G24" i="31"/>
  <c r="G26" i="31" s="1"/>
  <c r="G29" i="31" s="1"/>
  <c r="G31" i="31" s="1"/>
  <c r="F24" i="31"/>
  <c r="F26" i="31" s="1"/>
  <c r="F29" i="31" s="1"/>
  <c r="F31" i="31" s="1"/>
  <c r="E24" i="31"/>
  <c r="E26" i="31" s="1"/>
  <c r="E29" i="31" s="1"/>
  <c r="E31" i="31" s="1"/>
  <c r="D24" i="31"/>
  <c r="D26" i="31" s="1"/>
  <c r="D29" i="31" s="1"/>
  <c r="D31" i="31" s="1"/>
  <c r="C24" i="31"/>
  <c r="C26" i="31" s="1"/>
  <c r="C29" i="31" s="1"/>
  <c r="C31" i="31" s="1"/>
  <c r="H52" i="31"/>
  <c r="G52" i="31"/>
  <c r="F52" i="31"/>
  <c r="E52" i="31"/>
  <c r="D52" i="31"/>
  <c r="C52" i="31"/>
  <c r="C53" i="31" s="1"/>
  <c r="G59" i="31" s="1"/>
  <c r="H21" i="31"/>
  <c r="C47" i="31"/>
  <c r="C51" i="31"/>
  <c r="H58" i="31" s="1"/>
  <c r="G21" i="31"/>
  <c r="F21" i="31"/>
  <c r="E21" i="31"/>
  <c r="D21" i="31"/>
  <c r="C21" i="31"/>
  <c r="C25" i="31"/>
  <c r="J19" i="31"/>
  <c r="J20" i="31" s="1"/>
  <c r="J21" i="31" s="1"/>
  <c r="C19" i="31"/>
  <c r="T5" i="30"/>
  <c r="S5" i="30"/>
  <c r="R5" i="30"/>
  <c r="Q5" i="30"/>
  <c r="P5" i="30"/>
  <c r="O5" i="30"/>
  <c r="N5" i="30"/>
  <c r="M5" i="30"/>
  <c r="L5" i="30"/>
  <c r="K5" i="30"/>
  <c r="J5" i="30"/>
  <c r="I5" i="30"/>
  <c r="H5" i="30"/>
  <c r="G5" i="30"/>
  <c r="F5" i="30"/>
  <c r="E5" i="30"/>
  <c r="R5" i="14"/>
  <c r="Q91" i="4" s="1"/>
  <c r="Q88" i="4" s="1"/>
  <c r="Q5" i="14"/>
  <c r="P5" i="14"/>
  <c r="O5" i="14"/>
  <c r="N91" i="4" s="1"/>
  <c r="N88" i="4" s="1"/>
  <c r="N5" i="14"/>
  <c r="M91" i="4" s="1"/>
  <c r="M88" i="4" s="1"/>
  <c r="M5" i="14"/>
  <c r="L5" i="14"/>
  <c r="K5" i="14"/>
  <c r="J91" i="4" s="1"/>
  <c r="J88" i="4" s="1"/>
  <c r="J5" i="14"/>
  <c r="I5" i="14"/>
  <c r="I7" i="14" s="1"/>
  <c r="H5" i="14"/>
  <c r="G5" i="14"/>
  <c r="F91" i="4" s="1"/>
  <c r="F88" i="4" s="1"/>
  <c r="F5" i="14"/>
  <c r="E91" i="4" s="1"/>
  <c r="E88" i="4" s="1"/>
  <c r="E5" i="14"/>
  <c r="D91" i="4" s="1"/>
  <c r="D88" i="4" s="1"/>
  <c r="D5" i="14"/>
  <c r="C5" i="14"/>
  <c r="B91" i="4" s="1"/>
  <c r="B88" i="4" s="1"/>
  <c r="R2" i="14"/>
  <c r="C7" i="14"/>
  <c r="C39" i="29"/>
  <c r="C37" i="29"/>
  <c r="C18" i="29"/>
  <c r="C25" i="29" s="1"/>
  <c r="C22" i="29"/>
  <c r="C20" i="29"/>
  <c r="C26" i="29"/>
  <c r="O13" i="28"/>
  <c r="N13" i="28"/>
  <c r="M13" i="28"/>
  <c r="L13" i="28"/>
  <c r="K13" i="28"/>
  <c r="J13" i="28"/>
  <c r="I13" i="28"/>
  <c r="H13" i="28"/>
  <c r="G13" i="28"/>
  <c r="F13" i="28"/>
  <c r="E13" i="28"/>
  <c r="D13" i="28"/>
  <c r="C13" i="28"/>
  <c r="B13" i="28"/>
  <c r="O8" i="28"/>
  <c r="N8" i="28"/>
  <c r="M8" i="28"/>
  <c r="L8" i="28"/>
  <c r="K8" i="28"/>
  <c r="J8" i="28"/>
  <c r="I8" i="28"/>
  <c r="H8" i="28"/>
  <c r="G8" i="28"/>
  <c r="F8" i="28"/>
  <c r="E8" i="28"/>
  <c r="D8" i="28"/>
  <c r="C8" i="28"/>
  <c r="B8" i="28"/>
  <c r="C49" i="29"/>
  <c r="C50" i="29" s="1"/>
  <c r="C57" i="29" s="1"/>
  <c r="P14" i="24"/>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O11" i="25"/>
  <c r="O10" i="25"/>
  <c r="O9" i="25"/>
  <c r="O8" i="25"/>
  <c r="O7" i="25"/>
  <c r="O6" i="25"/>
  <c r="Q11" i="24"/>
  <c r="Q10" i="24"/>
  <c r="Q9" i="24"/>
  <c r="Q8" i="24"/>
  <c r="Q7" i="24"/>
  <c r="Q6" i="24"/>
  <c r="N14" i="25"/>
  <c r="O14" i="25" s="1"/>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P15" i="24"/>
  <c r="E15" i="24"/>
  <c r="E14" i="24"/>
  <c r="E13" i="24"/>
  <c r="E12" i="24"/>
  <c r="E11" i="24"/>
  <c r="E10" i="24"/>
  <c r="E9" i="24"/>
  <c r="E8" i="24"/>
  <c r="E7" i="24"/>
  <c r="E6" i="24"/>
  <c r="C86" i="4"/>
  <c r="D86" i="4"/>
  <c r="E86" i="4" s="1"/>
  <c r="F86" i="4" s="1"/>
  <c r="G86" i="4" s="1"/>
  <c r="H86" i="4" s="1"/>
  <c r="I86" i="4" s="1"/>
  <c r="J86" i="4" s="1"/>
  <c r="K86" i="4" s="1"/>
  <c r="L86" i="4" s="1"/>
  <c r="M86" i="4" s="1"/>
  <c r="N86" i="4" s="1"/>
  <c r="O86" i="4" s="1"/>
  <c r="P86" i="4" s="1"/>
  <c r="Q86" i="4" s="1"/>
  <c r="C85" i="4"/>
  <c r="D85" i="4" s="1"/>
  <c r="E85" i="4" s="1"/>
  <c r="F85" i="4" s="1"/>
  <c r="G85" i="4" s="1"/>
  <c r="H85" i="4" s="1"/>
  <c r="I85" i="4" s="1"/>
  <c r="J85" i="4" s="1"/>
  <c r="K85" i="4" s="1"/>
  <c r="L85" i="4" s="1"/>
  <c r="M85" i="4" s="1"/>
  <c r="N85" i="4" s="1"/>
  <c r="O85" i="4" s="1"/>
  <c r="P85" i="4" s="1"/>
  <c r="Q85" i="4" s="1"/>
  <c r="C83" i="4"/>
  <c r="D83" i="4" s="1"/>
  <c r="E83" i="4" s="1"/>
  <c r="F83" i="4" s="1"/>
  <c r="G83" i="4" s="1"/>
  <c r="H83" i="4" s="1"/>
  <c r="I83" i="4" s="1"/>
  <c r="J83" i="4" s="1"/>
  <c r="K83" i="4" s="1"/>
  <c r="L83" i="4" s="1"/>
  <c r="M83" i="4" s="1"/>
  <c r="N83" i="4" s="1"/>
  <c r="O83" i="4" s="1"/>
  <c r="P83" i="4" s="1"/>
  <c r="Q83" i="4" s="1"/>
  <c r="C82" i="4"/>
  <c r="D82" i="4" s="1"/>
  <c r="E82" i="4" s="1"/>
  <c r="F82" i="4" s="1"/>
  <c r="G82" i="4" s="1"/>
  <c r="H82" i="4" s="1"/>
  <c r="I82" i="4" s="1"/>
  <c r="J82" i="4" s="1"/>
  <c r="K82" i="4" s="1"/>
  <c r="L82" i="4" s="1"/>
  <c r="M82" i="4" s="1"/>
  <c r="N82" i="4" s="1"/>
  <c r="O82" i="4" s="1"/>
  <c r="P82" i="4" s="1"/>
  <c r="Q82" i="4" s="1"/>
  <c r="B81" i="4"/>
  <c r="C81" i="4"/>
  <c r="D81" i="4" s="1"/>
  <c r="E81" i="4" s="1"/>
  <c r="F81" i="4" s="1"/>
  <c r="G81" i="4" s="1"/>
  <c r="H81" i="4" s="1"/>
  <c r="I81" i="4" s="1"/>
  <c r="J81" i="4" s="1"/>
  <c r="K81" i="4" s="1"/>
  <c r="L81" i="4" s="1"/>
  <c r="M81" i="4" s="1"/>
  <c r="N81" i="4" s="1"/>
  <c r="O81" i="4" s="1"/>
  <c r="P81" i="4" s="1"/>
  <c r="Q81" i="4" s="1"/>
  <c r="C79" i="4"/>
  <c r="A14" i="23"/>
  <c r="A10" i="23"/>
  <c r="A7" i="23"/>
  <c r="C63" i="4"/>
  <c r="D63" i="4" s="1"/>
  <c r="E63" i="4" s="1"/>
  <c r="F63" i="4" s="1"/>
  <c r="G63" i="4" s="1"/>
  <c r="H63" i="4" s="1"/>
  <c r="I63" i="4" s="1"/>
  <c r="J63" i="4" s="1"/>
  <c r="K63" i="4" s="1"/>
  <c r="L63" i="4" s="1"/>
  <c r="M63" i="4" s="1"/>
  <c r="N63" i="4" s="1"/>
  <c r="O63" i="4" s="1"/>
  <c r="P63" i="4" s="1"/>
  <c r="Q63" i="4" s="1"/>
  <c r="E19" i="21"/>
  <c r="Z115" i="21"/>
  <c r="Y115" i="21"/>
  <c r="Z114" i="21"/>
  <c r="Y114" i="21"/>
  <c r="Z113" i="21"/>
  <c r="Y113" i="21"/>
  <c r="Z112" i="21"/>
  <c r="Y112" i="21"/>
  <c r="Z111" i="21"/>
  <c r="Y111" i="21"/>
  <c r="Z110" i="21"/>
  <c r="Y110" i="21"/>
  <c r="Z109" i="21"/>
  <c r="Y109" i="21"/>
  <c r="Z108" i="21"/>
  <c r="Y108" i="21"/>
  <c r="Z107" i="21"/>
  <c r="Y107" i="21"/>
  <c r="AG100" i="21"/>
  <c r="AF100" i="21"/>
  <c r="Z100" i="21"/>
  <c r="Y100" i="21"/>
  <c r="AG99" i="21"/>
  <c r="AF99" i="21"/>
  <c r="Z99" i="21"/>
  <c r="Y99" i="21"/>
  <c r="AG98" i="21"/>
  <c r="AF98" i="21"/>
  <c r="Z98" i="21"/>
  <c r="Y98" i="21"/>
  <c r="AG97" i="21"/>
  <c r="AF97" i="21"/>
  <c r="Z97" i="21"/>
  <c r="Y97" i="21"/>
  <c r="AG96" i="21"/>
  <c r="AF96" i="21"/>
  <c r="Z96" i="21"/>
  <c r="Y96" i="21"/>
  <c r="AG95" i="21"/>
  <c r="AF95" i="21"/>
  <c r="Z95" i="21"/>
  <c r="Y95" i="21"/>
  <c r="AG94" i="21"/>
  <c r="AF94" i="21"/>
  <c r="Z94" i="21"/>
  <c r="Y94" i="21"/>
  <c r="AG93" i="21"/>
  <c r="AF93" i="21"/>
  <c r="Z93" i="21"/>
  <c r="Y93" i="21"/>
  <c r="AG92" i="21"/>
  <c r="AF92" i="21"/>
  <c r="Z92" i="21"/>
  <c r="Y92" i="21"/>
  <c r="AG86" i="21"/>
  <c r="AF86" i="21"/>
  <c r="AG85" i="21"/>
  <c r="AF85" i="21"/>
  <c r="AG84" i="21"/>
  <c r="AF84" i="21"/>
  <c r="AG83" i="21"/>
  <c r="AF83" i="21"/>
  <c r="AG82" i="21"/>
  <c r="AF82" i="21"/>
  <c r="AG81" i="21"/>
  <c r="AF81" i="21"/>
  <c r="AG80" i="21"/>
  <c r="AF80" i="21"/>
  <c r="AG79" i="21"/>
  <c r="AF79" i="21"/>
  <c r="AG78" i="21"/>
  <c r="AF78" i="21"/>
  <c r="AG72" i="21"/>
  <c r="AF72" i="21"/>
  <c r="AG71" i="21"/>
  <c r="AF71" i="21"/>
  <c r="AG70" i="21"/>
  <c r="AF70" i="21"/>
  <c r="AG69" i="21"/>
  <c r="AF69" i="21"/>
  <c r="AG68" i="21"/>
  <c r="AF68" i="21"/>
  <c r="AG67" i="21"/>
  <c r="AF67" i="21"/>
  <c r="AG66" i="21"/>
  <c r="AF66" i="21"/>
  <c r="AG65" i="21"/>
  <c r="AF65" i="21"/>
  <c r="AG64" i="21"/>
  <c r="AF64" i="21"/>
  <c r="AG57" i="21"/>
  <c r="AF57" i="21"/>
  <c r="Z57" i="21"/>
  <c r="Y57" i="21"/>
  <c r="AG56" i="21"/>
  <c r="AF56" i="21"/>
  <c r="Z56" i="21"/>
  <c r="Y56" i="21"/>
  <c r="AG55" i="21"/>
  <c r="AF55" i="21"/>
  <c r="Z55" i="21"/>
  <c r="Y55" i="21"/>
  <c r="AG54" i="21"/>
  <c r="AF54" i="21"/>
  <c r="Z54" i="21"/>
  <c r="Y54" i="21"/>
  <c r="AG53" i="21"/>
  <c r="AF53" i="21"/>
  <c r="Z53" i="21"/>
  <c r="Y53" i="21"/>
  <c r="Y51" i="21"/>
  <c r="AG52" i="21"/>
  <c r="AF52" i="21"/>
  <c r="Z52" i="21"/>
  <c r="Y52" i="21"/>
  <c r="AG51" i="21"/>
  <c r="AF51" i="21"/>
  <c r="Z51" i="21"/>
  <c r="AG50" i="21"/>
  <c r="AF50" i="21"/>
  <c r="Z50" i="21"/>
  <c r="Y50" i="21"/>
  <c r="AG49" i="21"/>
  <c r="AF49" i="21"/>
  <c r="Z49" i="21"/>
  <c r="Y49" i="21"/>
  <c r="AG42" i="21"/>
  <c r="AF42" i="21"/>
  <c r="Z42" i="21"/>
  <c r="Y42" i="21"/>
  <c r="Q42" i="21"/>
  <c r="P42" i="21"/>
  <c r="AG41" i="21"/>
  <c r="AF41" i="21"/>
  <c r="Z41" i="21"/>
  <c r="Y41" i="21"/>
  <c r="Q41" i="21"/>
  <c r="P41" i="21"/>
  <c r="AG40" i="21"/>
  <c r="AF40" i="21"/>
  <c r="Z40" i="21"/>
  <c r="Y40" i="21"/>
  <c r="Q40" i="21"/>
  <c r="P40" i="21"/>
  <c r="AG39" i="21"/>
  <c r="AF39" i="21"/>
  <c r="Z39" i="21"/>
  <c r="Y39" i="21"/>
  <c r="Q39" i="21"/>
  <c r="P39" i="21"/>
  <c r="AG38" i="21"/>
  <c r="AF38" i="21"/>
  <c r="Z38" i="21"/>
  <c r="Y38" i="21"/>
  <c r="Q38" i="21"/>
  <c r="P38" i="21"/>
  <c r="AG37" i="21"/>
  <c r="AF37" i="21"/>
  <c r="Z37" i="21"/>
  <c r="Y37" i="21"/>
  <c r="Q37" i="21"/>
  <c r="P37" i="21"/>
  <c r="AG36" i="21"/>
  <c r="AF36" i="21"/>
  <c r="Z36" i="21"/>
  <c r="Y36" i="21"/>
  <c r="Q36" i="21"/>
  <c r="P36" i="21"/>
  <c r="AG35" i="21"/>
  <c r="AF35" i="21"/>
  <c r="AF34" i="21"/>
  <c r="AG34" i="21"/>
  <c r="Z35" i="21"/>
  <c r="Y35" i="21"/>
  <c r="Q35" i="21"/>
  <c r="P35" i="21"/>
  <c r="Z34" i="21"/>
  <c r="Y34" i="21"/>
  <c r="Q34" i="21"/>
  <c r="P34" i="21"/>
  <c r="E14" i="21"/>
  <c r="E10" i="21"/>
  <c r="B32" i="15"/>
  <c r="C51" i="15"/>
  <c r="C21" i="15"/>
  <c r="C58" i="4"/>
  <c r="D58" i="4" s="1"/>
  <c r="E58" i="4" s="1"/>
  <c r="F58" i="4" s="1"/>
  <c r="G58" i="4" s="1"/>
  <c r="H58" i="4" s="1"/>
  <c r="I58" i="4" s="1"/>
  <c r="J58" i="4" s="1"/>
  <c r="K58" i="4" s="1"/>
  <c r="L58" i="4" s="1"/>
  <c r="M58" i="4" s="1"/>
  <c r="N58" i="4" s="1"/>
  <c r="O58" i="4" s="1"/>
  <c r="P58" i="4" s="1"/>
  <c r="Q58" i="4" s="1"/>
  <c r="A10" i="4"/>
  <c r="D12" i="19"/>
  <c r="D13" i="19"/>
  <c r="L40" i="19"/>
  <c r="B14" i="19"/>
  <c r="D14" i="19"/>
  <c r="J40" i="19"/>
  <c r="K40" i="19" s="1"/>
  <c r="E41" i="19"/>
  <c r="E42" i="19" s="1"/>
  <c r="H41" i="19"/>
  <c r="H42" i="19" s="1"/>
  <c r="H43" i="19" s="1"/>
  <c r="H44" i="19" s="1"/>
  <c r="I41" i="19"/>
  <c r="I42" i="19" s="1"/>
  <c r="P48" i="19"/>
  <c r="B1" i="17"/>
  <c r="B2" i="17"/>
  <c r="A10" i="17"/>
  <c r="A11" i="17"/>
  <c r="A12" i="17"/>
  <c r="A13" i="17"/>
  <c r="A14" i="17"/>
  <c r="A15" i="17"/>
  <c r="A16" i="17"/>
  <c r="A17" i="17"/>
  <c r="A18" i="17"/>
  <c r="A19" i="17"/>
  <c r="A20" i="17"/>
  <c r="A21" i="17"/>
  <c r="A22" i="17"/>
  <c r="A23" i="17"/>
  <c r="I13" i="16"/>
  <c r="C9" i="4" s="1"/>
  <c r="D9" i="4" s="1"/>
  <c r="E9" i="4" s="1"/>
  <c r="C57" i="4"/>
  <c r="D57" i="4" s="1"/>
  <c r="E57" i="4" s="1"/>
  <c r="F57" i="4" s="1"/>
  <c r="G57" i="4" s="1"/>
  <c r="H57" i="4" s="1"/>
  <c r="I57" i="4" s="1"/>
  <c r="J57" i="4" s="1"/>
  <c r="K57" i="4" s="1"/>
  <c r="L57" i="4" s="1"/>
  <c r="M57" i="4" s="1"/>
  <c r="N57" i="4" s="1"/>
  <c r="O57" i="4" s="1"/>
  <c r="P57" i="4" s="1"/>
  <c r="Q57" i="4" s="1"/>
  <c r="C56" i="4"/>
  <c r="D56" i="4" s="1"/>
  <c r="E56" i="4" s="1"/>
  <c r="F56" i="4" s="1"/>
  <c r="G56" i="4" s="1"/>
  <c r="H56" i="4" s="1"/>
  <c r="I56" i="4" s="1"/>
  <c r="J56" i="4" s="1"/>
  <c r="K56" i="4" s="1"/>
  <c r="L56" i="4" s="1"/>
  <c r="M56" i="4" s="1"/>
  <c r="N56" i="4" s="1"/>
  <c r="O56" i="4" s="1"/>
  <c r="P56" i="4" s="1"/>
  <c r="Q56" i="4" s="1"/>
  <c r="C55" i="4"/>
  <c r="D55" i="4" s="1"/>
  <c r="E55" i="4" s="1"/>
  <c r="F55" i="4" s="1"/>
  <c r="G55" i="4" s="1"/>
  <c r="H55" i="4" s="1"/>
  <c r="I55" i="4" s="1"/>
  <c r="J55" i="4" s="1"/>
  <c r="K55" i="4" s="1"/>
  <c r="L55" i="4" s="1"/>
  <c r="M55" i="4" s="1"/>
  <c r="N55" i="4" s="1"/>
  <c r="O55" i="4" s="1"/>
  <c r="P55" i="4" s="1"/>
  <c r="Q55" i="4" s="1"/>
  <c r="C54" i="4"/>
  <c r="D54" i="4"/>
  <c r="E54" i="4" s="1"/>
  <c r="F54" i="4" s="1"/>
  <c r="G54" i="4" s="1"/>
  <c r="H54" i="4" s="1"/>
  <c r="I54" i="4" s="1"/>
  <c r="J54" i="4" s="1"/>
  <c r="K54" i="4" s="1"/>
  <c r="L54" i="4" s="1"/>
  <c r="M54" i="4" s="1"/>
  <c r="N54" i="4" s="1"/>
  <c r="O54" i="4" s="1"/>
  <c r="P54" i="4" s="1"/>
  <c r="Q54" i="4" s="1"/>
  <c r="C50" i="4"/>
  <c r="D50" i="4" s="1"/>
  <c r="E50" i="4" s="1"/>
  <c r="F50" i="4" s="1"/>
  <c r="G50" i="4" s="1"/>
  <c r="H50" i="4" s="1"/>
  <c r="I50" i="4" s="1"/>
  <c r="J50" i="4" s="1"/>
  <c r="K50" i="4" s="1"/>
  <c r="L50" i="4" s="1"/>
  <c r="M50" i="4" s="1"/>
  <c r="N50" i="4" s="1"/>
  <c r="O50" i="4" s="1"/>
  <c r="P50" i="4" s="1"/>
  <c r="Q50" i="4" s="1"/>
  <c r="C49" i="4"/>
  <c r="D49" i="4" s="1"/>
  <c r="E49" i="4" s="1"/>
  <c r="F49" i="4" s="1"/>
  <c r="G49" i="4" s="1"/>
  <c r="H49" i="4" s="1"/>
  <c r="I49" i="4" s="1"/>
  <c r="J49" i="4" s="1"/>
  <c r="K49" i="4" s="1"/>
  <c r="L49" i="4" s="1"/>
  <c r="M49" i="4" s="1"/>
  <c r="N49" i="4" s="1"/>
  <c r="O49" i="4" s="1"/>
  <c r="P49" i="4" s="1"/>
  <c r="Q49" i="4" s="1"/>
  <c r="C47" i="4"/>
  <c r="D47" i="4" s="1"/>
  <c r="E47" i="4" s="1"/>
  <c r="F47" i="4" s="1"/>
  <c r="G47" i="4" s="1"/>
  <c r="B59" i="15"/>
  <c r="C54" i="15" s="1"/>
  <c r="F116" i="15"/>
  <c r="E116" i="15"/>
  <c r="F115" i="15"/>
  <c r="E115" i="15"/>
  <c r="F114" i="15"/>
  <c r="E114" i="15"/>
  <c r="F113" i="15"/>
  <c r="E113" i="15"/>
  <c r="F112" i="15"/>
  <c r="E112" i="15"/>
  <c r="F111" i="15"/>
  <c r="E111" i="15"/>
  <c r="F110" i="15"/>
  <c r="E110" i="15"/>
  <c r="F109" i="15"/>
  <c r="E109" i="15"/>
  <c r="F108" i="15"/>
  <c r="E108" i="15"/>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F95" i="15"/>
  <c r="E95" i="15"/>
  <c r="F94" i="15"/>
  <c r="E94" i="15"/>
  <c r="F93" i="15"/>
  <c r="E93" i="15"/>
  <c r="E49" i="15"/>
  <c r="F49" i="15" s="1"/>
  <c r="E41" i="15"/>
  <c r="F41" i="15" s="1"/>
  <c r="E48" i="15"/>
  <c r="E47" i="15"/>
  <c r="E46" i="15"/>
  <c r="F46" i="15" s="1"/>
  <c r="E45" i="15"/>
  <c r="F45" i="15" s="1"/>
  <c r="E44" i="15"/>
  <c r="E43" i="15"/>
  <c r="E42" i="15"/>
  <c r="F42" i="15" s="1"/>
  <c r="E30" i="15"/>
  <c r="E26" i="15"/>
  <c r="F26" i="15" s="1"/>
  <c r="E29" i="15"/>
  <c r="F29" i="15" s="1"/>
  <c r="B30" i="15"/>
  <c r="B29" i="15"/>
  <c r="E28" i="15"/>
  <c r="B28" i="15"/>
  <c r="E27" i="15"/>
  <c r="B27" i="15"/>
  <c r="B26" i="15"/>
  <c r="E19" i="15"/>
  <c r="E13" i="15"/>
  <c r="E14" i="15"/>
  <c r="E18" i="15"/>
  <c r="F18" i="15" s="1"/>
  <c r="E17" i="15"/>
  <c r="E16" i="15"/>
  <c r="F16" i="15" s="1"/>
  <c r="E15" i="15"/>
  <c r="D20" i="12"/>
  <c r="D11" i="12"/>
  <c r="T9" i="4"/>
  <c r="T10" i="4" s="1"/>
  <c r="C32" i="31" s="1"/>
  <c r="AF102" i="21"/>
  <c r="M40" i="19"/>
  <c r="M41" i="19"/>
  <c r="Y103" i="21"/>
  <c r="C23" i="29"/>
  <c r="C47" i="29"/>
  <c r="C48" i="29" s="1"/>
  <c r="C56" i="29" s="1"/>
  <c r="F13" i="15"/>
  <c r="Z45" i="21"/>
  <c r="AA38" i="21" s="1"/>
  <c r="J41" i="19"/>
  <c r="K41" i="19" s="1"/>
  <c r="C14" i="4"/>
  <c r="Q14" i="4"/>
  <c r="F14" i="4"/>
  <c r="M14" i="4"/>
  <c r="I14" i="4"/>
  <c r="B14" i="4"/>
  <c r="D14" i="4"/>
  <c r="J14" i="4"/>
  <c r="O14" i="4"/>
  <c r="G14" i="4"/>
  <c r="N14" i="4"/>
  <c r="L14" i="4"/>
  <c r="K14" i="4"/>
  <c r="E14" i="4"/>
  <c r="P14" i="4"/>
  <c r="H14" i="4"/>
  <c r="D79" i="4"/>
  <c r="E79" i="4" s="1"/>
  <c r="B9" i="27"/>
  <c r="D59" i="31" l="1"/>
  <c r="E59" i="31"/>
  <c r="C59" i="31"/>
  <c r="H59" i="31"/>
  <c r="N40" i="19"/>
  <c r="R7" i="14"/>
  <c r="N48" i="32"/>
  <c r="W15" i="32" s="1"/>
  <c r="F148" i="32"/>
  <c r="AB7" i="32" s="1"/>
  <c r="AA98" i="21"/>
  <c r="G148" i="32"/>
  <c r="AB8" i="32" s="1"/>
  <c r="F168" i="32"/>
  <c r="AC7" i="32" s="1"/>
  <c r="AF59" i="21"/>
  <c r="AA37" i="21"/>
  <c r="AA41" i="21"/>
  <c r="G28" i="32"/>
  <c r="V8" i="32" s="1"/>
  <c r="L128" i="32"/>
  <c r="AA13" i="32" s="1"/>
  <c r="H188" i="32"/>
  <c r="AD9" i="32" s="1"/>
  <c r="H28" i="32"/>
  <c r="V9" i="32" s="1"/>
  <c r="G48" i="32"/>
  <c r="W8" i="32" s="1"/>
  <c r="H48" i="32"/>
  <c r="W9" i="32" s="1"/>
  <c r="P108" i="32"/>
  <c r="Z17" i="32" s="1"/>
  <c r="M148" i="32"/>
  <c r="AB14" i="32" s="1"/>
  <c r="L168" i="32"/>
  <c r="AC13" i="32" s="1"/>
  <c r="K188" i="32"/>
  <c r="AD12" i="32" s="1"/>
  <c r="M28" i="32"/>
  <c r="V14" i="32" s="1"/>
  <c r="L48" i="32"/>
  <c r="W13" i="32" s="1"/>
  <c r="G108" i="32"/>
  <c r="Z8" i="32" s="1"/>
  <c r="F128" i="32"/>
  <c r="AA7" i="32" s="1"/>
  <c r="E216" i="32"/>
  <c r="B28" i="32"/>
  <c r="V3" i="32" s="1"/>
  <c r="N28" i="32"/>
  <c r="V15" i="32" s="1"/>
  <c r="M48" i="32"/>
  <c r="W14" i="32" s="1"/>
  <c r="G128" i="32"/>
  <c r="AA8" i="32" s="1"/>
  <c r="D168" i="32"/>
  <c r="AC5" i="32" s="1"/>
  <c r="C188" i="32"/>
  <c r="AD4" i="32" s="1"/>
  <c r="O188" i="32"/>
  <c r="AD16" i="32" s="1"/>
  <c r="I188" i="32"/>
  <c r="AD10" i="32" s="1"/>
  <c r="D188" i="32"/>
  <c r="AD5" i="32" s="1"/>
  <c r="N188" i="32"/>
  <c r="AD15" i="32" s="1"/>
  <c r="J188" i="32"/>
  <c r="AD11" i="32" s="1"/>
  <c r="I168" i="32"/>
  <c r="AC10" i="32" s="1"/>
  <c r="H168" i="32"/>
  <c r="AC9" i="32" s="1"/>
  <c r="P168" i="32"/>
  <c r="AC17" i="32" s="1"/>
  <c r="O148" i="32"/>
  <c r="AB16" i="32" s="1"/>
  <c r="M128" i="32"/>
  <c r="AA14" i="32" s="1"/>
  <c r="O128" i="32"/>
  <c r="AA16" i="32" s="1"/>
  <c r="P128" i="32"/>
  <c r="AA17" i="32" s="1"/>
  <c r="J108" i="32"/>
  <c r="Z11" i="32" s="1"/>
  <c r="M108" i="32"/>
  <c r="Z14" i="32" s="1"/>
  <c r="C88" i="32"/>
  <c r="Y4" i="32" s="1"/>
  <c r="O48" i="32"/>
  <c r="W16" i="32" s="1"/>
  <c r="P48" i="32"/>
  <c r="W17" i="32" s="1"/>
  <c r="K48" i="32"/>
  <c r="W12" i="32" s="1"/>
  <c r="C48" i="32"/>
  <c r="W4" i="32" s="1"/>
  <c r="D48" i="32"/>
  <c r="W5" i="32" s="1"/>
  <c r="O28" i="32"/>
  <c r="V16" i="32" s="1"/>
  <c r="J42" i="19"/>
  <c r="K42" i="19" s="1"/>
  <c r="I43" i="19"/>
  <c r="H45" i="19"/>
  <c r="H46" i="19" s="1"/>
  <c r="H47" i="19" s="1"/>
  <c r="H48" i="19" s="1"/>
  <c r="H49" i="19" s="1"/>
  <c r="H50" i="19" s="1"/>
  <c r="H51" i="19" s="1"/>
  <c r="H52" i="19" s="1"/>
  <c r="H53" i="19" s="1"/>
  <c r="F15" i="15"/>
  <c r="B9" i="4"/>
  <c r="B5" i="4" s="1"/>
  <c r="F47" i="15"/>
  <c r="AA34" i="21"/>
  <c r="F28" i="15"/>
  <c r="AA42" i="21"/>
  <c r="F48" i="15"/>
  <c r="O7" i="14"/>
  <c r="I48" i="32"/>
  <c r="W10" i="32" s="1"/>
  <c r="Q48" i="32"/>
  <c r="W18" i="32" s="1"/>
  <c r="E88" i="32"/>
  <c r="Y6" i="32" s="1"/>
  <c r="B108" i="32"/>
  <c r="Z3" i="32" s="1"/>
  <c r="N108" i="32"/>
  <c r="Z15" i="32" s="1"/>
  <c r="H128" i="32"/>
  <c r="AA9" i="32" s="1"/>
  <c r="B148" i="32"/>
  <c r="AB3" i="32" s="1"/>
  <c r="N148" i="32"/>
  <c r="AB15" i="32" s="1"/>
  <c r="F17" i="15"/>
  <c r="F23" i="15" s="1"/>
  <c r="B16" i="4" s="1"/>
  <c r="C16" i="4" s="1"/>
  <c r="D16" i="4" s="1"/>
  <c r="E16" i="4" s="1"/>
  <c r="F16" i="4" s="1"/>
  <c r="G16" i="4" s="1"/>
  <c r="H16" i="4" s="1"/>
  <c r="I16" i="4" s="1"/>
  <c r="J16" i="4" s="1"/>
  <c r="K16" i="4" s="1"/>
  <c r="L16" i="4" s="1"/>
  <c r="M16" i="4" s="1"/>
  <c r="N16" i="4" s="1"/>
  <c r="O16" i="4" s="1"/>
  <c r="P16" i="4" s="1"/>
  <c r="Q16" i="4" s="1"/>
  <c r="AF88" i="21"/>
  <c r="J14" i="21" s="1"/>
  <c r="M14" i="21" s="1"/>
  <c r="D28" i="32"/>
  <c r="V5" i="32" s="1"/>
  <c r="C108" i="32"/>
  <c r="Z4" i="32" s="1"/>
  <c r="I128" i="32"/>
  <c r="AA10" i="32" s="1"/>
  <c r="C148" i="32"/>
  <c r="AB4" i="32" s="1"/>
  <c r="E188" i="32"/>
  <c r="AD6" i="32" s="1"/>
  <c r="AF74" i="21"/>
  <c r="J13" i="21" s="1"/>
  <c r="M13" i="21" s="1"/>
  <c r="M18" i="21" s="1"/>
  <c r="B68" i="4" s="1"/>
  <c r="C68" i="4" s="1"/>
  <c r="D68" i="4" s="1"/>
  <c r="E68" i="4" s="1"/>
  <c r="F68" i="4" s="1"/>
  <c r="G68" i="4" s="1"/>
  <c r="H68" i="4" s="1"/>
  <c r="I68" i="4" s="1"/>
  <c r="J68" i="4" s="1"/>
  <c r="K68" i="4" s="1"/>
  <c r="L68" i="4" s="1"/>
  <c r="M68" i="4" s="1"/>
  <c r="N68" i="4" s="1"/>
  <c r="O68" i="4" s="1"/>
  <c r="P68" i="4" s="1"/>
  <c r="Q68" i="4" s="1"/>
  <c r="A16" i="23"/>
  <c r="A18" i="23" s="1"/>
  <c r="E28" i="32"/>
  <c r="V6" i="32" s="1"/>
  <c r="D108" i="32"/>
  <c r="Z5" i="32" s="1"/>
  <c r="J128" i="32"/>
  <c r="AA11" i="32" s="1"/>
  <c r="D148" i="32"/>
  <c r="AB5" i="32" s="1"/>
  <c r="F188" i="32"/>
  <c r="AD7" i="32" s="1"/>
  <c r="C58" i="31"/>
  <c r="F28" i="32"/>
  <c r="V7" i="32" s="1"/>
  <c r="E108" i="32"/>
  <c r="Z6" i="32" s="1"/>
  <c r="K128" i="32"/>
  <c r="AA12" i="32" s="1"/>
  <c r="E148" i="32"/>
  <c r="AB6" i="32" s="1"/>
  <c r="K168" i="32"/>
  <c r="AC12" i="32" s="1"/>
  <c r="AA50" i="21"/>
  <c r="Y60" i="21"/>
  <c r="AA51" i="21" s="1"/>
  <c r="Y117" i="21"/>
  <c r="J15" i="21" s="1"/>
  <c r="M15" i="21" s="1"/>
  <c r="B67" i="4" s="1"/>
  <c r="C67" i="4" s="1"/>
  <c r="D67" i="4" s="1"/>
  <c r="E67" i="4" s="1"/>
  <c r="F67" i="4" s="1"/>
  <c r="G67" i="4" s="1"/>
  <c r="H67" i="4" s="1"/>
  <c r="I67" i="4" s="1"/>
  <c r="J67" i="4" s="1"/>
  <c r="K67" i="4" s="1"/>
  <c r="L67" i="4" s="1"/>
  <c r="M67" i="4" s="1"/>
  <c r="N67" i="4" s="1"/>
  <c r="O67" i="4" s="1"/>
  <c r="P67" i="4" s="1"/>
  <c r="Q67" i="4" s="1"/>
  <c r="F19" i="15"/>
  <c r="E58" i="31"/>
  <c r="B8" i="27"/>
  <c r="B13" i="27" s="1"/>
  <c r="I28" i="32"/>
  <c r="V10" i="32" s="1"/>
  <c r="H108" i="32"/>
  <c r="Z9" i="32" s="1"/>
  <c r="B128" i="32"/>
  <c r="AA3" i="32" s="1"/>
  <c r="H148" i="32"/>
  <c r="AB9" i="32" s="1"/>
  <c r="N168" i="32"/>
  <c r="AC15" i="32" s="1"/>
  <c r="N41" i="19"/>
  <c r="F43" i="15"/>
  <c r="L41" i="19"/>
  <c r="B8" i="32"/>
  <c r="U3" i="32" s="1"/>
  <c r="J28" i="32"/>
  <c r="V11" i="32" s="1"/>
  <c r="F68" i="32"/>
  <c r="X7" i="32" s="1"/>
  <c r="I108" i="32"/>
  <c r="Z10" i="32" s="1"/>
  <c r="C128" i="32"/>
  <c r="AA4" i="32" s="1"/>
  <c r="I148" i="32"/>
  <c r="AB10" i="32" s="1"/>
  <c r="C168" i="32"/>
  <c r="AC4" i="32" s="1"/>
  <c r="O168" i="32"/>
  <c r="AC16" i="32" s="1"/>
  <c r="F14" i="15"/>
  <c r="F22" i="15" s="1"/>
  <c r="B19" i="4" s="1"/>
  <c r="C19" i="4" s="1"/>
  <c r="D19" i="4" s="1"/>
  <c r="E19" i="4" s="1"/>
  <c r="F19" i="4" s="1"/>
  <c r="G19" i="4" s="1"/>
  <c r="H19" i="4" s="1"/>
  <c r="I19" i="4" s="1"/>
  <c r="J19" i="4" s="1"/>
  <c r="K19" i="4" s="1"/>
  <c r="L19" i="4" s="1"/>
  <c r="M19" i="4" s="1"/>
  <c r="N19" i="4" s="1"/>
  <c r="O19" i="4" s="1"/>
  <c r="P19" i="4" s="1"/>
  <c r="Q19" i="4" s="1"/>
  <c r="F27" i="15"/>
  <c r="F33" i="15" s="1"/>
  <c r="B20" i="4" s="1"/>
  <c r="C20" i="4" s="1"/>
  <c r="D20" i="4" s="1"/>
  <c r="E20" i="4" s="1"/>
  <c r="F20" i="4" s="1"/>
  <c r="G20" i="4" s="1"/>
  <c r="H20" i="4" s="1"/>
  <c r="I20" i="4" s="1"/>
  <c r="J20" i="4" s="1"/>
  <c r="K20" i="4" s="1"/>
  <c r="L20" i="4" s="1"/>
  <c r="M20" i="4" s="1"/>
  <c r="N20" i="4" s="1"/>
  <c r="O20" i="4" s="1"/>
  <c r="P20" i="4" s="1"/>
  <c r="Q20" i="4" s="1"/>
  <c r="K28" i="32"/>
  <c r="V12" i="32" s="1"/>
  <c r="E48" i="32"/>
  <c r="W6" i="32" s="1"/>
  <c r="D128" i="32"/>
  <c r="AA5" i="32" s="1"/>
  <c r="J148" i="32"/>
  <c r="AB11" i="32" s="1"/>
  <c r="Q188" i="32"/>
  <c r="AD18" i="32" s="1"/>
  <c r="F21" i="15"/>
  <c r="B22" i="4" s="1"/>
  <c r="C22" i="4" s="1"/>
  <c r="D22" i="4" s="1"/>
  <c r="E22" i="4" s="1"/>
  <c r="F22" i="4" s="1"/>
  <c r="G22" i="4" s="1"/>
  <c r="H22" i="4" s="1"/>
  <c r="I22" i="4" s="1"/>
  <c r="J22" i="4" s="1"/>
  <c r="K22" i="4" s="1"/>
  <c r="L22" i="4" s="1"/>
  <c r="M22" i="4" s="1"/>
  <c r="N22" i="4" s="1"/>
  <c r="O22" i="4" s="1"/>
  <c r="P22" i="4" s="1"/>
  <c r="Q22" i="4" s="1"/>
  <c r="G58" i="31"/>
  <c r="L68" i="32"/>
  <c r="X13" i="32" s="1"/>
  <c r="L28" i="32"/>
  <c r="V13" i="32" s="1"/>
  <c r="F48" i="32"/>
  <c r="W7" i="32" s="1"/>
  <c r="E128" i="32"/>
  <c r="AA6" i="32" s="1"/>
  <c r="K148" i="32"/>
  <c r="AB12" i="32" s="1"/>
  <c r="E168" i="32"/>
  <c r="AC6" i="32" s="1"/>
  <c r="Q168" i="32"/>
  <c r="AC18" i="32" s="1"/>
  <c r="P188" i="32"/>
  <c r="AD17" i="32" s="1"/>
  <c r="L188" i="32"/>
  <c r="AD13" i="32" s="1"/>
  <c r="L148" i="32"/>
  <c r="AB13" i="32" s="1"/>
  <c r="N128" i="32"/>
  <c r="AA15" i="32" s="1"/>
  <c r="P28" i="32"/>
  <c r="V17" i="32" s="1"/>
  <c r="C28" i="32"/>
  <c r="V4" i="32" s="1"/>
  <c r="J8" i="32"/>
  <c r="U11" i="32" s="1"/>
  <c r="N7" i="14"/>
  <c r="E7" i="14"/>
  <c r="F59" i="31"/>
  <c r="B15" i="27"/>
  <c r="F79" i="4"/>
  <c r="F54" i="15"/>
  <c r="B25" i="4" s="1"/>
  <c r="C25" i="4" s="1"/>
  <c r="D25" i="4" s="1"/>
  <c r="E25" i="4" s="1"/>
  <c r="F25" i="4" s="1"/>
  <c r="G25" i="4" s="1"/>
  <c r="H25" i="4" s="1"/>
  <c r="I25" i="4" s="1"/>
  <c r="J25" i="4" s="1"/>
  <c r="K25" i="4" s="1"/>
  <c r="L25" i="4" s="1"/>
  <c r="M25" i="4" s="1"/>
  <c r="N25" i="4" s="1"/>
  <c r="O25" i="4" s="1"/>
  <c r="P25" i="4" s="1"/>
  <c r="Q25" i="4" s="1"/>
  <c r="F51" i="15"/>
  <c r="B24" i="4" s="1"/>
  <c r="C24" i="4" s="1"/>
  <c r="D24" i="4" s="1"/>
  <c r="E24" i="4" s="1"/>
  <c r="F24" i="4" s="1"/>
  <c r="G24" i="4" s="1"/>
  <c r="H24" i="4" s="1"/>
  <c r="I24" i="4" s="1"/>
  <c r="J24" i="4" s="1"/>
  <c r="K24" i="4" s="1"/>
  <c r="L24" i="4" s="1"/>
  <c r="M24" i="4" s="1"/>
  <c r="N24" i="4" s="1"/>
  <c r="O24" i="4" s="1"/>
  <c r="P24" i="4" s="1"/>
  <c r="Q24" i="4" s="1"/>
  <c r="L91" i="4"/>
  <c r="L88" i="4" s="1"/>
  <c r="M7" i="14"/>
  <c r="H54" i="19"/>
  <c r="G91" i="4"/>
  <c r="G88" i="4" s="1"/>
  <c r="H7" i="14"/>
  <c r="E43" i="19"/>
  <c r="L42" i="19"/>
  <c r="M42" i="19"/>
  <c r="F9" i="4"/>
  <c r="H47" i="4"/>
  <c r="AA94" i="21"/>
  <c r="AA100" i="21"/>
  <c r="AA92" i="21"/>
  <c r="AA96" i="21"/>
  <c r="AA93" i="21"/>
  <c r="AA99" i="21"/>
  <c r="F32" i="15"/>
  <c r="B23" i="4" s="1"/>
  <c r="C23" i="4" s="1"/>
  <c r="D23" i="4" s="1"/>
  <c r="E23" i="4" s="1"/>
  <c r="F23" i="4" s="1"/>
  <c r="G23" i="4" s="1"/>
  <c r="H23" i="4" s="1"/>
  <c r="I23" i="4" s="1"/>
  <c r="J23" i="4" s="1"/>
  <c r="K23" i="4" s="1"/>
  <c r="L23" i="4" s="1"/>
  <c r="M23" i="4" s="1"/>
  <c r="N23" i="4" s="1"/>
  <c r="O23" i="4" s="1"/>
  <c r="P23" i="4" s="1"/>
  <c r="Q23" i="4" s="1"/>
  <c r="P31" i="4"/>
  <c r="N31" i="4"/>
  <c r="L31" i="4"/>
  <c r="J31" i="4"/>
  <c r="H31" i="4"/>
  <c r="F31" i="4"/>
  <c r="D31" i="4"/>
  <c r="B31" i="4"/>
  <c r="I31" i="4"/>
  <c r="C31" i="4"/>
  <c r="M31" i="4"/>
  <c r="G31" i="4"/>
  <c r="K31" i="4"/>
  <c r="Q31" i="4"/>
  <c r="O31" i="4"/>
  <c r="E31" i="4"/>
  <c r="F52" i="15"/>
  <c r="B21" i="4" s="1"/>
  <c r="C21" i="4" s="1"/>
  <c r="D21" i="4" s="1"/>
  <c r="E21" i="4" s="1"/>
  <c r="F21" i="4" s="1"/>
  <c r="G21" i="4" s="1"/>
  <c r="H21" i="4" s="1"/>
  <c r="I21" i="4" s="1"/>
  <c r="J21" i="4" s="1"/>
  <c r="K21" i="4" s="1"/>
  <c r="L21" i="4" s="1"/>
  <c r="M21" i="4" s="1"/>
  <c r="N21" i="4" s="1"/>
  <c r="O21" i="4" s="1"/>
  <c r="P21" i="4" s="1"/>
  <c r="Q21" i="4" s="1"/>
  <c r="AA36" i="21"/>
  <c r="AA40" i="21"/>
  <c r="B65" i="4"/>
  <c r="C65" i="4" s="1"/>
  <c r="AA35" i="21"/>
  <c r="AA39" i="21"/>
  <c r="AA97" i="21"/>
  <c r="F30" i="15"/>
  <c r="F44" i="15"/>
  <c r="F53" i="15" s="1"/>
  <c r="B18" i="4" s="1"/>
  <c r="C18" i="4" s="1"/>
  <c r="D18" i="4" s="1"/>
  <c r="E18" i="4" s="1"/>
  <c r="F18" i="4" s="1"/>
  <c r="G18" i="4" s="1"/>
  <c r="H18" i="4" s="1"/>
  <c r="I18" i="4" s="1"/>
  <c r="J18" i="4" s="1"/>
  <c r="K18" i="4" s="1"/>
  <c r="L18" i="4" s="1"/>
  <c r="M18" i="4" s="1"/>
  <c r="N18" i="4" s="1"/>
  <c r="O18" i="4" s="1"/>
  <c r="P18" i="4" s="1"/>
  <c r="Q18" i="4" s="1"/>
  <c r="AF44" i="21"/>
  <c r="J9" i="21" s="1"/>
  <c r="M9" i="21" s="1"/>
  <c r="B71" i="4" s="1"/>
  <c r="C71" i="4" s="1"/>
  <c r="D71" i="4" s="1"/>
  <c r="E71" i="4" s="1"/>
  <c r="F71" i="4" s="1"/>
  <c r="G71" i="4" s="1"/>
  <c r="H71" i="4" s="1"/>
  <c r="I71" i="4" s="1"/>
  <c r="J71" i="4" s="1"/>
  <c r="K71" i="4" s="1"/>
  <c r="L71" i="4" s="1"/>
  <c r="M71" i="4" s="1"/>
  <c r="N71" i="4" s="1"/>
  <c r="O71" i="4" s="1"/>
  <c r="P71" i="4" s="1"/>
  <c r="Q71" i="4" s="1"/>
  <c r="AA95" i="21"/>
  <c r="Q7" i="14"/>
  <c r="P91" i="4"/>
  <c r="P88" i="4" s="1"/>
  <c r="AA54" i="21"/>
  <c r="Q30" i="4"/>
  <c r="O30" i="4"/>
  <c r="M30" i="4"/>
  <c r="K30" i="4"/>
  <c r="I30" i="4"/>
  <c r="G30" i="4"/>
  <c r="E30" i="4"/>
  <c r="C30" i="4"/>
  <c r="C41" i="4" s="1"/>
  <c r="C26" i="4" s="1"/>
  <c r="P30" i="4"/>
  <c r="L30" i="4"/>
  <c r="L41" i="4" s="1"/>
  <c r="L26" i="4" s="1"/>
  <c r="H30" i="4"/>
  <c r="D30" i="4"/>
  <c r="N30" i="4"/>
  <c r="B30" i="4"/>
  <c r="J30" i="4"/>
  <c r="F30" i="4"/>
  <c r="C27" i="29"/>
  <c r="C30" i="29" s="1"/>
  <c r="C32" i="29" s="1"/>
  <c r="C91" i="4"/>
  <c r="C88" i="4" s="1"/>
  <c r="D7" i="14"/>
  <c r="K91" i="4"/>
  <c r="K88" i="4" s="1"/>
  <c r="L7" i="14"/>
  <c r="D18" i="20"/>
  <c r="D10" i="4" s="1"/>
  <c r="D5" i="4" s="1"/>
  <c r="E16" i="20"/>
  <c r="F7" i="14"/>
  <c r="I91" i="4"/>
  <c r="I88" i="4" s="1"/>
  <c r="J7" i="14"/>
  <c r="P7" i="14"/>
  <c r="O91" i="4"/>
  <c r="O88" i="4" s="1"/>
  <c r="C18" i="20"/>
  <c r="C10" i="4" s="1"/>
  <c r="C5" i="4" s="1"/>
  <c r="H91" i="4"/>
  <c r="H88" i="4" s="1"/>
  <c r="C21" i="29"/>
  <c r="K7" i="14"/>
  <c r="G7" i="14"/>
  <c r="D58" i="31"/>
  <c r="F58" i="31"/>
  <c r="K8" i="32"/>
  <c r="U12" i="32" s="1"/>
  <c r="B188" i="32"/>
  <c r="AD3" i="32" s="1"/>
  <c r="D68" i="32"/>
  <c r="X5" i="32" s="1"/>
  <c r="B68" i="32"/>
  <c r="X3" i="32" s="1"/>
  <c r="M188" i="32"/>
  <c r="AD14" i="32" s="1"/>
  <c r="E68" i="32"/>
  <c r="X6" i="32" s="1"/>
  <c r="K68" i="32"/>
  <c r="X12" i="32" s="1"/>
  <c r="O108" i="32"/>
  <c r="Z16" i="32" s="1"/>
  <c r="F88" i="32"/>
  <c r="Y7" i="32" s="1"/>
  <c r="H88" i="32"/>
  <c r="Y9" i="32" s="1"/>
  <c r="I88" i="32"/>
  <c r="Y10" i="32" s="1"/>
  <c r="P88" i="32"/>
  <c r="Y17" i="32" s="1"/>
  <c r="B88" i="32"/>
  <c r="Y3" i="32" s="1"/>
  <c r="M88" i="32"/>
  <c r="Y14" i="32" s="1"/>
  <c r="G88" i="32"/>
  <c r="Y8" i="32" s="1"/>
  <c r="C68" i="32"/>
  <c r="X4" i="32" s="1"/>
  <c r="G68" i="32"/>
  <c r="X8" i="32" s="1"/>
  <c r="H68" i="32"/>
  <c r="X9" i="32" s="1"/>
  <c r="O68" i="32"/>
  <c r="X16" i="32" s="1"/>
  <c r="Q68" i="32"/>
  <c r="X18" i="32" s="1"/>
  <c r="P68" i="32"/>
  <c r="X17" i="32" s="1"/>
  <c r="I68" i="32"/>
  <c r="X10" i="32" s="1"/>
  <c r="N68" i="32"/>
  <c r="X15" i="32" s="1"/>
  <c r="J68" i="32"/>
  <c r="X11" i="32" s="1"/>
  <c r="L88" i="32"/>
  <c r="Y13" i="32" s="1"/>
  <c r="Q88" i="32"/>
  <c r="Y18" i="32" s="1"/>
  <c r="N88" i="32"/>
  <c r="Y15" i="32" s="1"/>
  <c r="O88" i="32"/>
  <c r="Y16" i="32" s="1"/>
  <c r="M71" i="32"/>
  <c r="M68" i="32" s="1"/>
  <c r="X14" i="32" s="1"/>
  <c r="J90" i="32"/>
  <c r="J88" i="32" s="1"/>
  <c r="Y11" i="32" s="1"/>
  <c r="K91" i="32"/>
  <c r="K88" i="32" s="1"/>
  <c r="C8" i="32"/>
  <c r="F8" i="32"/>
  <c r="E8" i="32"/>
  <c r="P8" i="32"/>
  <c r="I8" i="32"/>
  <c r="U10" i="32" s="1"/>
  <c r="L8" i="32"/>
  <c r="N8" i="32"/>
  <c r="H8" i="32"/>
  <c r="U9" i="32" s="1"/>
  <c r="Q8" i="32"/>
  <c r="U18" i="32" s="1"/>
  <c r="D8" i="32"/>
  <c r="G8" i="32"/>
  <c r="O8" i="32"/>
  <c r="U16" i="32" s="1"/>
  <c r="M8" i="32"/>
  <c r="N42" i="19" l="1"/>
  <c r="F34" i="15"/>
  <c r="B17" i="4" s="1"/>
  <c r="C17" i="4" s="1"/>
  <c r="C27" i="4" s="1"/>
  <c r="M23" i="21"/>
  <c r="B74" i="4" s="1"/>
  <c r="C74" i="4" s="1"/>
  <c r="D74" i="4" s="1"/>
  <c r="E74" i="4" s="1"/>
  <c r="F74" i="4" s="1"/>
  <c r="G74" i="4" s="1"/>
  <c r="H74" i="4" s="1"/>
  <c r="I74" i="4" s="1"/>
  <c r="J74" i="4" s="1"/>
  <c r="K74" i="4" s="1"/>
  <c r="L74" i="4" s="1"/>
  <c r="M74" i="4" s="1"/>
  <c r="N74" i="4" s="1"/>
  <c r="O74" i="4" s="1"/>
  <c r="P74" i="4" s="1"/>
  <c r="Q74" i="4" s="1"/>
  <c r="M11" i="21"/>
  <c r="B73" i="4" s="1"/>
  <c r="C73" i="4" s="1"/>
  <c r="D73" i="4" s="1"/>
  <c r="E73" i="4" s="1"/>
  <c r="F73" i="4" s="1"/>
  <c r="G73" i="4" s="1"/>
  <c r="H73" i="4" s="1"/>
  <c r="I73" i="4" s="1"/>
  <c r="J73" i="4" s="1"/>
  <c r="K73" i="4" s="1"/>
  <c r="L73" i="4" s="1"/>
  <c r="M73" i="4" s="1"/>
  <c r="N73" i="4" s="1"/>
  <c r="O73" i="4" s="1"/>
  <c r="P73" i="4" s="1"/>
  <c r="Q73" i="4" s="1"/>
  <c r="M20" i="21"/>
  <c r="B70" i="4" s="1"/>
  <c r="C70" i="4" s="1"/>
  <c r="D70" i="4" s="1"/>
  <c r="E70" i="4" s="1"/>
  <c r="F70" i="4" s="1"/>
  <c r="G70" i="4" s="1"/>
  <c r="H70" i="4" s="1"/>
  <c r="I70" i="4" s="1"/>
  <c r="J70" i="4" s="1"/>
  <c r="K70" i="4" s="1"/>
  <c r="L70" i="4" s="1"/>
  <c r="M70" i="4" s="1"/>
  <c r="N70" i="4" s="1"/>
  <c r="O70" i="4" s="1"/>
  <c r="P70" i="4" s="1"/>
  <c r="Q70" i="4" s="1"/>
  <c r="O41" i="4"/>
  <c r="O26" i="4" s="1"/>
  <c r="AE3" i="32"/>
  <c r="F3" i="32"/>
  <c r="F95" i="4" s="1"/>
  <c r="C13" i="17" s="1"/>
  <c r="C6" i="32"/>
  <c r="B5" i="32"/>
  <c r="D5" i="32"/>
  <c r="F41" i="4"/>
  <c r="F26" i="4" s="1"/>
  <c r="B17" i="27"/>
  <c r="B18" i="27" s="1"/>
  <c r="AA53" i="21"/>
  <c r="AA49" i="21"/>
  <c r="AA52" i="21"/>
  <c r="AA56" i="21"/>
  <c r="AA55" i="21"/>
  <c r="AA57" i="21"/>
  <c r="G41" i="4"/>
  <c r="G26" i="4" s="1"/>
  <c r="B11" i="27"/>
  <c r="B12" i="26" s="1"/>
  <c r="C12" i="26" s="1"/>
  <c r="D12" i="26" s="1"/>
  <c r="E12" i="26" s="1"/>
  <c r="F12" i="26" s="1"/>
  <c r="G12" i="26" s="1"/>
  <c r="H12" i="26" s="1"/>
  <c r="I12" i="26" s="1"/>
  <c r="J12" i="26" s="1"/>
  <c r="K12" i="26" s="1"/>
  <c r="L12" i="26" s="1"/>
  <c r="M12" i="26" s="1"/>
  <c r="N12" i="26" s="1"/>
  <c r="O12" i="26" s="1"/>
  <c r="B80" i="4"/>
  <c r="A19" i="23"/>
  <c r="B41" i="4"/>
  <c r="B26" i="4" s="1"/>
  <c r="B66" i="4"/>
  <c r="C66" i="4" s="1"/>
  <c r="D66" i="4" s="1"/>
  <c r="E66" i="4" s="1"/>
  <c r="F66" i="4" s="1"/>
  <c r="G66" i="4" s="1"/>
  <c r="H66" i="4" s="1"/>
  <c r="I66" i="4" s="1"/>
  <c r="J66" i="4" s="1"/>
  <c r="K66" i="4" s="1"/>
  <c r="L66" i="4" s="1"/>
  <c r="M66" i="4" s="1"/>
  <c r="N66" i="4" s="1"/>
  <c r="O66" i="4" s="1"/>
  <c r="P66" i="4" s="1"/>
  <c r="Q66" i="4" s="1"/>
  <c r="H41" i="4"/>
  <c r="H26" i="4" s="1"/>
  <c r="I44" i="19"/>
  <c r="J43" i="19"/>
  <c r="K43" i="19" s="1"/>
  <c r="B3" i="32"/>
  <c r="B95" i="4" s="1"/>
  <c r="G6" i="32"/>
  <c r="E4" i="32"/>
  <c r="P4" i="32"/>
  <c r="D6" i="32"/>
  <c r="F5" i="32"/>
  <c r="U7" i="32"/>
  <c r="AE7" i="32" s="1"/>
  <c r="F4" i="32"/>
  <c r="E5" i="32"/>
  <c r="U4" i="32"/>
  <c r="AE4" i="32" s="1"/>
  <c r="U6" i="32"/>
  <c r="AE6" i="32" s="1"/>
  <c r="D41" i="4"/>
  <c r="D26" i="4" s="1"/>
  <c r="J41" i="4"/>
  <c r="J26" i="4" s="1"/>
  <c r="E41" i="4"/>
  <c r="E26" i="4" s="1"/>
  <c r="M41" i="4"/>
  <c r="M26" i="4" s="1"/>
  <c r="E18" i="20"/>
  <c r="E10" i="4" s="1"/>
  <c r="E5" i="4" s="1"/>
  <c r="F16" i="20"/>
  <c r="D65" i="4"/>
  <c r="I47" i="4"/>
  <c r="H55" i="19"/>
  <c r="C5" i="32"/>
  <c r="C4" i="32"/>
  <c r="B6" i="32"/>
  <c r="U17" i="32"/>
  <c r="F6" i="32"/>
  <c r="N41" i="4"/>
  <c r="N26" i="4" s="1"/>
  <c r="P41" i="4"/>
  <c r="P26" i="4" s="1"/>
  <c r="I41" i="4"/>
  <c r="I26" i="4" s="1"/>
  <c r="Q41" i="4"/>
  <c r="Q26" i="4" s="1"/>
  <c r="M19" i="21"/>
  <c r="B69" i="4" s="1"/>
  <c r="C69" i="4" s="1"/>
  <c r="D69" i="4" s="1"/>
  <c r="E69" i="4" s="1"/>
  <c r="F69" i="4" s="1"/>
  <c r="G69" i="4" s="1"/>
  <c r="H69" i="4" s="1"/>
  <c r="I69" i="4" s="1"/>
  <c r="J69" i="4" s="1"/>
  <c r="K69" i="4" s="1"/>
  <c r="L69" i="4" s="1"/>
  <c r="M69" i="4" s="1"/>
  <c r="N69" i="4" s="1"/>
  <c r="O69" i="4" s="1"/>
  <c r="P69" i="4" s="1"/>
  <c r="Q69" i="4" s="1"/>
  <c r="M10" i="21"/>
  <c r="B72" i="4" s="1"/>
  <c r="C72" i="4" s="1"/>
  <c r="D72" i="4" s="1"/>
  <c r="E72" i="4" s="1"/>
  <c r="F72" i="4" s="1"/>
  <c r="G72" i="4" s="1"/>
  <c r="H72" i="4" s="1"/>
  <c r="I72" i="4" s="1"/>
  <c r="J72" i="4" s="1"/>
  <c r="K72" i="4" s="1"/>
  <c r="L72" i="4" s="1"/>
  <c r="M72" i="4" s="1"/>
  <c r="N72" i="4" s="1"/>
  <c r="O72" i="4" s="1"/>
  <c r="P72" i="4" s="1"/>
  <c r="Q72" i="4" s="1"/>
  <c r="G9" i="4"/>
  <c r="G79" i="4"/>
  <c r="C3" i="32"/>
  <c r="C95" i="4" s="1"/>
  <c r="K41" i="4"/>
  <c r="K26" i="4" s="1"/>
  <c r="E44" i="19"/>
  <c r="L43" i="19"/>
  <c r="M43" i="19"/>
  <c r="G3" i="32"/>
  <c r="G95" i="4" s="1"/>
  <c r="C14" i="17" s="1"/>
  <c r="AE10" i="32"/>
  <c r="B4" i="32"/>
  <c r="Q5" i="32"/>
  <c r="Y12" i="32"/>
  <c r="AE12" i="32" s="1"/>
  <c r="K3" i="32"/>
  <c r="K95" i="4" s="1"/>
  <c r="C18" i="17" s="1"/>
  <c r="N4" i="32"/>
  <c r="AE17" i="32"/>
  <c r="P6" i="32"/>
  <c r="AE18" i="32"/>
  <c r="AE9" i="32"/>
  <c r="H3" i="32"/>
  <c r="H95" i="4" s="1"/>
  <c r="C15" i="17" s="1"/>
  <c r="O5" i="32"/>
  <c r="P5" i="32"/>
  <c r="H6" i="32"/>
  <c r="N5" i="32"/>
  <c r="AE11" i="32"/>
  <c r="J6" i="32"/>
  <c r="AE16" i="32"/>
  <c r="K6" i="32"/>
  <c r="O3" i="32"/>
  <c r="O95" i="4" s="1"/>
  <c r="C22" i="17" s="1"/>
  <c r="K4" i="32"/>
  <c r="J4" i="32"/>
  <c r="J3" i="32"/>
  <c r="J95" i="4" s="1"/>
  <c r="J5" i="32"/>
  <c r="K5" i="32"/>
  <c r="G4" i="32"/>
  <c r="I4" i="32"/>
  <c r="U8" i="32"/>
  <c r="AE8" i="32" s="1"/>
  <c r="P3" i="32"/>
  <c r="P95" i="4" s="1"/>
  <c r="C23" i="17" s="1"/>
  <c r="I5" i="32"/>
  <c r="D4" i="32"/>
  <c r="H4" i="32"/>
  <c r="I3" i="32"/>
  <c r="I95" i="4" s="1"/>
  <c r="I6" i="32"/>
  <c r="G5" i="32"/>
  <c r="E6" i="32"/>
  <c r="H5" i="32"/>
  <c r="E3" i="32"/>
  <c r="E95" i="4" s="1"/>
  <c r="C12" i="17" s="1"/>
  <c r="Q3" i="32"/>
  <c r="Q95" i="4" s="1"/>
  <c r="N3" i="32"/>
  <c r="N95" i="4" s="1"/>
  <c r="N6" i="32"/>
  <c r="D3" i="32"/>
  <c r="D95" i="4" s="1"/>
  <c r="U15" i="32"/>
  <c r="AE15" i="32" s="1"/>
  <c r="L5" i="32"/>
  <c r="U13" i="32"/>
  <c r="AE13" i="32" s="1"/>
  <c r="L4" i="32"/>
  <c r="L3" i="32"/>
  <c r="L95" i="4" s="1"/>
  <c r="L6" i="32"/>
  <c r="Q6" i="32"/>
  <c r="O6" i="32"/>
  <c r="O4" i="32"/>
  <c r="Q4" i="32"/>
  <c r="U5" i="32"/>
  <c r="AE5" i="32" s="1"/>
  <c r="M5" i="32"/>
  <c r="M4" i="32"/>
  <c r="M3" i="32"/>
  <c r="M95" i="4" s="1"/>
  <c r="U14" i="32"/>
  <c r="AE14" i="32" s="1"/>
  <c r="M6" i="32"/>
  <c r="D17" i="4" l="1"/>
  <c r="I45" i="19"/>
  <c r="J44" i="19"/>
  <c r="K44" i="19" s="1"/>
  <c r="C80" i="4"/>
  <c r="B77" i="4"/>
  <c r="N43" i="19"/>
  <c r="C10" i="17"/>
  <c r="E65" i="4"/>
  <c r="D75" i="4"/>
  <c r="E10" i="17"/>
  <c r="B10" i="26"/>
  <c r="J47" i="4"/>
  <c r="F18" i="20"/>
  <c r="F10" i="4" s="1"/>
  <c r="F5" i="4" s="1"/>
  <c r="G16" i="20"/>
  <c r="H79" i="4"/>
  <c r="E17" i="4"/>
  <c r="D27" i="4"/>
  <c r="H56" i="19"/>
  <c r="L44" i="19"/>
  <c r="M44" i="19"/>
  <c r="N44" i="19" s="1"/>
  <c r="E45" i="19"/>
  <c r="H9" i="4"/>
  <c r="C75" i="4"/>
  <c r="C11" i="17"/>
  <c r="C17" i="17"/>
  <c r="C16" i="17"/>
  <c r="C21" i="17"/>
  <c r="C19" i="17"/>
  <c r="C20" i="17"/>
  <c r="D80" i="4" l="1"/>
  <c r="C77" i="4"/>
  <c r="C97" i="4" s="1"/>
  <c r="I46" i="19"/>
  <c r="J45" i="19"/>
  <c r="K45" i="19" s="1"/>
  <c r="F65" i="4"/>
  <c r="E75" i="4"/>
  <c r="B9" i="26"/>
  <c r="D10" i="17"/>
  <c r="I79" i="4"/>
  <c r="C9" i="26"/>
  <c r="D11" i="17"/>
  <c r="C10" i="26"/>
  <c r="E11" i="17"/>
  <c r="I9" i="4"/>
  <c r="F17" i="4"/>
  <c r="E27" i="4"/>
  <c r="K47" i="4"/>
  <c r="E46" i="19"/>
  <c r="L45" i="19"/>
  <c r="M45" i="19"/>
  <c r="N45" i="19" s="1"/>
  <c r="H57" i="19"/>
  <c r="H16" i="20"/>
  <c r="G18" i="20"/>
  <c r="G10" i="4" s="1"/>
  <c r="G5" i="4" s="1"/>
  <c r="I47" i="19" l="1"/>
  <c r="J46" i="19"/>
  <c r="K46" i="19" s="1"/>
  <c r="B6" i="26"/>
  <c r="B15" i="26" s="1"/>
  <c r="B10" i="17"/>
  <c r="E80" i="4"/>
  <c r="D77" i="4"/>
  <c r="D97" i="4" s="1"/>
  <c r="H58" i="19"/>
  <c r="L46" i="19"/>
  <c r="E47" i="19"/>
  <c r="M46" i="19"/>
  <c r="N46" i="19" s="1"/>
  <c r="L47" i="4"/>
  <c r="J9" i="4"/>
  <c r="E12" i="17"/>
  <c r="D10" i="26"/>
  <c r="G65" i="4"/>
  <c r="F75" i="4"/>
  <c r="H18" i="20"/>
  <c r="H10" i="4" s="1"/>
  <c r="H5" i="4" s="1"/>
  <c r="I16" i="20"/>
  <c r="G17" i="4"/>
  <c r="F27" i="4"/>
  <c r="J79" i="4"/>
  <c r="D9" i="26"/>
  <c r="D12" i="17"/>
  <c r="C6" i="26" l="1"/>
  <c r="B11" i="17"/>
  <c r="F80" i="4"/>
  <c r="E77" i="4"/>
  <c r="E97" i="4" s="1"/>
  <c r="C40" i="31"/>
  <c r="I48" i="19"/>
  <c r="J47" i="19"/>
  <c r="K47" i="19" s="1"/>
  <c r="B14" i="26"/>
  <c r="K79" i="4"/>
  <c r="H65" i="4"/>
  <c r="G75" i="4"/>
  <c r="K9" i="4"/>
  <c r="E10" i="26"/>
  <c r="E13" i="17"/>
  <c r="I18" i="20"/>
  <c r="I10" i="4" s="1"/>
  <c r="I5" i="4" s="1"/>
  <c r="J16" i="20"/>
  <c r="H59" i="19"/>
  <c r="H17" i="4"/>
  <c r="G27" i="4"/>
  <c r="M47" i="4"/>
  <c r="M47" i="19"/>
  <c r="N47" i="19" s="1"/>
  <c r="E48" i="19"/>
  <c r="L47" i="19"/>
  <c r="D13" i="17"/>
  <c r="E9" i="26"/>
  <c r="C15" i="26" l="1"/>
  <c r="C14" i="26"/>
  <c r="I49" i="19"/>
  <c r="J48" i="19"/>
  <c r="K48" i="19" s="1"/>
  <c r="C39" i="31"/>
  <c r="C55" i="31" s="1"/>
  <c r="C57" i="31"/>
  <c r="D6" i="26"/>
  <c r="B12" i="17"/>
  <c r="G80" i="4"/>
  <c r="F77" i="4"/>
  <c r="F97" i="4" s="1"/>
  <c r="I17" i="4"/>
  <c r="H27" i="4"/>
  <c r="I65" i="4"/>
  <c r="H75" i="4"/>
  <c r="H60" i="19"/>
  <c r="L48" i="19"/>
  <c r="M48" i="19"/>
  <c r="E49" i="19"/>
  <c r="N47" i="4"/>
  <c r="L79" i="4"/>
  <c r="J18" i="20"/>
  <c r="J10" i="4" s="1"/>
  <c r="J5" i="4" s="1"/>
  <c r="K16" i="20"/>
  <c r="L9" i="4"/>
  <c r="E14" i="17"/>
  <c r="F10" i="26"/>
  <c r="F9" i="26"/>
  <c r="D14" i="17"/>
  <c r="N48" i="19" l="1"/>
  <c r="H80" i="4"/>
  <c r="G77" i="4"/>
  <c r="G97" i="4" s="1"/>
  <c r="D15" i="26"/>
  <c r="D14" i="26"/>
  <c r="B13" i="17"/>
  <c r="E6" i="26"/>
  <c r="C64" i="31"/>
  <c r="C62" i="31"/>
  <c r="C63" i="31"/>
  <c r="C60" i="31"/>
  <c r="C61" i="31"/>
  <c r="I50" i="19"/>
  <c r="J49" i="19"/>
  <c r="K49" i="19" s="1"/>
  <c r="D40" i="31"/>
  <c r="O47" i="4"/>
  <c r="G9" i="26"/>
  <c r="D15" i="17"/>
  <c r="M79" i="4"/>
  <c r="M49" i="19"/>
  <c r="N49" i="19" s="1"/>
  <c r="L49" i="19"/>
  <c r="E50" i="19"/>
  <c r="J65" i="4"/>
  <c r="I75" i="4"/>
  <c r="J17" i="4"/>
  <c r="I27" i="4"/>
  <c r="M9" i="4"/>
  <c r="H61" i="19"/>
  <c r="G10" i="26"/>
  <c r="E15" i="17"/>
  <c r="L16" i="20"/>
  <c r="K18" i="20"/>
  <c r="K10" i="4" s="1"/>
  <c r="K5" i="4" s="1"/>
  <c r="C66" i="31" l="1"/>
  <c r="C67" i="31" s="1"/>
  <c r="C68" i="31" s="1"/>
  <c r="E15" i="26"/>
  <c r="E14" i="26"/>
  <c r="I51" i="19"/>
  <c r="J50" i="19"/>
  <c r="K50" i="19" s="1"/>
  <c r="D57" i="31"/>
  <c r="D39" i="31"/>
  <c r="D55" i="31" s="1"/>
  <c r="E40" i="31"/>
  <c r="I80" i="4"/>
  <c r="H77" i="4"/>
  <c r="H97" i="4" s="1"/>
  <c r="B14" i="17"/>
  <c r="F6" i="26"/>
  <c r="E16" i="17"/>
  <c r="H10" i="26"/>
  <c r="N79" i="4"/>
  <c r="K17" i="4"/>
  <c r="J27" i="4"/>
  <c r="N9" i="4"/>
  <c r="H9" i="26"/>
  <c r="D16" i="17"/>
  <c r="L50" i="19"/>
  <c r="M50" i="19"/>
  <c r="E51" i="19"/>
  <c r="P47" i="4"/>
  <c r="H62" i="19"/>
  <c r="L18" i="20"/>
  <c r="L10" i="4" s="1"/>
  <c r="L5" i="4" s="1"/>
  <c r="M16" i="20"/>
  <c r="K65" i="4"/>
  <c r="J75" i="4"/>
  <c r="N50" i="19" l="1"/>
  <c r="J80" i="4"/>
  <c r="I77" i="4"/>
  <c r="I97" i="4" s="1"/>
  <c r="E39" i="31"/>
  <c r="E55" i="31" s="1"/>
  <c r="E57" i="31"/>
  <c r="D60" i="31"/>
  <c r="D64" i="31"/>
  <c r="D62" i="31"/>
  <c r="D61" i="31"/>
  <c r="D63" i="31"/>
  <c r="I52" i="19"/>
  <c r="J51" i="19"/>
  <c r="K51" i="19" s="1"/>
  <c r="F40" i="31"/>
  <c r="G6" i="26"/>
  <c r="B15" i="17"/>
  <c r="F15" i="26"/>
  <c r="F14" i="26"/>
  <c r="L17" i="4"/>
  <c r="K27" i="4"/>
  <c r="M51" i="19"/>
  <c r="N51" i="19" s="1"/>
  <c r="L51" i="19"/>
  <c r="E52" i="19"/>
  <c r="D17" i="17"/>
  <c r="I9" i="26"/>
  <c r="M18" i="20"/>
  <c r="M10" i="4" s="1"/>
  <c r="M5" i="4" s="1"/>
  <c r="N16" i="20"/>
  <c r="H63" i="19"/>
  <c r="Q47" i="4"/>
  <c r="L65" i="4"/>
  <c r="K75" i="4"/>
  <c r="O9" i="4"/>
  <c r="E17" i="17"/>
  <c r="I10" i="26"/>
  <c r="O79" i="4"/>
  <c r="D66" i="31" l="1"/>
  <c r="D67" i="31" s="1"/>
  <c r="D68" i="31" s="1"/>
  <c r="I53" i="19"/>
  <c r="J52" i="19"/>
  <c r="K52" i="19" s="1"/>
  <c r="G40" i="31"/>
  <c r="G15" i="26"/>
  <c r="G14" i="26"/>
  <c r="E60" i="31"/>
  <c r="E61" i="31"/>
  <c r="E63" i="31"/>
  <c r="E62" i="31"/>
  <c r="E64" i="31"/>
  <c r="B16" i="17"/>
  <c r="H6" i="26"/>
  <c r="F57" i="31"/>
  <c r="F39" i="31"/>
  <c r="F55" i="31" s="1"/>
  <c r="K80" i="4"/>
  <c r="J77" i="4"/>
  <c r="J97" i="4" s="1"/>
  <c r="H64" i="19"/>
  <c r="E18" i="17"/>
  <c r="J10" i="26"/>
  <c r="P79" i="4"/>
  <c r="P9" i="4"/>
  <c r="E53" i="19"/>
  <c r="M52" i="19"/>
  <c r="N52" i="19" s="1"/>
  <c r="L52" i="19"/>
  <c r="D18" i="17"/>
  <c r="J9" i="26"/>
  <c r="M65" i="4"/>
  <c r="L75" i="4"/>
  <c r="N18" i="20"/>
  <c r="N10" i="4" s="1"/>
  <c r="N5" i="4" s="1"/>
  <c r="O16" i="20"/>
  <c r="M17" i="4"/>
  <c r="L27" i="4"/>
  <c r="E66" i="31" l="1"/>
  <c r="E67" i="31" s="1"/>
  <c r="E68" i="31" s="1"/>
  <c r="I6" i="26"/>
  <c r="B17" i="17"/>
  <c r="H40" i="31"/>
  <c r="L80" i="4"/>
  <c r="K77" i="4"/>
  <c r="K97" i="4" s="1"/>
  <c r="G57" i="31"/>
  <c r="G39" i="31"/>
  <c r="G55" i="31" s="1"/>
  <c r="F60" i="31"/>
  <c r="F63" i="31"/>
  <c r="F64" i="31"/>
  <c r="F62" i="31"/>
  <c r="F61" i="31"/>
  <c r="H15" i="26"/>
  <c r="H14" i="26"/>
  <c r="J53" i="19"/>
  <c r="K53" i="19" s="1"/>
  <c r="I54" i="19"/>
  <c r="K9" i="26"/>
  <c r="D19" i="17"/>
  <c r="Q79" i="4"/>
  <c r="H65" i="19"/>
  <c r="N17" i="4"/>
  <c r="M27" i="4"/>
  <c r="N65" i="4"/>
  <c r="M75" i="4"/>
  <c r="L53" i="19"/>
  <c r="M53" i="19"/>
  <c r="N53" i="19" s="1"/>
  <c r="E54" i="19"/>
  <c r="Q9" i="4"/>
  <c r="E19" i="17"/>
  <c r="K10" i="26"/>
  <c r="P16" i="20"/>
  <c r="O18" i="20"/>
  <c r="O10" i="4" s="1"/>
  <c r="O5" i="4" s="1"/>
  <c r="F66" i="31" l="1"/>
  <c r="F67" i="31" s="1"/>
  <c r="F68" i="31" s="1"/>
  <c r="G61" i="31"/>
  <c r="G60" i="31"/>
  <c r="G63" i="31"/>
  <c r="G64" i="31"/>
  <c r="G62" i="31"/>
  <c r="J54" i="19"/>
  <c r="K54" i="19" s="1"/>
  <c r="I55" i="19"/>
  <c r="J6" i="26"/>
  <c r="B18" i="17"/>
  <c r="M80" i="4"/>
  <c r="L77" i="4"/>
  <c r="L97" i="4" s="1"/>
  <c r="H39" i="31"/>
  <c r="H55" i="31" s="1"/>
  <c r="H57" i="31"/>
  <c r="I15" i="26"/>
  <c r="I14" i="26"/>
  <c r="L9" i="26"/>
  <c r="D20" i="17"/>
  <c r="P18" i="20"/>
  <c r="P10" i="4" s="1"/>
  <c r="P5" i="4" s="1"/>
  <c r="Q16" i="20"/>
  <c r="Q18" i="20" s="1"/>
  <c r="Q10" i="4" s="1"/>
  <c r="Q5" i="4" s="1"/>
  <c r="L10" i="26"/>
  <c r="E20" i="17"/>
  <c r="O65" i="4"/>
  <c r="N75" i="4"/>
  <c r="H66" i="19"/>
  <c r="L54" i="19"/>
  <c r="M54" i="19"/>
  <c r="N54" i="19" s="1"/>
  <c r="E55" i="19"/>
  <c r="O17" i="4"/>
  <c r="N27" i="4"/>
  <c r="G66" i="31" l="1"/>
  <c r="G67" i="31" s="1"/>
  <c r="G68" i="31" s="1"/>
  <c r="I56" i="19"/>
  <c r="J55" i="19"/>
  <c r="K55" i="19" s="1"/>
  <c r="J15" i="26"/>
  <c r="J14" i="26"/>
  <c r="N80" i="4"/>
  <c r="M77" i="4"/>
  <c r="M97" i="4" s="1"/>
  <c r="H64" i="31"/>
  <c r="H63" i="31"/>
  <c r="H62" i="31"/>
  <c r="H61" i="31"/>
  <c r="H60" i="31"/>
  <c r="K6" i="26"/>
  <c r="B19" i="17"/>
  <c r="H67" i="19"/>
  <c r="M10" i="26"/>
  <c r="E21" i="17"/>
  <c r="E56" i="19"/>
  <c r="M55" i="19"/>
  <c r="N55" i="19" s="1"/>
  <c r="L55" i="19"/>
  <c r="P17" i="4"/>
  <c r="O27" i="4"/>
  <c r="M9" i="26"/>
  <c r="D21" i="17"/>
  <c r="P65" i="4"/>
  <c r="O75" i="4"/>
  <c r="H66" i="31" l="1"/>
  <c r="H67" i="31" s="1"/>
  <c r="H68" i="31" s="1"/>
  <c r="B20" i="17"/>
  <c r="L6" i="26"/>
  <c r="O80" i="4"/>
  <c r="N77" i="4"/>
  <c r="N97" i="4" s="1"/>
  <c r="K15" i="26"/>
  <c r="K14" i="26"/>
  <c r="J56" i="19"/>
  <c r="K56" i="19" s="1"/>
  <c r="I57" i="19"/>
  <c r="N10" i="26"/>
  <c r="E22" i="17"/>
  <c r="D22" i="17"/>
  <c r="N9" i="26"/>
  <c r="Q65" i="4"/>
  <c r="P75" i="4"/>
  <c r="Q17" i="4"/>
  <c r="P27" i="4"/>
  <c r="L56" i="19"/>
  <c r="M56" i="19"/>
  <c r="N56" i="19" s="1"/>
  <c r="E57" i="19"/>
  <c r="H68" i="19"/>
  <c r="I58" i="19" l="1"/>
  <c r="J57" i="19"/>
  <c r="K57" i="19" s="1"/>
  <c r="M6" i="26"/>
  <c r="B21" i="17"/>
  <c r="P80" i="4"/>
  <c r="O77" i="4"/>
  <c r="O97" i="4" s="1"/>
  <c r="L15" i="26"/>
  <c r="L14" i="26"/>
  <c r="C38" i="29" s="1"/>
  <c r="H69" i="19"/>
  <c r="D23" i="17"/>
  <c r="O9" i="26"/>
  <c r="E23" i="17"/>
  <c r="O10" i="26"/>
  <c r="M57" i="19"/>
  <c r="L57" i="19"/>
  <c r="E58" i="19"/>
  <c r="N57" i="19" l="1"/>
  <c r="C53" i="29"/>
  <c r="C63" i="29" s="1"/>
  <c r="C52" i="29"/>
  <c r="C36" i="29"/>
  <c r="C55" i="29" s="1"/>
  <c r="M15" i="26"/>
  <c r="M14" i="26"/>
  <c r="B22" i="17"/>
  <c r="N6" i="26"/>
  <c r="Q80" i="4"/>
  <c r="Q77" i="4" s="1"/>
  <c r="P77" i="4"/>
  <c r="P97" i="4" s="1"/>
  <c r="I59" i="19"/>
  <c r="J58" i="19"/>
  <c r="K58" i="19" s="1"/>
  <c r="M58" i="19"/>
  <c r="E59" i="19"/>
  <c r="L58" i="19"/>
  <c r="N58" i="19" s="1"/>
  <c r="H70" i="19"/>
  <c r="N15" i="26" l="1"/>
  <c r="N14" i="26"/>
  <c r="I60" i="19"/>
  <c r="J59" i="19"/>
  <c r="K59" i="19" s="1"/>
  <c r="C62" i="29"/>
  <c r="C60" i="29"/>
  <c r="C61" i="29"/>
  <c r="C59" i="29"/>
  <c r="C58" i="29"/>
  <c r="O6" i="26"/>
  <c r="B23" i="17"/>
  <c r="E60" i="19"/>
  <c r="L59" i="19"/>
  <c r="M59" i="19"/>
  <c r="N59" i="19" s="1"/>
  <c r="H71" i="19"/>
  <c r="C67" i="29" l="1"/>
  <c r="C68" i="29" s="1"/>
  <c r="C69" i="29" s="1"/>
  <c r="O15" i="26"/>
  <c r="O14" i="26"/>
  <c r="C64" i="29"/>
  <c r="C65" i="29" s="1"/>
  <c r="C66" i="29" s="1"/>
  <c r="J60" i="19"/>
  <c r="K60" i="19" s="1"/>
  <c r="I61" i="19"/>
  <c r="H72" i="19"/>
  <c r="L60" i="19"/>
  <c r="M60" i="19"/>
  <c r="N60" i="19" s="1"/>
  <c r="E61" i="19"/>
  <c r="C71" i="29" l="1"/>
  <c r="J61" i="19"/>
  <c r="K61" i="19" s="1"/>
  <c r="I62" i="19"/>
  <c r="L61" i="19"/>
  <c r="M61" i="19"/>
  <c r="N61" i="19" s="1"/>
  <c r="E62" i="19"/>
  <c r="H73" i="19"/>
  <c r="I63" i="19" l="1"/>
  <c r="J62" i="19"/>
  <c r="K62" i="19" s="1"/>
  <c r="L62" i="19"/>
  <c r="M62" i="19"/>
  <c r="N62" i="19" s="1"/>
  <c r="E63" i="19"/>
  <c r="H74" i="19"/>
  <c r="I64" i="19" l="1"/>
  <c r="J63" i="19"/>
  <c r="K63" i="19" s="1"/>
  <c r="M63" i="19"/>
  <c r="E64" i="19"/>
  <c r="L63" i="19"/>
  <c r="H75" i="19"/>
  <c r="N63" i="19" l="1"/>
  <c r="J64" i="19"/>
  <c r="K64" i="19" s="1"/>
  <c r="I65" i="19"/>
  <c r="H76" i="19"/>
  <c r="M64" i="19"/>
  <c r="L64" i="19"/>
  <c r="E65" i="19"/>
  <c r="N64" i="19" l="1"/>
  <c r="J65" i="19"/>
  <c r="K65" i="19" s="1"/>
  <c r="I66" i="19"/>
  <c r="E66" i="19"/>
  <c r="L65" i="19"/>
  <c r="N65" i="19" s="1"/>
  <c r="M65" i="19"/>
  <c r="H77" i="19"/>
  <c r="I67" i="19" l="1"/>
  <c r="J66" i="19"/>
  <c r="K66" i="19" s="1"/>
  <c r="L66" i="19"/>
  <c r="E67" i="19"/>
  <c r="M66" i="19"/>
  <c r="N66" i="19" s="1"/>
  <c r="H78" i="19"/>
  <c r="J67" i="19" l="1"/>
  <c r="K67" i="19" s="1"/>
  <c r="I68" i="19"/>
  <c r="E68" i="19"/>
  <c r="L67" i="19"/>
  <c r="M67" i="19"/>
  <c r="H79" i="19"/>
  <c r="J68" i="19" l="1"/>
  <c r="K68" i="19" s="1"/>
  <c r="I69" i="19"/>
  <c r="N67" i="19"/>
  <c r="H80" i="19"/>
  <c r="L68" i="19"/>
  <c r="E69" i="19"/>
  <c r="M68" i="19"/>
  <c r="J69" i="19" l="1"/>
  <c r="K69" i="19" s="1"/>
  <c r="I70" i="19"/>
  <c r="N68" i="19"/>
  <c r="H81" i="19"/>
  <c r="L69" i="19"/>
  <c r="M69" i="19"/>
  <c r="N69" i="19" s="1"/>
  <c r="E70" i="19"/>
  <c r="I71" i="19" l="1"/>
  <c r="J70" i="19"/>
  <c r="K70" i="19" s="1"/>
  <c r="E71" i="19"/>
  <c r="L70" i="19"/>
  <c r="M70" i="19"/>
  <c r="H82" i="19"/>
  <c r="N70" i="19" l="1"/>
  <c r="J71" i="19"/>
  <c r="K71" i="19" s="1"/>
  <c r="I72" i="19"/>
  <c r="L71" i="19"/>
  <c r="M71" i="19"/>
  <c r="N71" i="19" s="1"/>
  <c r="E72" i="19"/>
  <c r="H83" i="19"/>
  <c r="J72" i="19" l="1"/>
  <c r="K72" i="19" s="1"/>
  <c r="I73" i="19"/>
  <c r="M72" i="19"/>
  <c r="L72" i="19"/>
  <c r="E73" i="19"/>
  <c r="H84" i="19"/>
  <c r="N72" i="19" l="1"/>
  <c r="I74" i="19"/>
  <c r="J73" i="19"/>
  <c r="K73" i="19" s="1"/>
  <c r="M73" i="19"/>
  <c r="L73" i="19"/>
  <c r="E74" i="19"/>
  <c r="H85" i="19"/>
  <c r="N73" i="19" l="1"/>
  <c r="I75" i="19"/>
  <c r="J74" i="19"/>
  <c r="K74" i="19" s="1"/>
  <c r="E75" i="19"/>
  <c r="M74" i="19"/>
  <c r="L74" i="19"/>
  <c r="H86" i="19"/>
  <c r="N74" i="19" l="1"/>
  <c r="I76" i="19"/>
  <c r="J75" i="19"/>
  <c r="K75" i="19" s="1"/>
  <c r="H87" i="19"/>
  <c r="E76" i="19"/>
  <c r="L75" i="19"/>
  <c r="M75" i="19"/>
  <c r="N75" i="19" s="1"/>
  <c r="I77" i="19" l="1"/>
  <c r="J76" i="19"/>
  <c r="K76" i="19" s="1"/>
  <c r="H88" i="19"/>
  <c r="L76" i="19"/>
  <c r="E77" i="19"/>
  <c r="M76" i="19"/>
  <c r="N76" i="19" s="1"/>
  <c r="J77" i="19" l="1"/>
  <c r="K77" i="19" s="1"/>
  <c r="I78" i="19"/>
  <c r="E78" i="19"/>
  <c r="M77" i="19"/>
  <c r="L77" i="19"/>
  <c r="N77" i="19" s="1"/>
  <c r="H89" i="19"/>
  <c r="I79" i="19" l="1"/>
  <c r="J78" i="19"/>
  <c r="K78" i="19" s="1"/>
  <c r="H90" i="19"/>
  <c r="M78" i="19"/>
  <c r="E79" i="19"/>
  <c r="L78" i="19"/>
  <c r="N78" i="19" l="1"/>
  <c r="I80" i="19"/>
  <c r="J79" i="19"/>
  <c r="K79" i="19" s="1"/>
  <c r="H91" i="19"/>
  <c r="M79" i="19"/>
  <c r="N79" i="19" s="1"/>
  <c r="L79" i="19"/>
  <c r="E80" i="19"/>
  <c r="J80" i="19" l="1"/>
  <c r="K80" i="19" s="1"/>
  <c r="I81" i="19"/>
  <c r="E81" i="19"/>
  <c r="L80" i="19"/>
  <c r="M80" i="19"/>
  <c r="N80" i="19" s="1"/>
  <c r="H92" i="19"/>
  <c r="I82" i="19" l="1"/>
  <c r="J81" i="19"/>
  <c r="K81" i="19" s="1"/>
  <c r="H93" i="19"/>
  <c r="M81" i="19"/>
  <c r="E82" i="19"/>
  <c r="L81" i="19"/>
  <c r="I83" i="19" l="1"/>
  <c r="J82" i="19"/>
  <c r="K82" i="19" s="1"/>
  <c r="N81" i="19"/>
  <c r="M82" i="19"/>
  <c r="L82" i="19"/>
  <c r="E83" i="19"/>
  <c r="H94" i="19"/>
  <c r="N82" i="19" l="1"/>
  <c r="I84" i="19"/>
  <c r="J83" i="19"/>
  <c r="K83" i="19" s="1"/>
  <c r="H95" i="19"/>
  <c r="E84" i="19"/>
  <c r="L83" i="19"/>
  <c r="M83" i="19"/>
  <c r="N83" i="19" l="1"/>
  <c r="I85" i="19"/>
  <c r="J84" i="19"/>
  <c r="K84" i="19" s="1"/>
  <c r="M84" i="19"/>
  <c r="L84" i="19"/>
  <c r="E85" i="19"/>
  <c r="N84" i="19"/>
  <c r="H96" i="19"/>
  <c r="I86" i="19" l="1"/>
  <c r="J85" i="19"/>
  <c r="K85" i="19" s="1"/>
  <c r="M85" i="19"/>
  <c r="E86" i="19"/>
  <c r="L85" i="19"/>
  <c r="N85" i="19" s="1"/>
  <c r="H97" i="19"/>
  <c r="I87" i="19" l="1"/>
  <c r="J86" i="19"/>
  <c r="K86" i="19" s="1"/>
  <c r="M86" i="19"/>
  <c r="N86" i="19" s="1"/>
  <c r="L86" i="19"/>
  <c r="E87" i="19"/>
  <c r="H98" i="19"/>
  <c r="J87" i="19" l="1"/>
  <c r="K87" i="19" s="1"/>
  <c r="I88" i="19"/>
  <c r="L87" i="19"/>
  <c r="M87" i="19"/>
  <c r="N87" i="19" s="1"/>
  <c r="E88" i="19"/>
  <c r="H99" i="19"/>
  <c r="I89" i="19" l="1"/>
  <c r="J88" i="19"/>
  <c r="K88" i="19" s="1"/>
  <c r="E89" i="19"/>
  <c r="L88" i="19"/>
  <c r="M88" i="19"/>
  <c r="N88" i="19" s="1"/>
  <c r="H100" i="19"/>
  <c r="I90" i="19" l="1"/>
  <c r="J89" i="19"/>
  <c r="K89" i="19" s="1"/>
  <c r="H101" i="19"/>
  <c r="M89" i="19"/>
  <c r="L89" i="19"/>
  <c r="N89" i="19" s="1"/>
  <c r="E90" i="19"/>
  <c r="J90" i="19" l="1"/>
  <c r="K90" i="19" s="1"/>
  <c r="I91" i="19"/>
  <c r="M90" i="19"/>
  <c r="L90" i="19"/>
  <c r="E91" i="19"/>
  <c r="H102" i="19"/>
  <c r="N90" i="19" l="1"/>
  <c r="J91" i="19"/>
  <c r="K91" i="19" s="1"/>
  <c r="I92" i="19"/>
  <c r="H103" i="19"/>
  <c r="M91" i="19"/>
  <c r="E92" i="19"/>
  <c r="L91" i="19"/>
  <c r="N91" i="19" l="1"/>
  <c r="I93" i="19"/>
  <c r="J92" i="19"/>
  <c r="K92" i="19" s="1"/>
  <c r="H104" i="19"/>
  <c r="L92" i="19"/>
  <c r="E93" i="19"/>
  <c r="M92" i="19"/>
  <c r="N92" i="19" s="1"/>
  <c r="I94" i="19" l="1"/>
  <c r="J93" i="19"/>
  <c r="K93" i="19" s="1"/>
  <c r="H105" i="19"/>
  <c r="E94" i="19"/>
  <c r="M93" i="19"/>
  <c r="N93" i="19" s="1"/>
  <c r="L93" i="19"/>
  <c r="J94" i="19" l="1"/>
  <c r="K94" i="19" s="1"/>
  <c r="I95" i="19"/>
  <c r="M94" i="19"/>
  <c r="L94" i="19"/>
  <c r="E95" i="19"/>
  <c r="H106" i="19"/>
  <c r="N94" i="19" l="1"/>
  <c r="I96" i="19"/>
  <c r="J95" i="19"/>
  <c r="K95" i="19" s="1"/>
  <c r="H107" i="19"/>
  <c r="E96" i="19"/>
  <c r="L95" i="19"/>
  <c r="M95" i="19"/>
  <c r="N95" i="19" s="1"/>
  <c r="I97" i="19" l="1"/>
  <c r="J96" i="19"/>
  <c r="K96" i="19" s="1"/>
  <c r="E97" i="19"/>
  <c r="L96" i="19"/>
  <c r="M96" i="19"/>
  <c r="N96" i="19" s="1"/>
  <c r="H108" i="19"/>
  <c r="I98" i="19" l="1"/>
  <c r="J97" i="19"/>
  <c r="K97" i="19" s="1"/>
  <c r="H109" i="19"/>
  <c r="M97" i="19"/>
  <c r="L97" i="19"/>
  <c r="E98" i="19"/>
  <c r="N97" i="19" l="1"/>
  <c r="I99" i="19"/>
  <c r="J98" i="19"/>
  <c r="K98" i="19" s="1"/>
  <c r="M98" i="19"/>
  <c r="E99" i="19"/>
  <c r="L98" i="19"/>
  <c r="H110" i="19"/>
  <c r="N98" i="19" l="1"/>
  <c r="J99" i="19"/>
  <c r="K99" i="19" s="1"/>
  <c r="I100" i="19"/>
  <c r="H111" i="19"/>
  <c r="L99" i="19"/>
  <c r="E100" i="19"/>
  <c r="M99" i="19"/>
  <c r="N99" i="19" s="1"/>
  <c r="J100" i="19" l="1"/>
  <c r="K100" i="19" s="1"/>
  <c r="I101" i="19"/>
  <c r="H112" i="19"/>
  <c r="E101" i="19"/>
  <c r="L100" i="19"/>
  <c r="M100" i="19"/>
  <c r="N100" i="19" s="1"/>
  <c r="I102" i="19" l="1"/>
  <c r="J101" i="19"/>
  <c r="K101" i="19" s="1"/>
  <c r="H113" i="19"/>
  <c r="E102" i="19"/>
  <c r="L101" i="19"/>
  <c r="M101" i="19"/>
  <c r="N101" i="19" l="1"/>
  <c r="J102" i="19"/>
  <c r="K102" i="19" s="1"/>
  <c r="I103" i="19"/>
  <c r="M102" i="19"/>
  <c r="L102" i="19"/>
  <c r="E103" i="19"/>
  <c r="H114" i="19"/>
  <c r="N102" i="19" l="1"/>
  <c r="J103" i="19"/>
  <c r="K103" i="19" s="1"/>
  <c r="I104" i="19"/>
  <c r="H115" i="19"/>
  <c r="L103" i="19"/>
  <c r="E104" i="19"/>
  <c r="M103" i="19"/>
  <c r="N103" i="19" s="1"/>
  <c r="I105" i="19" l="1"/>
  <c r="J104" i="19"/>
  <c r="K104" i="19" s="1"/>
  <c r="H116" i="19"/>
  <c r="L104" i="19"/>
  <c r="E105" i="19"/>
  <c r="M104" i="19"/>
  <c r="N104" i="19"/>
  <c r="I106" i="19" l="1"/>
  <c r="J105" i="19"/>
  <c r="K105" i="19" s="1"/>
  <c r="H117" i="19"/>
  <c r="E106" i="19"/>
  <c r="L105" i="19"/>
  <c r="M105" i="19"/>
  <c r="N105" i="19" l="1"/>
  <c r="I107" i="19"/>
  <c r="J106" i="19"/>
  <c r="K106" i="19" s="1"/>
  <c r="M106" i="19"/>
  <c r="L106" i="19"/>
  <c r="E107" i="19"/>
  <c r="H118" i="19"/>
  <c r="N106" i="19" l="1"/>
  <c r="I108" i="19"/>
  <c r="J107" i="19"/>
  <c r="K107" i="19" s="1"/>
  <c r="H119" i="19"/>
  <c r="M107" i="19"/>
  <c r="E108" i="19"/>
  <c r="L107" i="19"/>
  <c r="N107" i="19" l="1"/>
  <c r="I109" i="19"/>
  <c r="J108" i="19"/>
  <c r="K108" i="19" s="1"/>
  <c r="H120" i="19"/>
  <c r="E109" i="19"/>
  <c r="M108" i="19"/>
  <c r="L108" i="19"/>
  <c r="N108" i="19" l="1"/>
  <c r="I110" i="19"/>
  <c r="J109" i="19"/>
  <c r="K109" i="19" s="1"/>
  <c r="H121" i="19"/>
  <c r="E110" i="19"/>
  <c r="M109" i="19"/>
  <c r="N109" i="19" s="1"/>
  <c r="L109" i="19"/>
  <c r="I111" i="19" l="1"/>
  <c r="J110" i="19"/>
  <c r="K110" i="19" s="1"/>
  <c r="M110" i="19"/>
  <c r="N110" i="19" s="1"/>
  <c r="L110" i="19"/>
  <c r="E111" i="19"/>
  <c r="H122" i="19"/>
  <c r="I112" i="19" l="1"/>
  <c r="J111" i="19"/>
  <c r="K111" i="19" s="1"/>
  <c r="H123" i="19"/>
  <c r="E112" i="19"/>
  <c r="L111" i="19"/>
  <c r="M111" i="19"/>
  <c r="N111" i="19" s="1"/>
  <c r="I113" i="19" l="1"/>
  <c r="J112" i="19"/>
  <c r="K112" i="19" s="1"/>
  <c r="L112" i="19"/>
  <c r="E113" i="19"/>
  <c r="M112" i="19"/>
  <c r="N112" i="19" s="1"/>
  <c r="H124" i="19"/>
  <c r="I114" i="19" l="1"/>
  <c r="J113" i="19"/>
  <c r="K113" i="19" s="1"/>
  <c r="H125" i="19"/>
  <c r="L113" i="19"/>
  <c r="E114" i="19"/>
  <c r="M113" i="19"/>
  <c r="N113" i="19" s="1"/>
  <c r="I115" i="19" l="1"/>
  <c r="J114" i="19"/>
  <c r="K114" i="19" s="1"/>
  <c r="L114" i="19"/>
  <c r="E115" i="19"/>
  <c r="M114" i="19"/>
  <c r="H126" i="19"/>
  <c r="N114" i="19" l="1"/>
  <c r="I116" i="19"/>
  <c r="J115" i="19"/>
  <c r="K115" i="19" s="1"/>
  <c r="H127" i="19"/>
  <c r="L115" i="19"/>
  <c r="M115" i="19"/>
  <c r="N115" i="19" s="1"/>
  <c r="E116" i="19"/>
  <c r="I117" i="19" l="1"/>
  <c r="J116" i="19"/>
  <c r="K116" i="19" s="1"/>
  <c r="L116" i="19"/>
  <c r="E117" i="19"/>
  <c r="M116" i="19"/>
  <c r="H128" i="19"/>
  <c r="N116" i="19" l="1"/>
  <c r="I118" i="19"/>
  <c r="J117" i="19"/>
  <c r="K117" i="19" s="1"/>
  <c r="M117" i="19"/>
  <c r="E118" i="19"/>
  <c r="L117" i="19"/>
  <c r="N117" i="19" s="1"/>
  <c r="H129" i="19"/>
  <c r="I119" i="19" l="1"/>
  <c r="J118" i="19"/>
  <c r="K118" i="19" s="1"/>
  <c r="H130" i="19"/>
  <c r="E119" i="19"/>
  <c r="L118" i="19"/>
  <c r="M118" i="19"/>
  <c r="N118" i="19" s="1"/>
  <c r="I120" i="19" l="1"/>
  <c r="J119" i="19"/>
  <c r="K119" i="19" s="1"/>
  <c r="H131" i="19"/>
  <c r="E120" i="19"/>
  <c r="M119" i="19"/>
  <c r="N119" i="19" s="1"/>
  <c r="L119" i="19"/>
  <c r="J120" i="19" l="1"/>
  <c r="K120" i="19" s="1"/>
  <c r="I121" i="19"/>
  <c r="M120" i="19"/>
  <c r="L120" i="19"/>
  <c r="E121" i="19"/>
  <c r="H132" i="19"/>
  <c r="N120" i="19" l="1"/>
  <c r="I122" i="19"/>
  <c r="J121" i="19"/>
  <c r="K121" i="19" s="1"/>
  <c r="E122" i="19"/>
  <c r="M121" i="19"/>
  <c r="L121" i="19"/>
  <c r="N121" i="19" s="1"/>
  <c r="H133" i="19"/>
  <c r="I123" i="19" l="1"/>
  <c r="J122" i="19"/>
  <c r="K122" i="19" s="1"/>
  <c r="H134" i="19"/>
  <c r="L122" i="19"/>
  <c r="M122" i="19"/>
  <c r="N122" i="19" s="1"/>
  <c r="E123" i="19"/>
  <c r="I124" i="19" l="1"/>
  <c r="J123" i="19"/>
  <c r="K123" i="19" s="1"/>
  <c r="E124" i="19"/>
  <c r="L123" i="19"/>
  <c r="M123" i="19"/>
  <c r="N123" i="19" s="1"/>
  <c r="H135" i="19"/>
  <c r="I125" i="19" l="1"/>
  <c r="J124" i="19"/>
  <c r="K124" i="19" s="1"/>
  <c r="E125" i="19"/>
  <c r="M124" i="19"/>
  <c r="L124" i="19"/>
  <c r="H136" i="19"/>
  <c r="N124" i="19" l="1"/>
  <c r="I126" i="19"/>
  <c r="J125" i="19"/>
  <c r="K125" i="19" s="1"/>
  <c r="M125" i="19"/>
  <c r="L125" i="19"/>
  <c r="E126" i="19"/>
  <c r="H137" i="19"/>
  <c r="N125" i="19" l="1"/>
  <c r="J126" i="19"/>
  <c r="K126" i="19" s="1"/>
  <c r="I127" i="19"/>
  <c r="M126" i="19"/>
  <c r="E127" i="19"/>
  <c r="L126" i="19"/>
  <c r="H138" i="19"/>
  <c r="N126" i="19" l="1"/>
  <c r="I128" i="19"/>
  <c r="J127" i="19"/>
  <c r="K127" i="19" s="1"/>
  <c r="H139" i="19"/>
  <c r="E128" i="19"/>
  <c r="M127" i="19"/>
  <c r="L127" i="19"/>
  <c r="N127" i="19" l="1"/>
  <c r="I129" i="19"/>
  <c r="J128" i="19"/>
  <c r="K128" i="19" s="1"/>
  <c r="M128" i="19"/>
  <c r="E129" i="19"/>
  <c r="L128" i="19"/>
  <c r="H140" i="19"/>
  <c r="N128" i="19" l="1"/>
  <c r="J129" i="19"/>
  <c r="K129" i="19" s="1"/>
  <c r="I130" i="19"/>
  <c r="L129" i="19"/>
  <c r="E130" i="19"/>
  <c r="M129" i="19"/>
  <c r="N129" i="19" s="1"/>
  <c r="I131" i="19" l="1"/>
  <c r="J130" i="19"/>
  <c r="K130" i="19" s="1"/>
  <c r="E131" i="19"/>
  <c r="M130" i="19"/>
  <c r="L130" i="19"/>
  <c r="N130" i="19" l="1"/>
  <c r="I132" i="19"/>
  <c r="J131" i="19"/>
  <c r="K131" i="19" s="1"/>
  <c r="L131" i="19"/>
  <c r="M131" i="19"/>
  <c r="N131" i="19" s="1"/>
  <c r="E132" i="19"/>
  <c r="I133" i="19" l="1"/>
  <c r="J132" i="19"/>
  <c r="K132" i="19" s="1"/>
  <c r="E133" i="19"/>
  <c r="L132" i="19"/>
  <c r="M132" i="19"/>
  <c r="N132" i="19" s="1"/>
  <c r="I134" i="19" l="1"/>
  <c r="J133" i="19"/>
  <c r="K133" i="19" s="1"/>
  <c r="E134" i="19"/>
  <c r="M133" i="19"/>
  <c r="L133" i="19"/>
  <c r="N133" i="19" s="1"/>
  <c r="I135" i="19" l="1"/>
  <c r="J134" i="19"/>
  <c r="K134" i="19" s="1"/>
  <c r="M134" i="19"/>
  <c r="L134" i="19"/>
  <c r="E135" i="19"/>
  <c r="N134" i="19" l="1"/>
  <c r="I136" i="19"/>
  <c r="J135" i="19"/>
  <c r="K135" i="19" s="1"/>
  <c r="E136" i="19"/>
  <c r="M135" i="19"/>
  <c r="L135" i="19"/>
  <c r="N135" i="19" l="1"/>
  <c r="I137" i="19"/>
  <c r="J136" i="19"/>
  <c r="K136" i="19" s="1"/>
  <c r="E137" i="19"/>
  <c r="M136" i="19"/>
  <c r="L136" i="19"/>
  <c r="N136" i="19" l="1"/>
  <c r="I138" i="19"/>
  <c r="J137" i="19"/>
  <c r="K137" i="19" s="1"/>
  <c r="E138" i="19"/>
  <c r="M137" i="19"/>
  <c r="L137" i="19"/>
  <c r="N137" i="19" l="1"/>
  <c r="I139" i="19"/>
  <c r="J138" i="19"/>
  <c r="K138" i="19" s="1"/>
  <c r="L138" i="19"/>
  <c r="E139" i="19"/>
  <c r="M138" i="19"/>
  <c r="N138" i="19" s="1"/>
  <c r="I140" i="19" l="1"/>
  <c r="J140" i="19" s="1"/>
  <c r="K140" i="19" s="1"/>
  <c r="J139" i="19"/>
  <c r="K139" i="19" s="1"/>
  <c r="E140" i="19"/>
  <c r="L139" i="19"/>
  <c r="M139" i="19"/>
  <c r="N139" i="19" l="1"/>
  <c r="M140" i="19"/>
  <c r="L140" i="19"/>
  <c r="N140" i="19" l="1"/>
  <c r="B7" i="19"/>
  <c r="B6" i="19"/>
</calcChain>
</file>

<file path=xl/sharedStrings.xml><?xml version="1.0" encoding="utf-8"?>
<sst xmlns="http://schemas.openxmlformats.org/spreadsheetml/2006/main" count="1355" uniqueCount="875">
  <si>
    <t xml:space="preserve"> Fiber AR coating at focal surface</t>
  </si>
  <si>
    <t>Notes</t>
  </si>
  <si>
    <t>Wavelength (nm)</t>
  </si>
  <si>
    <t xml:space="preserve"> </t>
  </si>
  <si>
    <t>Revision History:</t>
  </si>
  <si>
    <t>Rev</t>
  </si>
  <si>
    <t xml:space="preserve">Rev </t>
  </si>
  <si>
    <t>Description</t>
  </si>
  <si>
    <t>By</t>
  </si>
  <si>
    <t>C.M</t>
  </si>
  <si>
    <t>Date</t>
  </si>
  <si>
    <t>V1</t>
  </si>
  <si>
    <t>Draft Release</t>
  </si>
  <si>
    <t>MJS</t>
  </si>
  <si>
    <t>PNJ</t>
  </si>
  <si>
    <t>MLL</t>
  </si>
  <si>
    <t>Added effective area and estimates for diffuse night sky throughput</t>
  </si>
  <si>
    <t>Changed wavelength range, interpolated numbers.</t>
  </si>
  <si>
    <t>Knowledge of absolute position of fiducial fibers</t>
  </si>
  <si>
    <t>Guider fiducial fiber position knowledge</t>
  </si>
  <si>
    <t>Guider fiducial fiber mapping to trackers</t>
  </si>
  <si>
    <t>Fiducial fiber fitting error</t>
  </si>
  <si>
    <t>Atmospheric jitter</t>
  </si>
  <si>
    <t>Prime focus cage 1st rotational mode</t>
  </si>
  <si>
    <t>Focal plate to sky rotation error</t>
  </si>
  <si>
    <t>Telescope guiding/tracking errors</t>
  </si>
  <si>
    <t>Holes are drilled to align with chief ray.  Drill accuracy 0.05deg rms</t>
  </si>
  <si>
    <t>Tilt of patrol disk</t>
  </si>
  <si>
    <t>Subsumed within delivered image quality</t>
  </si>
  <si>
    <t xml:space="preserve">   Thermal distortion of focal plate (lateral)</t>
  </si>
  <si>
    <t>Actuator lateral error</t>
  </si>
  <si>
    <r>
      <t xml:space="preserve">   </t>
    </r>
    <r>
      <rPr>
        <sz val="11"/>
        <color theme="1"/>
        <rFont val="Calibri"/>
        <family val="2"/>
        <scheme val="minor"/>
      </rPr>
      <t>Echo 22 chief ray tilt</t>
    </r>
  </si>
  <si>
    <t>Actuator induced FRD</t>
  </si>
  <si>
    <t xml:space="preserve">   Defocus over patrol disk</t>
  </si>
  <si>
    <t>Twist/bend loss from hexapod</t>
  </si>
  <si>
    <t>Size of spot at a given wavelength band, Zenith, perfect telescope</t>
  </si>
  <si>
    <t>m</t>
  </si>
  <si>
    <t>Band-limited chromatic shift microns</t>
  </si>
  <si>
    <t>microns</t>
  </si>
  <si>
    <r>
      <t xml:space="preserve">  </t>
    </r>
    <r>
      <rPr>
        <sz val="11"/>
        <color theme="1"/>
        <rFont val="Calibri"/>
        <family val="2"/>
        <scheme val="minor"/>
      </rPr>
      <t xml:space="preserve"> Manufacturing and alignment error (1-d) microns</t>
    </r>
  </si>
  <si>
    <r>
      <t xml:space="preserve"> </t>
    </r>
    <r>
      <rPr>
        <sz val="11"/>
        <color theme="1"/>
        <rFont val="Calibri"/>
        <family val="2"/>
        <scheme val="minor"/>
      </rPr>
      <t xml:space="preserve">  Band-limited E22 spot sigma (1-d), microns</t>
    </r>
  </si>
  <si>
    <t>Problem1: Patrol radius of theta-phi actuator is in a flat plane, but focal surface is curved</t>
  </si>
  <si>
    <t>What is average defocus over patrol radius, if patrol disk is half above and half below the focal surface?</t>
  </si>
  <si>
    <t>Patrol radius: 10.4mm/sqrt(3)=6mm</t>
  </si>
  <si>
    <t>Half-distance radius is 0.84*6mm=5.04mm</t>
  </si>
  <si>
    <t>mm</t>
  </si>
  <si>
    <t>ROC</t>
  </si>
  <si>
    <t>sag-mean</t>
  </si>
  <si>
    <t>Patrol radius</t>
  </si>
  <si>
    <t>Problem 2: If we slant drill, plane of fiber rotation is not coincident (tilted relative to) focal surface</t>
  </si>
  <si>
    <t>This causes a net defocus error to to patrol disk tilt.</t>
  </si>
  <si>
    <t>Easy to show by integration that average defocus is:</t>
  </si>
  <si>
    <t>4/(3 pi) sin(theta) Rpatrol</t>
  </si>
  <si>
    <t>deg</t>
  </si>
  <si>
    <t>theta_mean</t>
  </si>
  <si>
    <t>defocus_mean</t>
  </si>
  <si>
    <t>Major overhaul</t>
  </si>
  <si>
    <t xml:space="preserve">Added document check </t>
  </si>
  <si>
    <t>Fiber splice (2)  (FRD and/or bulk)</t>
  </si>
  <si>
    <t>Fibre length</t>
  </si>
  <si>
    <t>Bulk Fibre</t>
  </si>
  <si>
    <t>throughput</t>
  </si>
  <si>
    <t>From Fiber absorption tab</t>
  </si>
  <si>
    <t>Obscuration diameter, m</t>
  </si>
  <si>
    <t>M1 diameter, m,  in-spec. coating</t>
  </si>
  <si>
    <t>Fiber Area, sqarcsec</t>
  </si>
  <si>
    <t>Fiber diameter, arcsec</t>
  </si>
  <si>
    <t>Uncorrected differential refraction</t>
  </si>
  <si>
    <t>Average defocus due to flat patrol disk and curved focal surface</t>
  </si>
  <si>
    <t>Fiber diameter, microns</t>
  </si>
  <si>
    <t>If we add a second splice, this should be 0.97</t>
  </si>
  <si>
    <t>V-A</t>
  </si>
  <si>
    <t>V-B</t>
  </si>
  <si>
    <t>V-C</t>
  </si>
  <si>
    <t>V-D</t>
  </si>
  <si>
    <t>V-E</t>
  </si>
  <si>
    <t>Fixed dBs, this version submitted to DocDB</t>
  </si>
  <si>
    <t>DESI Systems Engineering Throughput Budget</t>
  </si>
  <si>
    <t>V2</t>
  </si>
  <si>
    <t>Numerous fixes</t>
  </si>
  <si>
    <t>Average defocus due to misalignment of patrol disk and focal surface (DESI-doc-600)</t>
  </si>
  <si>
    <t>These figures show the PSF size as a function of wavelength, and the lateral shift of a limited band spot relative to the overall spot centroid location.  If positioners are placed relative to the aggregate spot centroid (360-980nm), you will experience the shift in the figure below as a lateral error.</t>
  </si>
  <si>
    <t>V3</t>
  </si>
  <si>
    <t>Updated references</t>
  </si>
  <si>
    <r>
      <rPr>
        <b/>
        <sz val="12"/>
        <rFont val="Arial"/>
        <family val="2"/>
      </rPr>
      <t>Document Number:</t>
    </r>
    <r>
      <rPr>
        <sz val="12"/>
        <color theme="1"/>
        <rFont val="Calibri"/>
        <family val="2"/>
        <charset val="128"/>
        <scheme val="minor"/>
      </rPr>
      <t xml:space="preserve">  </t>
    </r>
    <r>
      <rPr>
        <b/>
        <sz val="12"/>
        <rFont val="Arial"/>
        <family val="2"/>
      </rPr>
      <t>DESI-doc-347</t>
    </r>
  </si>
  <si>
    <t>Twist/bend loss from RA cable wrap</t>
  </si>
  <si>
    <t>Twist/bend loss from DEC cable wrap</t>
  </si>
  <si>
    <t xml:space="preserve">   Blur due to M1/Barrel dynamic decenter (1-d) microns</t>
  </si>
  <si>
    <t xml:space="preserve">   Blur due to M1/Barrel dynamic tilt (1-d) microns</t>
  </si>
  <si>
    <t>Barrel shift analysis</t>
  </si>
  <si>
    <t>Measure additional blurring of image spots due to shift of entire barrel as a group: decenter and tilt</t>
  </si>
  <si>
    <t>Metric is average spot size, over all defined fields and configs.</t>
  </si>
  <si>
    <t>Spot size calculation is done using existing merit function in Zemax model of Echo22, with the existing non-spot-size constraints removed.</t>
  </si>
  <si>
    <t>Array of fields is kept the same as in the Echo22 Zemax model.</t>
  </si>
  <si>
    <t>Metric is rms spot radius, in mm.</t>
  </si>
  <si>
    <t>Barrel tilt is done around a point at the rear surface of C3 ; this is near the hexapod interface plane.</t>
  </si>
  <si>
    <t>Decenter error (mm)</t>
  </si>
  <si>
    <t>Average spot size (rms radius, mm)</t>
  </si>
  <si>
    <t>Average spot size (sigma, mm)</t>
  </si>
  <si>
    <t>Blur spot size due to barrel motion (sigma, mm)</t>
  </si>
  <si>
    <t>Tilt error (arc-seconds)</t>
  </si>
  <si>
    <t>Tilt error (deg)</t>
  </si>
  <si>
    <t>Notes:</t>
  </si>
  <si>
    <t>no compensation assumed</t>
  </si>
  <si>
    <t>Decenter only analyzed in y, and tilt only analyzed around theta-x.</t>
  </si>
  <si>
    <t>RWB</t>
  </si>
  <si>
    <t>Lateral gravity and displacement FEA on model of existing Mayall hardware:</t>
  </si>
  <si>
    <t>Zenith gravity and displacement FEA on model of existing Mayall hardware:</t>
  </si>
  <si>
    <t>SLEW GRAVITY FOCUS CHANGE</t>
  </si>
  <si>
    <t>SLEW GRAVITY BARREL TILT CHANGE</t>
  </si>
  <si>
    <t>Scaled to center of field</t>
  </si>
  <si>
    <t>Area Weighted Average Vignetting:</t>
  </si>
  <si>
    <t>Fraction</t>
  </si>
  <si>
    <t>Field</t>
  </si>
  <si>
    <t>Rays traced at each field: 31417</t>
  </si>
  <si>
    <t>Values are fraction of rays which were not vignetted.</t>
  </si>
  <si>
    <t>Field values are in degrees</t>
  </si>
  <si>
    <t>1 of 6</t>
  </si>
  <si>
    <t>Configuration:</t>
  </si>
  <si>
    <t>Date:</t>
  </si>
  <si>
    <t>BB_LP450_5wE_Gr100w_F3_fn36</t>
  </si>
  <si>
    <t>Title:</t>
  </si>
  <si>
    <t>C:\Users\Michael Sholl\Documents\other\proposa lwork\schlegel\bigboss\corrector\Liang concepts\Echo\Echo19 release\OhS\Echo 22.zmx</t>
  </si>
  <si>
    <t>File:</t>
  </si>
  <si>
    <t>Vignetting Data</t>
  </si>
  <si>
    <t>Piston error (mm)</t>
  </si>
  <si>
    <t>Average spot size</t>
  </si>
  <si>
    <t>Blur spot size due to barrel axial motion (sigma, mm)</t>
  </si>
  <si>
    <t xml:space="preserve">   Blur due to M1/Barrel dynamic defocus (1-d) microns</t>
  </si>
  <si>
    <t>theta (deg)</t>
  </si>
  <si>
    <t>delta theta (deg)</t>
  </si>
  <si>
    <t>gravity change along axial direction</t>
  </si>
  <si>
    <t>gravity change along lateral direction</t>
  </si>
  <si>
    <t>Assuming we are at the equator, tracking along zenith angle of zero, during a 20 minute tracking slew:</t>
  </si>
  <si>
    <t xml:space="preserve">   Blur due to M1/Barrel thermal defocus (1-d) microns</t>
  </si>
  <si>
    <t>Blurs below are calculated on 'barrel misalignment blur' worksheet</t>
  </si>
  <si>
    <t>Estimated, this effect mentioned by W. Saunders</t>
  </si>
  <si>
    <t>DESI-485</t>
  </si>
  <si>
    <t>Lampton calculation on differential refraction (could revisit...should be a document)</t>
  </si>
  <si>
    <t xml:space="preserve">Primary Reflectance </t>
  </si>
  <si>
    <t>Echo 22 glass/silica throughput</t>
  </si>
  <si>
    <t>Coating throughput per surface</t>
  </si>
  <si>
    <t>One minus Corrector Vignetting</t>
  </si>
  <si>
    <t>Throughput After Scattering Loss (HSF/Roughness)</t>
  </si>
  <si>
    <t>Interpolate for slew gravity variations</t>
  </si>
  <si>
    <t>use half that value as the average during a slew</t>
  </si>
  <si>
    <t>length of truss (m)</t>
  </si>
  <si>
    <t>half of avg truss temperature change per 20min, C (from DESI-0634)</t>
  </si>
  <si>
    <t>average barrel axial shift due to thermal drift (mm)</t>
  </si>
  <si>
    <t>A36 steel CTE (1/C)</t>
  </si>
  <si>
    <t>BARREL AXIAL SHIFT</t>
  </si>
  <si>
    <t>BARREL TIP/TILT</t>
  </si>
  <si>
    <t>BARREL DECENTER</t>
  </si>
  <si>
    <t>interpolate for thermal shift (see below)</t>
  </si>
  <si>
    <t>DESI-0589, FVC reqts</t>
  </si>
  <si>
    <t>metrology after assembly</t>
  </si>
  <si>
    <t>Test data from Reference Positioner, after one correction (1um after two corrections)</t>
  </si>
  <si>
    <t xml:space="preserve">  Quadrature sum of defocus errors</t>
  </si>
  <si>
    <t>Blur due to total 'fiber defocus' (see fiber defocus box below) (1-d) microns</t>
  </si>
  <si>
    <t>Throughput:  Fiber system FRD contributions</t>
  </si>
  <si>
    <t>Throughput:  Fiber System other</t>
  </si>
  <si>
    <t xml:space="preserve">Throughput:  Spectrograph </t>
  </si>
  <si>
    <t>Blue Channel</t>
  </si>
  <si>
    <t>Red Channel</t>
  </si>
  <si>
    <t>NIR Channel</t>
  </si>
  <si>
    <t>Collimator</t>
  </si>
  <si>
    <t>Dichroic1 Reflection</t>
  </si>
  <si>
    <t>Dichroic1 Transmission</t>
  </si>
  <si>
    <t>Dichroic2 Reflection</t>
  </si>
  <si>
    <t>Dichroic2 Transmission</t>
  </si>
  <si>
    <t>Blue Grating</t>
  </si>
  <si>
    <t>Red Grating</t>
  </si>
  <si>
    <t>NIR Grating</t>
  </si>
  <si>
    <t>Blue Camera</t>
  </si>
  <si>
    <t>Red Camera</t>
  </si>
  <si>
    <t>NIR Camera</t>
  </si>
  <si>
    <t>Blue CCD QE</t>
  </si>
  <si>
    <r>
      <t xml:space="preserve">LBNL 250 </t>
    </r>
    <r>
      <rPr>
        <sz val="11"/>
        <color theme="1"/>
        <rFont val="Calibri"/>
        <family val="2"/>
      </rPr>
      <t>µm CCD QE</t>
    </r>
  </si>
  <si>
    <r>
      <t xml:space="preserve">LBNL 500 </t>
    </r>
    <r>
      <rPr>
        <sz val="11"/>
        <color theme="1"/>
        <rFont val="Calibri"/>
        <family val="2"/>
      </rPr>
      <t>µm CCD QE</t>
    </r>
  </si>
  <si>
    <t>Fiber length, m (CBE from Poppett 16 June 2014)</t>
  </si>
  <si>
    <t>focal length, m (from Jelinsky 13 June 2014)</t>
  </si>
  <si>
    <t>M2 Support Truss Width, m (approx avg of 19mm blades and 30mm cable bundles)</t>
  </si>
  <si>
    <t>#Exported on</t>
  </si>
  <si>
    <t>Lateral errors (does not include astrometry)</t>
  </si>
  <si>
    <t>Quadrature sum of lateral errors, no astrometry (um at fiber tip):</t>
  </si>
  <si>
    <t>Fiber Slit Block Misaligment to Collimator</t>
  </si>
  <si>
    <t xml:space="preserve">Errors in orientation of fiber slit block at spectrograph input </t>
  </si>
  <si>
    <t>Parameters</t>
  </si>
  <si>
    <t>No obscuration, vignetting or coating loss, DESI-0329</t>
  </si>
  <si>
    <t>#Slithead misalignment is accounted for in fiber system.</t>
  </si>
  <si>
    <t>#</t>
  </si>
  <si>
    <t>sky throughput:  just in front of telescope to detected photons (does not account for obscuration or seeing)</t>
  </si>
  <si>
    <t xml:space="preserve">#Throughput spectrograph and CCDs is from light leaving the slithead to photons detected assuming a perfectly aligned slit. </t>
  </si>
  <si>
    <t>#Sky throughput is from in front of telescope to photons detected (no seeing and no galaxy)</t>
  </si>
  <si>
    <t>sky_throughput</t>
  </si>
  <si>
    <t>#wavelength(nm)</t>
  </si>
  <si>
    <t>throughput_spectrograph_and_CCDs</t>
  </si>
  <si>
    <t>#Lateral offset is sigma microns</t>
  </si>
  <si>
    <t>#Blur is 1-d sigma microns</t>
  </si>
  <si>
    <t>lateral_offset</t>
  </si>
  <si>
    <t>blur</t>
  </si>
  <si>
    <t>#Outputs from throughput budget DESI-0347</t>
  </si>
  <si>
    <t>see vignetting worksheet of 0347 (original source DESI-0329)</t>
  </si>
  <si>
    <t>Throughput: telescope to fiber input (does not account for obscuration.  For obscuration see desi.yaml)</t>
  </si>
  <si>
    <t>change PF cage lateral error, slightly change WFS focus accuracy, add blur terms (and worksheet) for decenter, defocus, and tilt of barrel relative to M1 (static and dynamic), enter vignetting throughput , add a budget line for scatter losses, remove atmospheric extinction, remove slit double-booked slit alignment term, remove 'effective area' outputs, remove prime focus and spider obscurations, remove seeing and galaxy profiles, remove astrometry lateral shift line item, put in assumed 30um^2 blur due to MSF errors, deleted VPH worksheet</t>
  </si>
  <si>
    <t>Avg magnitude of shift of spot at a given wavelength band relative to 360-980nm spot (see geom blur tab)</t>
  </si>
  <si>
    <t>v4</t>
  </si>
  <si>
    <t>PNJ, TJM</t>
  </si>
  <si>
    <t>Blur</t>
  </si>
  <si>
    <t>Blur = E22 + manufacturing + misalignment (RSS) 1-d microns sigma at fiber tip (in quadrature)</t>
  </si>
  <si>
    <t xml:space="preserve">   GFA thermal defocus w.r.t. petal</t>
  </si>
  <si>
    <t xml:space="preserve">   Positioner thermal defocus w.r.t. petal</t>
  </si>
  <si>
    <t xml:space="preserve">   Positioner dynamic defocus</t>
  </si>
  <si>
    <t>2013-07-22 Jelinsky Keyence measurement of 12mm th-phi prototype 5.N.01</t>
  </si>
  <si>
    <t>Petal-to-petal relative gravity deflection, rms over all positioners</t>
  </si>
  <si>
    <t>DESI-0453-v2</t>
  </si>
  <si>
    <t>Petal axial thermal deflection during observation</t>
  </si>
  <si>
    <t>May 2014 Collab Mtg, "Lambert_Parallel3C.pdf", slide 16</t>
  </si>
  <si>
    <t>Fiber defocus relative to GFAs</t>
  </si>
  <si>
    <t>ADC angle uncertainty</t>
  </si>
  <si>
    <t>pix/root12</t>
  </si>
  <si>
    <t>r*arc</t>
  </si>
  <si>
    <t>theta2</t>
  </si>
  <si>
    <t>theta1</t>
  </si>
  <si>
    <t>total(arcsec)</t>
  </si>
  <si>
    <t>Total(mm)</t>
  </si>
  <si>
    <t>Charge Diffusion</t>
  </si>
  <si>
    <t>Pixel Sampling</t>
  </si>
  <si>
    <t>All Else</t>
  </si>
  <si>
    <t>Aberations (From Spline)</t>
  </si>
  <si>
    <t>Angle</t>
  </si>
  <si>
    <t>Aberations (mm)</t>
  </si>
  <si>
    <t>mm/arcsec</t>
  </si>
  <si>
    <t>plate scale</t>
  </si>
  <si>
    <t>diagonal</t>
  </si>
  <si>
    <t>field height</t>
  </si>
  <si>
    <t>field width</t>
  </si>
  <si>
    <t>http://www-kpno.kpno.noao.edu/glaspey/4m_WF_corrector.pdf</t>
  </si>
  <si>
    <t>Jacoby Corrector seeing contributions:</t>
  </si>
  <si>
    <t>Avg (Aberations Only, FWHM)</t>
  </si>
  <si>
    <t xml:space="preserve">&lt;--recommend subtracting this number in quadrature from Dey and Valdes </t>
  </si>
  <si>
    <t>Avg (Total, arcsec FWHM)</t>
  </si>
  <si>
    <t>Number is calculated by extracting aberration data from Jacoby paper and RSSing with pixel sampling and 'all else' error terms, and taking area weighted average over a square detector area with diagonal 0.42 deg radius.</t>
  </si>
  <si>
    <t>Can subtract this number in quadrature from the reported seeing to calculate input for DESI.</t>
  </si>
  <si>
    <t xml:space="preserve">Calculation of seeing contributions from the existing Jacoby corrector, which was in place when the seeing measurements of Dey and Valdes were made. </t>
  </si>
  <si>
    <t>total corrector coating throughput</t>
  </si>
  <si>
    <t>see Corrector_Coating worksheet</t>
  </si>
  <si>
    <t>During 20 minute observation (gross lateral component entirely compensated by tracking)</t>
  </si>
  <si>
    <t>Due to telescope slew during observation (worst case: 2 micron max lateral deflection times sin(5deg) times half)</t>
  </si>
  <si>
    <t>Worst case change for lateral loads is .087, occuring around zenith.</t>
  </si>
  <si>
    <t>Worst case change for axial loads is 0.07 at 60 deg zenith angle, but much more typical would be 0.05 or less.  Call it 0.05.</t>
  </si>
  <si>
    <t>allocated 1mm lateral sag at horizontal between tops of trusses and moving hexapod flange plus .025mm between flange and optics</t>
  </si>
  <si>
    <t>so corrector sag will be 1.025mm more than trusses or 1.025+1.9 = 2.925mm relative to center section</t>
  </si>
  <si>
    <t>M1 sag is 2.0, so corrector sags .925mm more than M1</t>
  </si>
  <si>
    <t>SLEW GRAVITY BARREL DECENTER (see FEA's below for comparative sags)</t>
  </si>
  <si>
    <t>that means max change in lateral position of barrel relative to M1 is about 0.08mm (0.087*0.925mm [20 minute slew])--see below for 0.087 description</t>
  </si>
  <si>
    <t>allocated 0.6mm vertical sag at zenith between tops of trusses and moving hexapod flange plus 0.025 between flange and optics</t>
  </si>
  <si>
    <t>so that's .215 + .625 =  0.83mm sag of cage relative to center section</t>
  </si>
  <si>
    <t>that is .83 - .707 = .12mm more sag of corrector than PM</t>
  </si>
  <si>
    <t>that means max change in axial position of barrel relative to M1 is about 0.006mm (0.05*0.12mm [20 minute slew])--see below for 0.05 number</t>
  </si>
  <si>
    <t>allocated 40 arcsec tilt when horizontal between tops of trusses and moving hexapod flange plus 5 arcsec between flange and optics</t>
  </si>
  <si>
    <t>that means max change in tilt of barrel relative to M1 is about 3.9arcsec (~sin(5degrees)*45arcsec [20 minute slew])</t>
  </si>
  <si>
    <t>HOW MUCH DO GRAVITY LOADING COMPONENTS VARY DURING A SLEW?</t>
  </si>
  <si>
    <t>lateral shifts of targets relative to guide stars due to optical distortion from decenter of barrel relative to M1 from gravity vector change in slew</t>
  </si>
  <si>
    <t>lateral shifts of targets relative to guide stars due to optical distortion from tilt of barrel relative to M1 from gravity vector change in slew</t>
  </si>
  <si>
    <t>lateral shifts of targets relative to guide stars due to optical distortion from axial shift of barrel relative to M1 from gravity vector change in slew</t>
  </si>
  <si>
    <t>lateral shifts of targets relative to guide stars due to optical distortion from axial shift of barrel relative to M1 from CTE</t>
  </si>
  <si>
    <t>Tim Miller/R Besuner 26mar2014 and 14apr2014</t>
  </si>
  <si>
    <t xml:space="preserve">   Blur due to M1/Barrel GFA error static decenter (1-d) microns</t>
  </si>
  <si>
    <t xml:space="preserve">   Blur due to M1/Barrel GFA error static tilt (1-d) microns</t>
  </si>
  <si>
    <t xml:space="preserve">   Blur due to M1/Barrel GFA error static defocus (1-d) microns</t>
  </si>
  <si>
    <t xml:space="preserve">   Blur due to M1/Barrel hexapod error static decenter (1-d) microns</t>
  </si>
  <si>
    <t xml:space="preserve">   Blur due to M1/Barrel hexapod error static tilt (1-d) microns</t>
  </si>
  <si>
    <t xml:space="preserve">   Blur due to M1/Barrel hexapod error static defocus (1-d) microns</t>
  </si>
  <si>
    <t>Interpolate for GFA (300um)</t>
  </si>
  <si>
    <t>Interpolate for hexapod step size (15um / 2)</t>
  </si>
  <si>
    <t>Interpolate for GFA (10 arcsec)</t>
  </si>
  <si>
    <t>Interpolate for hexapod step size (2 arcsec / 2)</t>
  </si>
  <si>
    <t>Interpolate for hexapod step size (10um / 2)</t>
  </si>
  <si>
    <t>Interpolate for GFA (30um)</t>
  </si>
  <si>
    <t>Differential lateral shift due to M1/Barrel static decenter from GFA error</t>
  </si>
  <si>
    <t>Differential lateral shift due to M1/Barrel static tilt from GFA error</t>
  </si>
  <si>
    <t>Differential lateral shift due to M1/Barrel static defocus from GFA error</t>
  </si>
  <si>
    <t>Differential lateral shift due to M1/Barrel static decenter from hexapod step size</t>
  </si>
  <si>
    <t>Differential lateral shift due to M1/Barrel static tilt from hexapod step size</t>
  </si>
  <si>
    <t>Differential lateral shift due to M1/Barrel static defocus from hexapod step size</t>
  </si>
  <si>
    <t>lateral shifts of targets relative to guide stars due to optical distortion from decenter of barrel relative to M1 from GFA errors</t>
  </si>
  <si>
    <t>lateral shifts of targets relative to guide stars due to optical distortion from tilt of barrel relative to M1 from GFA errors</t>
  </si>
  <si>
    <t>lateral shifts of targets relative to guide stars due to optical distortion from axial shift of barrel relative to M1 from GFA errors</t>
  </si>
  <si>
    <t>blur sigma from GFA defocus of barrel relative to M1</t>
  </si>
  <si>
    <t>blur sigma from hexapod step size</t>
  </si>
  <si>
    <t>blur sigma from barrel tilt due to hexapod step size</t>
  </si>
  <si>
    <t>blur sigma from hexapod defocus of barrel relative to M1</t>
  </si>
  <si>
    <t>blur sigma from decenter of barrel relative to M1 from gravity vector change in slew</t>
  </si>
  <si>
    <t>blur sigma from relative tilt of barrel relative to M1 from gravity vector change in slew</t>
  </si>
  <si>
    <t>blur sigma from relative axial motion of barrel relative to M1 from gravity vector change in slew</t>
  </si>
  <si>
    <t>blur sigma from relative axial motion of barrel relative to M1 from temperature changes of telescope structure</t>
  </si>
  <si>
    <t>Differential lateral shift due to M1/Barrel dynamic defocus, thermal</t>
  </si>
  <si>
    <t>Differential lateral shift due to M1/Barrel dynamic defocus, gravity</t>
  </si>
  <si>
    <t>Barrel distortion errors</t>
  </si>
  <si>
    <t>Calculate field distortions due to various misalignments</t>
  </si>
  <si>
    <t>Consider 2x3 cases:</t>
  </si>
  <si>
    <t>1.  barrel shifts in place during a 20min slew due to gravity change</t>
  </si>
  <si>
    <t>max lateral errors, in um</t>
  </si>
  <si>
    <t>± 80 um decenter expected</t>
  </si>
  <si>
    <t>± 2 arcsec of tilt</t>
  </si>
  <si>
    <t>± 10 um of piston</t>
  </si>
  <si>
    <t>2.  the barrel may be misplaced due to uncertainty in the GFA measurement</t>
  </si>
  <si>
    <t>± 300 um decenter</t>
  </si>
  <si>
    <t>± 10 arcsec of tilt</t>
  </si>
  <si>
    <t>± 30 um of piston</t>
  </si>
  <si>
    <t>Process:</t>
  </si>
  <si>
    <t>1.  Set up 9 field points in Zemax, spokes on a wheel.</t>
  </si>
  <si>
    <t>2.  Perturb barrel assy relative to Mayall primary mirror.</t>
  </si>
  <si>
    <t>3.  Steer entire telescope (input angle) to bring the 4 NSEW point back to their starting positions (minimize error of averaged 4).</t>
  </si>
  <si>
    <t>4.  Calculate residual position errors of other fields.</t>
  </si>
  <si>
    <t>initial set</t>
  </si>
  <si>
    <t>Type</t>
  </si>
  <si>
    <t>Int1</t>
  </si>
  <si>
    <t>Int2</t>
  </si>
  <si>
    <t>Hx</t>
  </si>
  <si>
    <t>Hy</t>
  </si>
  <si>
    <t>Px</t>
  </si>
  <si>
    <t>Py</t>
  </si>
  <si>
    <t>Target</t>
  </si>
  <si>
    <t>Weight</t>
  </si>
  <si>
    <t>Value</t>
  </si>
  <si>
    <t>Contrib</t>
  </si>
  <si>
    <t>Comment</t>
  </si>
  <si>
    <t>x</t>
  </si>
  <si>
    <t>y</t>
  </si>
  <si>
    <t>no barrel error</t>
  </si>
  <si>
    <t>decenter 100um in y</t>
  </si>
  <si>
    <t>delta</t>
  </si>
  <si>
    <t>realigned</t>
  </si>
  <si>
    <t>CONF</t>
  </si>
  <si>
    <t>CENX</t>
  </si>
  <si>
    <t>CENY</t>
  </si>
  <si>
    <t>ave of 4</t>
  </si>
  <si>
    <t>largest error, in um</t>
  </si>
  <si>
    <t>decenter 100um in x</t>
  </si>
  <si>
    <t>decenter 300um in x</t>
  </si>
  <si>
    <t>…</t>
  </si>
  <si>
    <t>tilt 0.00278 around x</t>
  </si>
  <si>
    <t xml:space="preserve">did y case first </t>
  </si>
  <si>
    <t>tilt 0.00278 around y</t>
  </si>
  <si>
    <t>defocus 30um</t>
  </si>
  <si>
    <t>TM 3july2014, averages by rwb 7/7/14</t>
  </si>
  <si>
    <t>rwb added:</t>
  </si>
  <si>
    <t>3.  barrel misplaced due to hexapod minimum step size (rwb added)</t>
  </si>
  <si>
    <t>± 7.5 um decenter</t>
  </si>
  <si>
    <t>± 1 arcsec of tilt</t>
  </si>
  <si>
    <t>± 5 um of piston</t>
  </si>
  <si>
    <t>mean errors (assumed simple distribution and scaling with displacement)</t>
  </si>
  <si>
    <t>4.  barrel shifts due to temperature change</t>
  </si>
  <si>
    <t>± 12 um of piston</t>
  </si>
  <si>
    <t>Differential lateral shift due to M1/Barrel dynamic tilt, gravity</t>
  </si>
  <si>
    <t>Differential lateral shift due to M1/Barrel dynamic decenter, gravity</t>
  </si>
  <si>
    <t>v5</t>
  </si>
  <si>
    <t>DESI-0713-v2 assuming recoat every year, washes halfway between recoat, weekly CO2 cleaning (have to edit in spreadsheet)</t>
  </si>
  <si>
    <t>Lateral shifts due to barrel misalignments relative to M1 (see barrel misalignment worksheet)</t>
  </si>
  <si>
    <t>Knowledge of static telescope optical distortion</t>
  </si>
  <si>
    <t>Not necessary, due to Lampton calculation on fiducial fibers, and distortion mapping during commissioning</t>
  </si>
  <si>
    <t>DESI-465 (worst case)</t>
  </si>
  <si>
    <t>approx 1.1um lateral error per degree of ADC roll angle uncertainty (DESI-0723), reqt is 0.1 deg</t>
  </si>
  <si>
    <t>DESI-0723</t>
  </si>
  <si>
    <t>lateral shift due to changing dome air conditions during exposure</t>
  </si>
  <si>
    <t>Truss and telescope lateral thermal drift</t>
  </si>
  <si>
    <t>SPREADSHEET: update fiber defocus elements with CBEs, update fiber lateral shifts with CBEs from doc 723, add Jacoby_seeing worksheet, add ADC angle uncertainty, add differential lateral motions from barrel misalignments, corrected lateral and axial shifts due to changing gravity vector, ungrouped GFA and hexapod blur contributions, update CCD QE, update reflectivity, add corrector coating worksheet, add lateral shift due to changing dome air conditions, removed external link so you don't get 'enable content' button every time you open it.
desi.yaml instrument parameter file:  changed blue detector parameters, added detector keepoutpixels, added jacoby_seeing value, update version numbers of referenced documents</t>
  </si>
  <si>
    <t>Fiber view camera error (without corrector effects)</t>
  </si>
  <si>
    <t>&lt;&lt;-- This value used in focus error budget</t>
  </si>
  <si>
    <t>Field fiducial fiber knowledge error</t>
  </si>
  <si>
    <t>Positioner gravity differential sag</t>
  </si>
  <si>
    <t xml:space="preserve"> Fiber AR coating at spectrograph input</t>
  </si>
  <si>
    <t>Estimated from fig 14 of DESI-0724-v2</t>
  </si>
  <si>
    <t>Average tilt of chief ray (see FP AOIs from Miller)</t>
  </si>
  <si>
    <t>Fiber Tilt relative to focal surface</t>
  </si>
  <si>
    <t>tilt between GFAs (focal surface) and feature in ferrule holder that holds ferrule (see DESI-0720)</t>
  </si>
  <si>
    <t>fibers nominally aligned to chief ray</t>
  </si>
  <si>
    <t>Chief ray variation as fn of wavelength (optimized at 500 nm)</t>
  </si>
  <si>
    <t>RSS'd tilt between chief ray and fiber optical axis</t>
  </si>
  <si>
    <t>angle offset</t>
  </si>
  <si>
    <t>rel. transm</t>
  </si>
  <si>
    <t>re. transm loss</t>
  </si>
  <si>
    <t>TRANSMISSION VS TILT ANGLE (REF DESI-1128)</t>
  </si>
  <si>
    <t>polynomial coefficients</t>
  </si>
  <si>
    <t>N</t>
  </si>
  <si>
    <t>C</t>
  </si>
  <si>
    <t>transmission due to tilt</t>
  </si>
  <si>
    <t>Fiber tilt between chief ray and fiber optical axis</t>
  </si>
  <si>
    <t>nominal fiber OD within ferrule</t>
  </si>
  <si>
    <t>middle of tol range of ID of ferrule</t>
  </si>
  <si>
    <t>length of bore in ferrule</t>
  </si>
  <si>
    <t>tilt between fiber and bore in ferrule</t>
  </si>
  <si>
    <t>parallelism callout between ferrule ID and OD</t>
  </si>
  <si>
    <t>tilt between ferrule ID and OD</t>
  </si>
  <si>
    <t>angle of normal to fiber tip face relative to fiber axis (cleaved)</t>
  </si>
  <si>
    <t>refractive index of fiber</t>
  </si>
  <si>
    <t>tilt of fiber optical axis relative to physical axis</t>
  </si>
  <si>
    <t>loss due to tilt</t>
  </si>
  <si>
    <t>Measured FRD of fiber length with no splice</t>
  </si>
  <si>
    <t>Fiber splice induced FRD</t>
  </si>
  <si>
    <t>see DESI-1128 ('Inputs to DESI-347' tab)</t>
  </si>
  <si>
    <t>Need to update with test data</t>
  </si>
  <si>
    <t>June 2014 Poppett testing</t>
  </si>
  <si>
    <t>DESI-1071 (does not include ADC lenses, no attempt to tune out either)</t>
  </si>
  <si>
    <t>assumed negligible</t>
  </si>
  <si>
    <t>TBR</t>
  </si>
  <si>
    <t>v6</t>
  </si>
  <si>
    <t>concur</t>
  </si>
  <si>
    <t>TNM</t>
  </si>
  <si>
    <t>update values, add effects of tilts of fiber relative to chief ray, add effects of corrector optics errors on FVC measurement, add effect of chief ray angle variation as function of wavelength, NIR detector now 250um not 500um</t>
  </si>
  <si>
    <t>v7</t>
  </si>
  <si>
    <t>Fixed &lt;Inst_Throughput_forDESIModelv7.txt&gt;, rolled rev without editing spreadsheet content</t>
  </si>
  <si>
    <t>SB</t>
  </si>
  <si>
    <t>FVC corrector optics figure error</t>
  </si>
  <si>
    <t>FVC corrector optics inhomogeneity error</t>
  </si>
  <si>
    <t>DESI-1304</t>
  </si>
  <si>
    <t>Misalignment</t>
  </si>
  <si>
    <r>
      <t>Lateral (</t>
    </r>
    <r>
      <rPr>
        <sz val="11"/>
        <color theme="1"/>
        <rFont val="Calibri"/>
        <family val="2"/>
      </rPr>
      <t>µm)</t>
    </r>
  </si>
  <si>
    <t>Signal</t>
  </si>
  <si>
    <t>Normalized</t>
  </si>
  <si>
    <t>Assumptions</t>
  </si>
  <si>
    <t>5th order polynomial curve fit</t>
  </si>
  <si>
    <t>Fiber diameter: 107 microns, 1.45 arcsec</t>
  </si>
  <si>
    <t>A0</t>
  </si>
  <si>
    <t>Sersic N=1 Galaxy EE50 radius: 0.35 arcsec</t>
  </si>
  <si>
    <t>A1</t>
  </si>
  <si>
    <t>Moffat Beta=3.5</t>
  </si>
  <si>
    <t>A2</t>
  </si>
  <si>
    <t>Seeing: 1.1 arcsec FWHM</t>
  </si>
  <si>
    <t>A3</t>
  </si>
  <si>
    <t>A4</t>
  </si>
  <si>
    <t>Note: This includes telescope guiding/tracking,</t>
  </si>
  <si>
    <t>A5</t>
  </si>
  <si>
    <t>which is also tracked separately as a line item</t>
  </si>
  <si>
    <t>Test case</t>
  </si>
  <si>
    <t>Lateral</t>
  </si>
  <si>
    <t>(µm)</t>
  </si>
  <si>
    <t>Norm</t>
  </si>
  <si>
    <r>
      <t>Blur sigma (</t>
    </r>
    <r>
      <rPr>
        <b/>
        <u/>
        <sz val="11"/>
        <color theme="1"/>
        <rFont val="Calibri"/>
        <family val="2"/>
      </rPr>
      <t>µm</t>
    </r>
    <r>
      <rPr>
        <b/>
        <u/>
        <sz val="11"/>
        <color theme="1"/>
        <rFont val="Calibri"/>
        <family val="2"/>
        <scheme val="minor"/>
      </rPr>
      <t>)</t>
    </r>
  </si>
  <si>
    <t>RMS spot radius (as reported by Zemax) = sigma * sqrt(2)</t>
  </si>
  <si>
    <t>Blur sigma</t>
  </si>
  <si>
    <r>
      <t>NOTE: blur is RMS spot sigma (</t>
    </r>
    <r>
      <rPr>
        <sz val="11"/>
        <color theme="1"/>
        <rFont val="Calibri"/>
        <family val="2"/>
      </rPr>
      <t>µm)</t>
    </r>
  </si>
  <si>
    <r>
      <t>Zemax outputs RMS spot radius (</t>
    </r>
    <r>
      <rPr>
        <sz val="11"/>
        <color theme="1"/>
        <rFont val="Calibri"/>
        <family val="2"/>
      </rPr>
      <t>µm)</t>
    </r>
  </si>
  <si>
    <t>sigma = radius / sqrt(2)</t>
  </si>
  <si>
    <t>radius = sigma * sqrt(2)</t>
  </si>
  <si>
    <t>signal</t>
  </si>
  <si>
    <t>normalized</t>
  </si>
  <si>
    <t>normalied</t>
  </si>
  <si>
    <t>Fraction of perfectly aligned galaxy light entering fiber (parameters in blur throughput estimate tab)</t>
  </si>
  <si>
    <t>Estimated throughput due to lateral offset</t>
  </si>
  <si>
    <t>Estimated throughput due to blur</t>
  </si>
  <si>
    <t>Atmosphere Transmission</t>
  </si>
  <si>
    <t>ESTIMATED OVERALL THROUGHPUT</t>
  </si>
  <si>
    <t>note this is an approximation of total system throughput including sky absorption, obscuration, and estimated throughput degradation due to blur and lateral offset</t>
  </si>
  <si>
    <t>more accurate predictions use DESImodel high level simulations</t>
  </si>
  <si>
    <t>NOAO data</t>
  </si>
  <si>
    <t>Blur throughput estimate worksheet</t>
  </si>
  <si>
    <t>Throughput worksheet</t>
  </si>
  <si>
    <t>Lateral offset throughput est worksheet (zero spot size)</t>
  </si>
  <si>
    <t>Lateral offset throughput est worksheet</t>
  </si>
  <si>
    <t>Obscuration</t>
  </si>
  <si>
    <t>Cage diameter</t>
  </si>
  <si>
    <t>spider width</t>
  </si>
  <si>
    <t>Mirror aperture</t>
  </si>
  <si>
    <t>Cage area</t>
  </si>
  <si>
    <t>Spider area</t>
  </si>
  <si>
    <t>Mirror area (ignoring hole...shadowed)</t>
  </si>
  <si>
    <t>m^2</t>
  </si>
  <si>
    <t>Obscuration fraction</t>
  </si>
  <si>
    <t>Obscuration by cage and fins</t>
  </si>
  <si>
    <t>Obscuration worksheet</t>
  </si>
  <si>
    <t>Estimated galaxy throughput (for signal)</t>
  </si>
  <si>
    <t>Estimated sky throughput (for noise)</t>
  </si>
  <si>
    <t>Outside Dome Sources</t>
  </si>
  <si>
    <t>Sky Background (ergs/cm^2/sec/sqarcsec/A)</t>
  </si>
  <si>
    <t>From Hanuschik, A&amp;A v.407 1157 (2003)</t>
  </si>
  <si>
    <t>Telescope/Corrector Noise Sources</t>
  </si>
  <si>
    <t>Telescope/Corrector/Dome  Scattering  (ergs/cm^2/sec/sqarcsec/A)</t>
  </si>
  <si>
    <t>Spectrograph Noise Sources</t>
  </si>
  <si>
    <t>CCD Detector Read Noise (e-/pixel), includes FEE</t>
  </si>
  <si>
    <t>CCD Detector Dark Current (e-/pixel/hr)</t>
  </si>
  <si>
    <t>CCD Detector Cross talk (unitless), includes FEE</t>
  </si>
  <si>
    <t>Spectrograph Scattered Light (ghosts + scattering) Fraction of incident irradiance</t>
  </si>
  <si>
    <t>See DESI-0210</t>
  </si>
  <si>
    <t>Fiber Cross Talk (fraction of light in fiber that leaks into an adjacent fiber)</t>
  </si>
  <si>
    <t>See DESI-0315</t>
  </si>
  <si>
    <t>Grating Scatter</t>
  </si>
  <si>
    <t>www.noao.edu/kpno/manuals/DIM</t>
  </si>
  <si>
    <r>
      <t>Direct Imaging Manual VegaMag/as</t>
    </r>
    <r>
      <rPr>
        <sz val="10"/>
        <rFont val="Calibri"/>
        <family val="2"/>
      </rPr>
      <t>²</t>
    </r>
  </si>
  <si>
    <t>from Alistair Walker NOAO Newsletter #10 (Tololo); KPNO is approx equal</t>
  </si>
  <si>
    <t>colors:</t>
  </si>
  <si>
    <t>lunar age</t>
  </si>
  <si>
    <t>U</t>
  </si>
  <si>
    <t>B</t>
  </si>
  <si>
    <t>V</t>
  </si>
  <si>
    <t>R</t>
  </si>
  <si>
    <t>I</t>
  </si>
  <si>
    <t>ergs,R</t>
  </si>
  <si>
    <t>ergs, I</t>
  </si>
  <si>
    <t>Input</t>
  </si>
  <si>
    <t>0 days</t>
  </si>
  <si>
    <t>Output</t>
  </si>
  <si>
    <t>3 days</t>
  </si>
  <si>
    <t>7 days</t>
  </si>
  <si>
    <t>10 days</t>
  </si>
  <si>
    <t>14 days</t>
  </si>
  <si>
    <t>ELG target</t>
  </si>
  <si>
    <t>ELG Redshift</t>
  </si>
  <si>
    <r>
      <t xml:space="preserve">[OII] observed wavelength, </t>
    </r>
    <r>
      <rPr>
        <b/>
        <sz val="10"/>
        <rFont val="Calibri"/>
        <family val="2"/>
      </rPr>
      <t>μ</t>
    </r>
    <r>
      <rPr>
        <b/>
        <sz val="10"/>
        <rFont val="Arial"/>
        <family val="2"/>
      </rPr>
      <t>m</t>
    </r>
  </si>
  <si>
    <r>
      <t>Which is ... photons/m</t>
    </r>
    <r>
      <rPr>
        <b/>
        <sz val="10"/>
        <rFont val="Calibri"/>
        <family val="2"/>
      </rPr>
      <t>²</t>
    </r>
    <r>
      <rPr>
        <b/>
        <sz val="10"/>
        <rFont val="Arial"/>
        <family val="2"/>
      </rPr>
      <t>.s</t>
    </r>
  </si>
  <si>
    <t>Night Sky</t>
  </si>
  <si>
    <t>Moonless continuum, ergs/cm2.s.as2.A=</t>
  </si>
  <si>
    <t>&lt;&lt; From Noise Tab; Hanuschik, A&amp;A v.407 1157 (2003)</t>
  </si>
  <si>
    <t>compare....KPNO zenith I-band new moon=</t>
  </si>
  <si>
    <t>&lt;&lt; compare KPNO Direct Imaging Manual chart above</t>
  </si>
  <si>
    <r>
      <t>which is.... ph/m</t>
    </r>
    <r>
      <rPr>
        <b/>
        <sz val="10"/>
        <rFont val="Calibri"/>
        <family val="2"/>
      </rPr>
      <t>²</t>
    </r>
    <r>
      <rPr>
        <b/>
        <sz val="10"/>
        <rFont val="Arial"/>
        <family val="2"/>
      </rPr>
      <t>.s.as</t>
    </r>
    <r>
      <rPr>
        <b/>
        <sz val="10"/>
        <rFont val="Calibri"/>
        <family val="2"/>
      </rPr>
      <t>²</t>
    </r>
    <r>
      <rPr>
        <b/>
        <sz val="10"/>
        <rFont val="Arial"/>
        <family val="2"/>
      </rPr>
      <t>.</t>
    </r>
    <r>
      <rPr>
        <b/>
        <sz val="10"/>
        <rFont val="Calibri"/>
        <family val="2"/>
      </rPr>
      <t>Å</t>
    </r>
  </si>
  <si>
    <t>Total Background Entering Fiber (Night + scatter)</t>
  </si>
  <si>
    <r>
      <t>ph/m</t>
    </r>
    <r>
      <rPr>
        <b/>
        <sz val="10"/>
        <rFont val="Calibri"/>
        <family val="2"/>
      </rPr>
      <t>²</t>
    </r>
    <r>
      <rPr>
        <b/>
        <sz val="10"/>
        <rFont val="Arial"/>
        <family val="2"/>
      </rPr>
      <t>.s.as</t>
    </r>
    <r>
      <rPr>
        <b/>
        <sz val="10"/>
        <rFont val="Calibri"/>
        <family val="2"/>
      </rPr>
      <t>²</t>
    </r>
    <r>
      <rPr>
        <b/>
        <sz val="10"/>
        <rFont val="Arial"/>
        <family val="2"/>
      </rPr>
      <t>.</t>
    </r>
    <r>
      <rPr>
        <b/>
        <sz val="10"/>
        <rFont val="Calibri"/>
        <family val="2"/>
      </rPr>
      <t>Å</t>
    </r>
  </si>
  <si>
    <t>Throughputs</t>
  </si>
  <si>
    <r>
      <t>A</t>
    </r>
    <r>
      <rPr>
        <b/>
        <sz val="10"/>
        <rFont val="Calibri"/>
        <family val="2"/>
      </rPr>
      <t>∙Ω</t>
    </r>
    <r>
      <rPr>
        <b/>
        <sz val="10"/>
        <rFont val="Arial"/>
        <family val="2"/>
      </rPr>
      <t xml:space="preserve"> product on diffuse night sky, m</t>
    </r>
    <r>
      <rPr>
        <b/>
        <sz val="10"/>
        <rFont val="Calibri"/>
        <family val="2"/>
      </rPr>
      <t>²∙</t>
    </r>
    <r>
      <rPr>
        <b/>
        <sz val="10"/>
        <rFont val="Arial"/>
        <family val="2"/>
      </rPr>
      <t>as²</t>
    </r>
  </si>
  <si>
    <r>
      <t>System Aeff with DIQ and GalSize, m</t>
    </r>
    <r>
      <rPr>
        <b/>
        <sz val="10"/>
        <rFont val="Calibri"/>
        <family val="2"/>
      </rPr>
      <t>²</t>
    </r>
  </si>
  <si>
    <t>Combined spectral spatial grasp of 3x4 pixels</t>
  </si>
  <si>
    <t>&lt;&lt; DESI-0334</t>
  </si>
  <si>
    <t>Texposure</t>
  </si>
  <si>
    <t>Example exposure time, sec</t>
  </si>
  <si>
    <t>Number of reads for this exposure time</t>
  </si>
  <si>
    <t>Sensor Noise</t>
  </si>
  <si>
    <t>&lt;&lt; From the Noise Tab</t>
  </si>
  <si>
    <t>Signal per resel</t>
  </si>
  <si>
    <t>Noise per resel</t>
  </si>
  <si>
    <t>Dark current variance, e²</t>
  </si>
  <si>
    <t>Detector Cross Talk, e²</t>
  </si>
  <si>
    <t>SNR</t>
  </si>
  <si>
    <t>SIGNAL TO NOISE RATIO for this Texposure</t>
  </si>
  <si>
    <t>Spectrometer PSF Size</t>
  </si>
  <si>
    <t>Dark current, e/pixel/hr</t>
  </si>
  <si>
    <t>&lt;&lt; From estimated overall throughout tab</t>
  </si>
  <si>
    <t>327.6 nm [OII] flux, erg/cm^2/sec</t>
  </si>
  <si>
    <t>&lt;&lt; from DESI-1125 part 1 page 55</t>
  </si>
  <si>
    <t>327.9 nm [OII] flux, erg/cm^2/sec</t>
  </si>
  <si>
    <t>327.3 nm[OII]] signal, electrons</t>
  </si>
  <si>
    <t>327.9 nm[OII]] signal, electrons</t>
  </si>
  <si>
    <t>327.3nm [OII] Shot Noise, e²</t>
  </si>
  <si>
    <t>Spectrograph Scattered Light, e²</t>
  </si>
  <si>
    <t>Fiber Cross Talk, e²</t>
  </si>
  <si>
    <t>Grating Scatter, e²</t>
  </si>
  <si>
    <t>327.9nm [OII] Shot Noise, e²</t>
  </si>
  <si>
    <t>327.3nm [OII] Total variance, e²</t>
  </si>
  <si>
    <t>327.3nm [OII] Noise, eRMS</t>
  </si>
  <si>
    <t>327.3nm [OII] Signal to noise ratio for this exposure</t>
  </si>
  <si>
    <t>327.9nm [OII] Total variance, e²</t>
  </si>
  <si>
    <t>327.9nm [OII] Noise, eRMS</t>
  </si>
  <si>
    <t>327.9nm [OII] Signal to noise ratio for this exposure</t>
  </si>
  <si>
    <t>&lt;&lt; SNR for first singlet</t>
  </si>
  <si>
    <t>&lt;&lt; SNR for second singlet</t>
  </si>
  <si>
    <t>&lt;&lt; SNR for doublet</t>
  </si>
  <si>
    <t>Added FVC lateral error due to inhomogeneity, add defocus due to axial misalignment of fiber tip to ferrule end.  Add noise budget and SNR estimation worksheets.</t>
  </si>
  <si>
    <t>ignore all atmospheric emission features (for those see Hanuschik A&amp;A 407 2003)</t>
  </si>
  <si>
    <t>Incorporates results from Lampton, "SNR_Fibers.pdf" DESI-0392 section 5.3</t>
  </si>
  <si>
    <t>QUICK SIGNAL TO NOISE CALCULATION FOR EMISSION LINE GALAXIES (ELGs)</t>
  </si>
  <si>
    <t>Test Case: [OII] doublet total flux = 8E-17 erg/cm2.s</t>
  </si>
  <si>
    <t>Doublet lines each zero width (face-on), ratio 43% to 57%</t>
  </si>
  <si>
    <t>No moon</t>
  </si>
  <si>
    <r>
      <t>Assumed Doublet flux, erg/cm</t>
    </r>
    <r>
      <rPr>
        <b/>
        <sz val="10"/>
        <rFont val="Calibri"/>
        <family val="2"/>
      </rPr>
      <t>²</t>
    </r>
    <r>
      <rPr>
        <b/>
        <sz val="10"/>
        <rFont val="Arial"/>
        <family val="2"/>
      </rPr>
      <t>.sec</t>
    </r>
  </si>
  <si>
    <t>Total Stray Light</t>
  </si>
  <si>
    <t>&lt;&lt; Goal: Ghosts DESI-0358 (2013) + Dome DESI-0884 (2014)</t>
  </si>
  <si>
    <t>&lt;&lt; trade against cosmic ray hits</t>
  </si>
  <si>
    <t>No cosmic ray hits</t>
  </si>
  <si>
    <t>Read noise, eRMS/pixel, per readout</t>
  </si>
  <si>
    <t>&lt;&lt; Example from DESI-0867</t>
  </si>
  <si>
    <t>&lt;&lt; Example: see DESI-0318 L3.1.3, DESI-0867</t>
  </si>
  <si>
    <t>This chart is for comparison with Hanuschik 2003. It is not used in calculations below.</t>
  </si>
  <si>
    <t>Ghosts+Dome stray light: fraction of night sky continuum=</t>
  </si>
  <si>
    <r>
      <t>sanity check: Aeff=3.5m</t>
    </r>
    <r>
      <rPr>
        <vertAlign val="superscript"/>
        <sz val="10"/>
        <rFont val="Arial"/>
        <family val="2"/>
      </rPr>
      <t>2</t>
    </r>
    <r>
      <rPr>
        <sz val="10"/>
        <rFont val="Arial"/>
        <family val="2"/>
      </rPr>
      <t>, Ωfiber=1.67as</t>
    </r>
    <r>
      <rPr>
        <vertAlign val="superscript"/>
        <sz val="10"/>
        <rFont val="Arial"/>
        <family val="2"/>
      </rPr>
      <t>2</t>
    </r>
    <r>
      <rPr>
        <sz val="10"/>
        <rFont val="Arial"/>
        <family val="2"/>
      </rPr>
      <t>; A∙Ω=</t>
    </r>
  </si>
  <si>
    <r>
      <t>sanity check: Aeff=3.5m</t>
    </r>
    <r>
      <rPr>
        <vertAlign val="superscript"/>
        <sz val="10"/>
        <rFont val="Arial"/>
        <family val="2"/>
      </rPr>
      <t>2</t>
    </r>
    <r>
      <rPr>
        <sz val="10"/>
        <rFont val="Arial"/>
        <family val="2"/>
      </rPr>
      <t>, Tgalaxy+seeing=0.4; product=</t>
    </r>
  </si>
  <si>
    <t>&lt;&lt;  DESI-0392 "SNR_Fibers.pdf" Sections5, 6</t>
  </si>
  <si>
    <t>ignore atmospheric attenuation notches H2O, O2, etc (for those see Stubbs et al arXiv 0708.1364)</t>
  </si>
  <si>
    <t>For full simulation treatment: see Bailey et al DESI-0867 (2014)</t>
  </si>
  <si>
    <r>
      <t xml:space="preserve">One </t>
    </r>
    <r>
      <rPr>
        <b/>
        <i/>
        <sz val="11"/>
        <color theme="1"/>
        <rFont val="Calibri"/>
        <family val="2"/>
        <scheme val="minor"/>
      </rPr>
      <t>optimistic</t>
    </r>
    <r>
      <rPr>
        <b/>
        <sz val="11"/>
        <color theme="1"/>
        <rFont val="Calibri"/>
        <family val="2"/>
        <scheme val="minor"/>
      </rPr>
      <t xml:space="preserve"> simple case useful for studying effects of varying instrument parameters: </t>
    </r>
  </si>
  <si>
    <t>Moffat seeing 1.1 arcsec FWHM</t>
  </si>
  <si>
    <t>Sersic Rhalf = 0.35arcsec</t>
  </si>
  <si>
    <t>Fiber diameter = 107 um = 1.52 arcseconds</t>
  </si>
  <si>
    <t>RWB, MLL</t>
  </si>
  <si>
    <t>v8</t>
  </si>
  <si>
    <t>v9</t>
  </si>
  <si>
    <t>No changes to this spreadsheet.  In desi.yaml, posted under 0347, added exptime_bright, renamed exptime to exptime_dark, replaced tabs with spaces</t>
  </si>
  <si>
    <t>open area</t>
  </si>
  <si>
    <t>area of 1mm cable increase on two legs</t>
  </si>
  <si>
    <t>percent loss per mm cable diameter increase</t>
  </si>
  <si>
    <t>v10</t>
  </si>
  <si>
    <t>increased fiber length, updated desi.yaml</t>
  </si>
  <si>
    <t>v11</t>
  </si>
  <si>
    <t>PST</t>
  </si>
  <si>
    <t>db per km (published vals)</t>
  </si>
  <si>
    <t>lam</t>
  </si>
  <si>
    <t>min (db)</t>
  </si>
  <si>
    <t>max (db)</t>
  </si>
  <si>
    <t>mean (db)</t>
  </si>
  <si>
    <t>sd</t>
  </si>
  <si>
    <t>mean tp, 49m</t>
  </si>
  <si>
    <t>DESI-2564, Measurements by Infinite Optics on witness samples from the first set of fibers that were anti-reflection coated</t>
  </si>
  <si>
    <t>Wavelength</t>
  </si>
  <si>
    <t>Transmission</t>
  </si>
  <si>
    <t>C1A</t>
  </si>
  <si>
    <t>C1B</t>
  </si>
  <si>
    <t>C2B</t>
  </si>
  <si>
    <t>C2A</t>
  </si>
  <si>
    <t>C3B</t>
  </si>
  <si>
    <t>C3A</t>
  </si>
  <si>
    <t>C4B</t>
  </si>
  <si>
    <t>C4A actual</t>
  </si>
  <si>
    <t>Updated: Spectrograph and fiber AR window throughput; fiber throughput; Fiber absorption tab. Added Fiber AR coating results. Added C4A coating results and estimates for all other lens surfaces.</t>
  </si>
  <si>
    <t>v10 totals:</t>
  </si>
  <si>
    <t xml:space="preserve"> Fiber Transmission (absorption)</t>
  </si>
  <si>
    <t>DESI-2082-v1</t>
  </si>
  <si>
    <t>DESI-1838-v1</t>
  </si>
  <si>
    <t>DESI-2042-v1</t>
  </si>
  <si>
    <t>Measured QE of 161755.3.4 @ -110 C</t>
  </si>
  <si>
    <t>v10 values:</t>
  </si>
  <si>
    <r>
      <rPr>
        <sz val="11"/>
        <color theme="1"/>
        <rFont val="Symbol"/>
        <family val="1"/>
        <charset val="2"/>
      </rPr>
      <t>%D</t>
    </r>
    <r>
      <rPr>
        <sz val="11"/>
        <color theme="1"/>
        <rFont val="Calibri"/>
        <family val="2"/>
        <scheme val="minor"/>
      </rPr>
      <t>:</t>
    </r>
  </si>
  <si>
    <t>Broadband AR coating (spec in-band, estimate out-of-band), DESI-2564</t>
  </si>
  <si>
    <t>DESI-2563-v1</t>
  </si>
  <si>
    <t>RWB, PJ, CP, TM</t>
  </si>
  <si>
    <t>v12</t>
  </si>
  <si>
    <t>SEH</t>
  </si>
  <si>
    <t>v11 totals:</t>
  </si>
  <si>
    <t>v9 totals:</t>
  </si>
  <si>
    <t>v8 totals:</t>
  </si>
  <si>
    <t>v7 totals:</t>
  </si>
  <si>
    <t>v12 totals:</t>
  </si>
  <si>
    <t>ADC1A</t>
  </si>
  <si>
    <t>ADC1B</t>
  </si>
  <si>
    <t>ADC2A</t>
  </si>
  <si>
    <t>ADC2B</t>
  </si>
  <si>
    <t>we expect to have C2 A&amp;B data by Dec 2017</t>
  </si>
  <si>
    <t>Note that the DESI-347-v11 estimates included the C1-C4 surfaces but not ADC1&amp;ADC2, and therefore the estimates were too high</t>
  </si>
  <si>
    <t>Notes v12:</t>
  </si>
  <si>
    <t>loss is total integrated scatter (TIS) from sfc roughness and HSF figure errors; includes all surfaces (DESI-707-v2)</t>
  </si>
  <si>
    <t>Corrector manufacturing and alignment errors from DESI-0335-v5; units are rms radius squared; includes respacing to correct some lens errors</t>
  </si>
  <si>
    <t>RMS blur sigma from manufacturing (see cell T12)</t>
  </si>
  <si>
    <t>v12: assumed mean 0.3deg tilt, theta/phi, giving 0.45deg full stackup</t>
  </si>
  <si>
    <t>Updated: Corrector coating based on Viavi test results for all lenses except C2.  Lens scatter based on surface roughness.  Corrector manufacturing and alignment errors.  Max allowable fiber tilt increased.</t>
  </si>
  <si>
    <t>blur sigma from GFA misalignment of barrel decenter relative to M1</t>
  </si>
  <si>
    <t>blur sigma from GFA misalignment of barrel tip/tilt  relative to M1</t>
  </si>
  <si>
    <t>v13</t>
  </si>
  <si>
    <t>v13 totals:</t>
  </si>
  <si>
    <t>QUICK SIGNAL TO NOISE CALCULATION FOR QSOs (based on ELG tab)</t>
  </si>
  <si>
    <t>For full simulation treatment: see TBD</t>
  </si>
  <si>
    <r>
      <rPr>
        <b/>
        <sz val="11"/>
        <color rgb="FF000000"/>
        <rFont val="Calibri"/>
        <family val="2"/>
        <charset val="1"/>
      </rPr>
      <t xml:space="preserve">One </t>
    </r>
    <r>
      <rPr>
        <b/>
        <i/>
        <sz val="11"/>
        <color rgb="FF000000"/>
        <rFont val="Calibri"/>
        <family val="2"/>
        <charset val="1"/>
      </rPr>
      <t>optimistic</t>
    </r>
    <r>
      <rPr>
        <b/>
        <sz val="11"/>
        <color rgb="FF000000"/>
        <rFont val="Calibri"/>
        <family val="2"/>
        <charset val="1"/>
      </rPr>
      <t xml:space="preserve"> simple case useful for studying effects of varying instrument parameters: </t>
    </r>
  </si>
  <si>
    <r>
      <rPr>
        <sz val="10"/>
        <rFont val="Arial"/>
        <family val="2"/>
      </rPr>
      <t>Direct Imaging Manual VegaMag/as</t>
    </r>
    <r>
      <rPr>
        <sz val="10"/>
        <rFont val="Calibri"/>
        <family val="2"/>
        <charset val="1"/>
      </rPr>
      <t>²</t>
    </r>
  </si>
  <si>
    <t>Check for g = 0 mag</t>
  </si>
  <si>
    <t>QSO Target</t>
  </si>
  <si>
    <t>Observed Wavelength</t>
  </si>
  <si>
    <t>Angstroms</t>
  </si>
  <si>
    <t>g AB magnitude</t>
  </si>
  <si>
    <t>L2.5.4 DESI-0318</t>
  </si>
  <si>
    <t>AB mag</t>
  </si>
  <si>
    <t>Continuum flux (erg/s/cm2/Hz)</t>
  </si>
  <si>
    <t>erg/s/cm2/Hz</t>
  </si>
  <si>
    <t>Continuum flux (erg/s/cm2/A)</t>
  </si>
  <si>
    <t>erg/s/cm2/A</t>
  </si>
  <si>
    <t>Photon flux (photons/s/cm2/A)</t>
  </si>
  <si>
    <t>photons/s/cm2/A</t>
  </si>
  <si>
    <t>Sky photon flux (photons/s/cm2/A/arcsec2)</t>
  </si>
  <si>
    <t>photons/s/cm2/A/arcsec2</t>
  </si>
  <si>
    <t>Fiber area (arcsec2)</t>
  </si>
  <si>
    <t>&lt;&lt; From Throughput Tab. JG: Seems inconsistent with fiber diameter and plate scale?</t>
  </si>
  <si>
    <t>Blue Camera Dispersion</t>
  </si>
  <si>
    <t>A/pix</t>
  </si>
  <si>
    <t>Resolution  dlambda</t>
  </si>
  <si>
    <t>Number of pixels to sum for extraction</t>
  </si>
  <si>
    <r>
      <t xml:space="preserve">&lt;&lt; </t>
    </r>
    <r>
      <rPr>
        <sz val="10"/>
        <rFont val="Arial"/>
        <family val="2"/>
      </rPr>
      <t>JG: from $DESIMODEL/data/specpsf/psf-quicksim.fits, hdu QUICKSIM-B</t>
    </r>
  </si>
  <si>
    <t>Telescope area cm2</t>
  </si>
  <si>
    <t>&lt;&lt; PM: Thoughput accounts for central obstruction</t>
  </si>
  <si>
    <t>Point source fiber loss</t>
  </si>
  <si>
    <t>&lt;&lt; JG: Need to compute independently</t>
  </si>
  <si>
    <t>QSO Throughput (fraction)</t>
  </si>
  <si>
    <t>Sky Throughput (fraction)</t>
  </si>
  <si>
    <r>
      <rPr>
        <b/>
        <sz val="10"/>
        <rFont val="Calibri"/>
        <family val="2"/>
        <charset val="1"/>
      </rPr>
      <t>Δ</t>
    </r>
    <r>
      <rPr>
        <b/>
        <sz val="10"/>
        <rFont val="Arial"/>
        <family val="2"/>
        <charset val="1"/>
      </rPr>
      <t xml:space="preserve">Lambda one resel = 3 pixels, in </t>
    </r>
    <r>
      <rPr>
        <b/>
        <sz val="10"/>
        <rFont val="Calibri"/>
        <family val="2"/>
        <charset val="1"/>
      </rPr>
      <t>Å=</t>
    </r>
  </si>
  <si>
    <t>Single exposure time</t>
  </si>
  <si>
    <t>&lt;&lt; exposure time for one layer</t>
  </si>
  <si>
    <t>Number of exposures</t>
  </si>
  <si>
    <t>&lt;&lt; number of layers</t>
  </si>
  <si>
    <t>Total exposure time</t>
  </si>
  <si>
    <t>Number of reads per single exposure</t>
  </si>
  <si>
    <t>Read noise per readout e/pix</t>
  </si>
  <si>
    <t>Single exposure read noise for 3pix x 1 A in e</t>
  </si>
  <si>
    <t>Dark current for 3pix x 1A, per exposure, e</t>
  </si>
  <si>
    <t>Signal per Angstrom</t>
  </si>
  <si>
    <t xml:space="preserve">Total Signal (e-/Ang) </t>
  </si>
  <si>
    <t>Sky variance</t>
  </si>
  <si>
    <r>
      <rPr>
        <b/>
        <sz val="10"/>
        <rFont val="Arial"/>
        <family val="2"/>
        <charset val="1"/>
      </rPr>
      <t>Read variance, e</t>
    </r>
    <r>
      <rPr>
        <b/>
        <sz val="10"/>
        <rFont val="Calibri"/>
        <family val="2"/>
        <charset val="1"/>
      </rPr>
      <t>²</t>
    </r>
  </si>
  <si>
    <t>Source Variance</t>
  </si>
  <si>
    <t>Total variance, e²</t>
  </si>
  <si>
    <t>eRMS</t>
  </si>
  <si>
    <t>DESI-0318 L2.5.4: For g=23 mag, S/N &gt; 1/A for lambda &gt;= 4000 A, S/N &gt; 0.5/A to lambda = 3770A</t>
  </si>
  <si>
    <t>Notes on v13:</t>
  </si>
  <si>
    <t>So the average throughput hit over all fibers is more like 0.006%.   It is ignored.</t>
  </si>
  <si>
    <t>before the actual coating, with a slight residual.  We didn’t measure any transmission loss, so any loss is within uncertainty, 0.1% or less.   It is ignored.</t>
  </si>
  <si>
    <t>2. DESI-3158 is an analysis of effect of scratches on C3.  This was used to reduce throughput over all wavelengths.</t>
  </si>
  <si>
    <t>3. C2 has a divot.  The loss is calced in DESI-3573.  Because of where it is, the divot only affects some fibers, with a loss of 0.11%, but ~95% of fibers are unaffected.</t>
  </si>
  <si>
    <t xml:space="preserve">4. Yes, ADC2 suffered a few stains on the B side during cleaning operations.  (brief summary at DESI-3574)  Viavi was able to successfully clean most of it off </t>
  </si>
  <si>
    <t>1. Values are based on measurements of the actual AR coatings on surfaces, from final verification data from Viavi</t>
  </si>
  <si>
    <t>2. Currently have data for all lenses except C2 A&amp;B, so use previous estimates for those (from development test data)</t>
  </si>
  <si>
    <t>1. Values updated from DESI-3572.  All lens surfaces are now accounted for.</t>
  </si>
  <si>
    <t>Reduction due to scratches on C3</t>
  </si>
  <si>
    <t>See DESI-3158</t>
  </si>
  <si>
    <t>DESI-0720-v4 (FPA Tolerance Stackups)</t>
  </si>
  <si>
    <t>Measured scatter in fiber focus, DESI-3773, 3-sigma</t>
  </si>
  <si>
    <t>1. CCD read noise and dark current for "blue" CCDs is result of testing of ITL CCDs with FEEs.</t>
  </si>
  <si>
    <t>2. CCD read noise and dark current for LBL CCDs is result of testing with FEEs.</t>
  </si>
  <si>
    <t>CMM measurement, run 4, 2017-11-22, 3*rms</t>
  </si>
  <si>
    <t xml:space="preserve">   GFA CCD to baseplate tolerance</t>
  </si>
  <si>
    <t>DESI-0384, GFA to Focal Plate ICD</t>
  </si>
  <si>
    <t>due to spot size growing with f-number cone (1-d sigma radius of a top hat spot with diameter=defocus/f#/2/3)</t>
  </si>
  <si>
    <t>See Notes</t>
  </si>
  <si>
    <t>SEH, PM, JG, PNJ</t>
  </si>
  <si>
    <t>ArXiv: 1805.06012; Yutong, Silber,et.al.; "DESI Focal Plate Alignment", 3 * rms error</t>
  </si>
  <si>
    <t xml:space="preserve">   Measured axial variation in POS spot face on Petal w.r.t. focal surface</t>
  </si>
  <si>
    <t xml:space="preserve">   Measured axial variation GFA mounting plate w.r.t. focal surface</t>
  </si>
  <si>
    <t xml:space="preserve">   Measured fiber axial variation, w.r.t. focal surface</t>
  </si>
  <si>
    <t>Trending Data</t>
  </si>
  <si>
    <t>Galaxy throughput trending</t>
  </si>
  <si>
    <t>Trending</t>
  </si>
  <si>
    <t>npix_cross</t>
  </si>
  <si>
    <t>&lt;&lt; PSF noise equivalent number of CCD pixels along cross-dispersion axis for the read noise</t>
  </si>
  <si>
    <t>npix_disp_tot</t>
  </si>
  <si>
    <t>&lt;&lt; LSF+vdisp combined noise equivalent number of CCD pixels along dispersion axis for the sky continuum noise</t>
  </si>
  <si>
    <t>&lt;&lt; Computed numerically for the doublet (the overlap makes it difficult to compute analytically) assuming a Gaussian LSF of sigma=1.1pix, pix size=0.63A, and vdisp=70 km/s</t>
  </si>
  <si>
    <r>
      <rPr>
        <b/>
        <sz val="10"/>
        <rFont val="Calibri"/>
        <family val="2"/>
        <charset val="1"/>
      </rPr>
      <t>Δ</t>
    </r>
    <r>
      <rPr>
        <b/>
        <sz val="10"/>
        <rFont val="Arial"/>
        <family val="2"/>
        <charset val="1"/>
      </rPr>
      <t xml:space="preserve">Lambda per pixel in </t>
    </r>
    <r>
      <rPr>
        <b/>
        <sz val="10"/>
        <rFont val="Calibri"/>
        <family val="2"/>
        <charset val="1"/>
      </rPr>
      <t>Å=</t>
    </r>
  </si>
  <si>
    <t>Noise equivalent OII line width in A=</t>
  </si>
  <si>
    <t>Read noise for npix_cross x npix_disp pixels, eRMS, all N readouts</t>
  </si>
  <si>
    <t>Dark current for npix_cross x npix_disp pixels, per exposure, e</t>
  </si>
  <si>
    <r>
      <rPr>
        <b/>
        <sz val="10"/>
        <rFont val="Arial"/>
        <family val="2"/>
        <charset val="1"/>
      </rPr>
      <t>Exposure sky counts (per resel) = sky variance, e</t>
    </r>
    <r>
      <rPr>
        <b/>
        <sz val="10"/>
        <rFont val="Calibri"/>
        <family val="2"/>
        <charset val="1"/>
      </rPr>
      <t>²</t>
    </r>
  </si>
  <si>
    <t>v14</t>
  </si>
  <si>
    <t>1) redshift: 1.28 -&gt; 1.19 , so that the OII line does not overlap with a sky line</t>
  </si>
  <si>
    <t>    The draw back is that there are water vapor atmospheric absorption features on the OII line that change the throughput by about 10%</t>
  </si>
  <si>
    <t>    in the DESI simulations.</t>
  </si>
  <si>
    <t>2)  PSF treatment and number of CCD pixels to better match with a profile extraction :</t>
  </si>
  <si>
    <t>  - define N_pix_cross = 4.1  ; effective number of CCD pixels along cross-dispersion axis for the read noise (*)</t>
  </si>
  <si>
    <t>  - define N_pix_disp  = 10.5 ; this is the effective number of CCD pixels along dispersion axis for the sky continuum noise (*)</t>
  </si>
  <si>
    <t>        This number is calculated numerically assuming a Gaussian PSF of sigma=1.1 pixel, a velocity dispersion in the ELGs of 70 km/s,</t>
  </si>
  <si>
    <t>    and the pixel size given below, taking into account that the lines in the doublet overlap!</t>
  </si>
  <si>
    <t>  - define pixel size = 0.63 A (valid for the NIR camera, central fiber, at 8161A)</t>
  </si>
  <si>
    <t>  - do not multiply the signal by the truncated integral of the PSF (we emulate a weighted profile extraction instead of a box car extraction)</t>
  </si>
  <si>
    <t>(*) This is the noise equivalent number of pixels defined as Neff in eq. 16 page 6 of the note of Mike Lampton SNR_Fibers.pdf DESI-392.</t>
  </si>
  <si>
    <t>    We emulate here a CCD row-by-row profile extraction. So we have 2 Neff values along the cross-dispersion and dispersion axis</t>
  </si>
  <si>
    <t>    (assuming spectral traces are along the CCD columns).</t>
  </si>
  <si>
    <t>    The PSF Neff is about 4.1 pixel along both axis, but here we measure the S/N of a resolved line doublet with a non-null</t>
  </si>
  <si>
    <t>    velocity dispersion so the value of Neff = 1 / sum_i profile_i^2 (with sum_i profile_i=1) has to be computed numerically.</t>
  </si>
  <si>
    <t>Notes (Jun 12, 2018), from Julien Guy email</t>
  </si>
  <si>
    <t>Figure 1 of DESI-0867; dashed blue line at S/N &gt;7 where DESI achieves unambiguous [OII] detection</t>
  </si>
  <si>
    <t>Corrected error in Cell B18, Throughput.  Added 'Estimated QSO SNR' tab to address L2.5.4 in DESI-318.  Updated coating performance for C2.  Coating performance adjusted per DESI-3158 (scratches on C3).  Corrected formula in row 26, Throughput, to correct for 1-d sigma (divide by 2).   Modified calculation of defocus, using measured values for fiber axial position variation, positioner axial position variation, GFA mount plate variation, GFA CCD axial position tolerance, see rows 32-35, Throughput. Updated CCD noise and dark current, Noise tab.  Added trending plots to throughput and SNR tabs.  Updated 'Estimated ELG SNR" tab, per J. Guy email, see notes on that tab.</t>
  </si>
  <si>
    <t>Test Case: redshift z=1.19, close to an area where skylines have minimum effect (see figure 1 DESI-0867)</t>
  </si>
  <si>
    <t>SEH, PNJ</t>
  </si>
  <si>
    <t>Wav</t>
  </si>
  <si>
    <t>SM6</t>
  </si>
  <si>
    <t>SM7</t>
  </si>
  <si>
    <t>SM8</t>
  </si>
  <si>
    <t>SM9</t>
  </si>
  <si>
    <t>SM10</t>
  </si>
  <si>
    <t>Average</t>
  </si>
  <si>
    <t>Minimum</t>
  </si>
  <si>
    <t>Maximum</t>
  </si>
  <si>
    <t>Number of spectrographs</t>
  </si>
  <si>
    <t>SM1</t>
  </si>
  <si>
    <t>DESI-0929-v1</t>
  </si>
  <si>
    <t>SM2</t>
  </si>
  <si>
    <t>DESI-3199-v1 (SN 64935)</t>
  </si>
  <si>
    <t>DESI-3199-v1 (SN 65744)</t>
  </si>
  <si>
    <t>DESI-3878-v1</t>
  </si>
  <si>
    <t>DESI-3804-v1</t>
  </si>
  <si>
    <t>DESI-3829-v1</t>
  </si>
  <si>
    <t>SM3</t>
  </si>
  <si>
    <t>DESI-3199-v1 (SN 64936)</t>
  </si>
  <si>
    <t>DESI-3199-v1 (SN 65745)</t>
  </si>
  <si>
    <t>DESI-3828-v1</t>
  </si>
  <si>
    <t>DESI-3847-v2</t>
  </si>
  <si>
    <t>SM4</t>
  </si>
  <si>
    <t>DESI-3199-v1 (SN 64938)</t>
  </si>
  <si>
    <t>DESI-3199-v1 (SN 65748)</t>
  </si>
  <si>
    <t>SM5</t>
  </si>
  <si>
    <t>DESI-3199-v1 (SN 64939)</t>
  </si>
  <si>
    <t>DESI-3199-v1 (SN 65749)</t>
  </si>
  <si>
    <t>DESI-3199-v1 (SN 64940)</t>
  </si>
  <si>
    <t>DESI-3199-v1 (SN 65750)</t>
  </si>
  <si>
    <t>DESI-3199-v1 (SN 64942)</t>
  </si>
  <si>
    <t>DESI-3199-v1 (SN 65751)</t>
  </si>
  <si>
    <t>DESI-3199-v1 (SN 64944)</t>
  </si>
  <si>
    <t>DESI-3199-v1 (SN 65753)</t>
  </si>
  <si>
    <t>DESI-3199-v1 (SN 64945)</t>
  </si>
  <si>
    <t>DESI-3199-v1 (SN 65754)</t>
  </si>
  <si>
    <t>DESI-3199-v1 (SN 64946)</t>
  </si>
  <si>
    <t>DESI-3199-v1 (SN 65755)</t>
  </si>
  <si>
    <t>Average throughput across all spectrographs (of data currently available)</t>
  </si>
  <si>
    <t>v14 totals:</t>
  </si>
  <si>
    <t>v15</t>
  </si>
  <si>
    <t>SNR per sqrt(Angstrom)</t>
  </si>
  <si>
    <t>SNR Requirement (L2.5.4)</t>
  </si>
  <si>
    <t>Total noise CCDs for 1/3 hour exposure</t>
  </si>
  <si>
    <t xml:space="preserve">  a. As of 10/10/2018: average read noise of 32 quadrants tested is 3.29</t>
  </si>
  <si>
    <t xml:space="preserve">  b. As of 10/10/2018: average dark current is 1.89</t>
  </si>
  <si>
    <t xml:space="preserve">  a. As of 10/10/2018: average read noise of 12 quadrants tested is 2.69</t>
  </si>
  <si>
    <t xml:space="preserve">  b. As of 10/10/2018: average dark current is 1.14</t>
  </si>
  <si>
    <t>N=1</t>
  </si>
  <si>
    <t>N=2</t>
  </si>
  <si>
    <t>Move spectrograph throughput to separate tab, to allow tracking of individual spectrographs.  Update CCD noise and dark, on Noise tab.  Modified ELG SNR computation, Nexp=1.</t>
  </si>
  <si>
    <t>Notes on v14:</t>
  </si>
  <si>
    <t>DESI-613 Throughput Req't.</t>
  </si>
  <si>
    <t>DESI-1797-v1</t>
  </si>
  <si>
    <t>DESI-0336</t>
  </si>
  <si>
    <t>DESI-3983</t>
  </si>
  <si>
    <t>DESI-4505</t>
  </si>
  <si>
    <t>DESI-4381</t>
  </si>
  <si>
    <t>DESI-4339</t>
  </si>
  <si>
    <t>DESI-4386</t>
  </si>
  <si>
    <t>DESI-4340</t>
  </si>
  <si>
    <t>DESI-2927 (SN 22801)</t>
  </si>
  <si>
    <t>DESI-2927 (SN22797)</t>
  </si>
  <si>
    <t>DESI-2927 (SN22794)</t>
  </si>
  <si>
    <t>DESI-2927 (SN22802)</t>
  </si>
  <si>
    <t>DESI-2927 (SN17986)</t>
  </si>
  <si>
    <t>DESI-4387</t>
  </si>
  <si>
    <t>DESI-4341</t>
  </si>
  <si>
    <t>DESI-2927 (SN 22804)</t>
  </si>
  <si>
    <t>DESI-4371</t>
  </si>
  <si>
    <t>DESI-4482</t>
  </si>
  <si>
    <t>DESI-2927 (SN 22813)</t>
  </si>
  <si>
    <t>DESI-2927 (SN 22829)</t>
  </si>
  <si>
    <t>DESI-2927 (SN 22822)</t>
  </si>
  <si>
    <t>DESI-2927 (SN 22825)</t>
  </si>
  <si>
    <t>v15 totals:</t>
  </si>
  <si>
    <t>Updated the spectrograph throughput, average includes estimates for all ten.</t>
  </si>
  <si>
    <t>DESI-1801-v1 (Includes obscuration loss due to slot, 0.974 peak reflection in blue/red)</t>
  </si>
  <si>
    <t>DESI-1801-v1 (Includes obscuration loss due to slot, 0.963 peak transmission in NIR)</t>
  </si>
  <si>
    <t>DESI-1897-v1</t>
  </si>
  <si>
    <t xml:space="preserve">DESI-3824-v1 (SN1) </t>
  </si>
  <si>
    <t>DESI-3824-v1 (SN2)</t>
  </si>
  <si>
    <t xml:space="preserve">DESI-3824-v1 (SN3) </t>
  </si>
  <si>
    <t>DESI-3824-v1 (SN4)</t>
  </si>
  <si>
    <t>DESI-3824-v1 (SN5)</t>
  </si>
  <si>
    <t>DESI-3824-v1 (SN6)</t>
  </si>
  <si>
    <t>DESI-3824-v1 (SN7)</t>
  </si>
  <si>
    <t xml:space="preserve">DESI-3824-v1 (SN8) </t>
  </si>
  <si>
    <t>DESI-3824-v1 (SN9)</t>
  </si>
  <si>
    <t>Data from DESI-2579</t>
  </si>
  <si>
    <t>V16</t>
  </si>
  <si>
    <t>v16</t>
  </si>
  <si>
    <t>From KOSI measurements</t>
  </si>
  <si>
    <t>DESI-4526</t>
  </si>
  <si>
    <t>DESI-4535</t>
  </si>
  <si>
    <t>DESI-4595</t>
  </si>
  <si>
    <t>DESI-4559</t>
  </si>
  <si>
    <t>DESI-4942</t>
  </si>
  <si>
    <t>DESI-4948</t>
  </si>
  <si>
    <t>DESI-4906</t>
  </si>
  <si>
    <t>DESI-4903</t>
  </si>
  <si>
    <t>DESI-4914</t>
  </si>
  <si>
    <t>DESI-4937</t>
  </si>
  <si>
    <t>DESI-4916</t>
  </si>
  <si>
    <t>DESI-4917</t>
  </si>
  <si>
    <t>Updated Fiber Absorption (from DESI-2579). Updated spectrograph throughput (from DESI-5501)</t>
  </si>
  <si>
    <t>v16 totals:</t>
  </si>
  <si>
    <t>DESI-5694-v1 (SN64469)</t>
  </si>
  <si>
    <t>DESI-5694-v1 (SN64470)</t>
  </si>
  <si>
    <t>DESI-5694-v1 (SN64472)</t>
  </si>
  <si>
    <t>DESI-5694-v1 (SN64473)</t>
  </si>
  <si>
    <t>DESI-5694-v1 (SN64474)</t>
  </si>
  <si>
    <t>DESI-5694-v1 (SN64475)</t>
  </si>
  <si>
    <t>DESI-5694-v1 (SN64476)</t>
  </si>
  <si>
    <t>DESI-5694-v1 (SN64477)</t>
  </si>
  <si>
    <t>v17</t>
  </si>
  <si>
    <t>v17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</si>
</sst>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000"/>
    <numFmt numFmtId="166" formatCode="yyyy/mm/dd"/>
    <numFmt numFmtId="167" formatCode="0.0"/>
    <numFmt numFmtId="168" formatCode="0.00000"/>
    <numFmt numFmtId="169" formatCode="0.000000"/>
    <numFmt numFmtId="170" formatCode="m/d/yy\ h:mm;@"/>
    <numFmt numFmtId="171" formatCode="0.000E+00"/>
    <numFmt numFmtId="172" formatCode="0.0E+00"/>
    <numFmt numFmtId="173" formatCode="0.0000%"/>
    <numFmt numFmtId="174" formatCode="0.0%"/>
  </numFmts>
  <fonts count="54">
    <font>
      <sz val="11"/>
      <color theme="1"/>
      <name val="Calibri"/>
      <family val="2"/>
      <scheme val="minor"/>
    </font>
    <font>
      <sz val="12"/>
      <color theme="1"/>
      <name val="Calibri"/>
      <family val="2"/>
      <charset val="128"/>
      <scheme val="minor"/>
    </font>
    <font>
      <b/>
      <sz val="11"/>
      <color theme="1"/>
      <name val="Calibri"/>
      <family val="2"/>
      <scheme val="minor"/>
    </font>
    <font>
      <sz val="8"/>
      <name val="Verdana"/>
      <family val="2"/>
    </font>
    <font>
      <sz val="11"/>
      <color rgb="FF00B050"/>
      <name val="Calibri"/>
      <family val="2"/>
      <scheme val="minor"/>
    </font>
    <font>
      <b/>
      <sz val="10"/>
      <name val="Arial"/>
      <family val="2"/>
    </font>
    <font>
      <sz val="20"/>
      <color indexed="8"/>
      <name val="Arial"/>
      <family val="2"/>
    </font>
    <font>
      <sz val="10"/>
      <name val="Arial"/>
      <family val="2"/>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theme="1"/>
      <name val="Calibri"/>
      <family val="2"/>
    </font>
    <font>
      <b/>
      <u/>
      <sz val="11"/>
      <color theme="1"/>
      <name val="Calibri"/>
      <family val="2"/>
      <scheme val="minor"/>
    </font>
    <font>
      <b/>
      <sz val="12"/>
      <name val="Arial"/>
      <family val="2"/>
    </font>
    <font>
      <u/>
      <sz val="11"/>
      <color theme="1"/>
      <name val="Calibri"/>
      <family val="2"/>
      <scheme val="minor"/>
    </font>
    <font>
      <strike/>
      <sz val="11"/>
      <color theme="1"/>
      <name val="Calibri"/>
      <family val="2"/>
      <scheme val="minor"/>
    </font>
    <font>
      <sz val="24"/>
      <color theme="1"/>
      <name val="Calibri"/>
      <family val="2"/>
      <scheme val="minor"/>
    </font>
    <font>
      <u/>
      <sz val="11"/>
      <color theme="10"/>
      <name val="Calibri"/>
      <family val="2"/>
    </font>
    <font>
      <sz val="14"/>
      <color theme="1"/>
      <name val="Calibri"/>
      <family val="2"/>
      <scheme val="minor"/>
    </font>
    <font>
      <b/>
      <sz val="11"/>
      <color rgb="FFFF0000"/>
      <name val="Calibri"/>
      <family val="2"/>
      <scheme val="minor"/>
    </font>
    <font>
      <sz val="11"/>
      <name val="Calibri"/>
      <family val="2"/>
      <scheme val="minor"/>
    </font>
    <font>
      <b/>
      <u/>
      <sz val="11"/>
      <color theme="1"/>
      <name val="Calibri"/>
      <family val="2"/>
    </font>
    <font>
      <u/>
      <sz val="10"/>
      <color theme="10"/>
      <name val="Arial"/>
      <family val="2"/>
    </font>
    <font>
      <sz val="10"/>
      <name val="Calibri"/>
      <family val="2"/>
    </font>
    <font>
      <b/>
      <sz val="10"/>
      <name val="Calibri"/>
      <family val="2"/>
    </font>
    <font>
      <u/>
      <sz val="11"/>
      <color theme="11"/>
      <name val="Calibri"/>
      <family val="2"/>
      <scheme val="minor"/>
    </font>
    <font>
      <vertAlign val="superscript"/>
      <sz val="10"/>
      <name val="Arial"/>
      <family val="2"/>
    </font>
    <font>
      <b/>
      <i/>
      <sz val="11"/>
      <color theme="1"/>
      <name val="Calibri"/>
      <family val="2"/>
      <scheme val="minor"/>
    </font>
    <font>
      <sz val="11"/>
      <color theme="1"/>
      <name val="Symbol"/>
      <family val="1"/>
      <charset val="2"/>
    </font>
    <font>
      <b/>
      <sz val="11"/>
      <name val="Calibri"/>
      <family val="2"/>
      <scheme val="minor"/>
    </font>
    <font>
      <i/>
      <sz val="11"/>
      <color theme="1"/>
      <name val="Calibri"/>
      <family val="2"/>
      <scheme val="minor"/>
    </font>
    <font>
      <sz val="11"/>
      <color rgb="FF000000"/>
      <name val="Calibri"/>
      <family val="2"/>
      <charset val="1"/>
    </font>
    <font>
      <b/>
      <sz val="11"/>
      <color rgb="FF000000"/>
      <name val="Calibri"/>
      <family val="2"/>
      <charset val="1"/>
    </font>
    <font>
      <b/>
      <i/>
      <sz val="11"/>
      <color rgb="FF000000"/>
      <name val="Calibri"/>
      <family val="2"/>
      <charset val="1"/>
    </font>
    <font>
      <sz val="10"/>
      <name val="Arial"/>
      <family val="2"/>
      <charset val="1"/>
    </font>
    <font>
      <b/>
      <sz val="12"/>
      <name val="Arial"/>
      <family val="2"/>
      <charset val="1"/>
    </font>
    <font>
      <u/>
      <sz val="10"/>
      <color rgb="FF0000FF"/>
      <name val="Arial"/>
      <family val="2"/>
      <charset val="1"/>
    </font>
    <font>
      <sz val="10"/>
      <name val="Calibri"/>
      <family val="2"/>
      <charset val="1"/>
    </font>
    <font>
      <b/>
      <sz val="10"/>
      <name val="Arial"/>
      <family val="2"/>
      <charset val="1"/>
    </font>
    <font>
      <b/>
      <sz val="10"/>
      <name val="Calibri"/>
      <family val="2"/>
      <charset val="1"/>
    </font>
    <font>
      <b/>
      <sz val="11"/>
      <color rgb="FF000000"/>
      <name val="Calibri"/>
      <family val="2"/>
    </font>
  </fonts>
  <fills count="48">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
      <patternFill patternType="solid">
        <fgColor indexed="4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BFF88"/>
        <bgColor rgb="FFFFFF99"/>
      </patternFill>
    </fill>
    <fill>
      <patternFill patternType="solid">
        <fgColor rgb="FFFFFF99"/>
        <bgColor rgb="FFFBFF88"/>
      </patternFill>
    </fill>
    <fill>
      <patternFill patternType="solid">
        <fgColor rgb="FFCCFFFF"/>
        <bgColor rgb="FFDBEEF4"/>
      </patternFill>
    </fill>
    <fill>
      <patternFill patternType="solid">
        <fgColor rgb="FFDCE6F2"/>
        <bgColor rgb="FFDBEEF4"/>
      </patternFill>
    </fill>
    <fill>
      <patternFill patternType="solid">
        <fgColor rgb="FFDBEEF4"/>
        <bgColor rgb="FFDCE6F2"/>
      </patternFill>
    </fill>
    <fill>
      <patternFill patternType="solid">
        <fgColor theme="2"/>
        <bgColor indexed="64"/>
      </patternFill>
    </fill>
  </fills>
  <borders count="64">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style="medium">
        <color auto="1"/>
      </top>
      <bottom style="medium">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medium">
        <color auto="1"/>
      </top>
      <bottom/>
      <diagonal/>
    </border>
    <border>
      <left style="thin">
        <color auto="1"/>
      </left>
      <right/>
      <top style="thin">
        <color auto="1"/>
      </top>
      <bottom style="medium">
        <color auto="1"/>
      </bottom>
      <diagonal/>
    </border>
    <border>
      <left style="thin">
        <color auto="1"/>
      </left>
      <right/>
      <top/>
      <bottom style="medium">
        <color auto="1"/>
      </bottom>
      <diagonal/>
    </border>
    <border>
      <left style="thick">
        <color auto="1"/>
      </left>
      <right/>
      <top/>
      <bottom/>
      <diagonal/>
    </border>
    <border>
      <left/>
      <right style="thick">
        <color auto="1"/>
      </right>
      <top style="medium">
        <color auto="1"/>
      </top>
      <bottom/>
      <diagonal/>
    </border>
    <border>
      <left/>
      <right style="thick">
        <color auto="1"/>
      </right>
      <top/>
      <bottom/>
      <diagonal/>
    </border>
    <border>
      <left/>
      <right style="thick">
        <color auto="1"/>
      </right>
      <top/>
      <bottom style="medium">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49">
    <xf numFmtId="0" fontId="0" fillId="0" borderId="0"/>
    <xf numFmtId="0" fontId="10" fillId="0" borderId="0" applyNumberFormat="0" applyFill="0" applyBorder="0" applyAlignment="0" applyProtection="0"/>
    <xf numFmtId="0" fontId="11" fillId="0" borderId="17" applyNumberFormat="0" applyFill="0" applyAlignment="0" applyProtection="0"/>
    <xf numFmtId="0" fontId="12" fillId="0" borderId="18" applyNumberFormat="0" applyFill="0" applyAlignment="0" applyProtection="0"/>
    <xf numFmtId="0" fontId="13" fillId="0" borderId="19"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20" applyNumberFormat="0" applyAlignment="0" applyProtection="0"/>
    <xf numFmtId="0" fontId="18" fillId="7" borderId="21" applyNumberFormat="0" applyAlignment="0" applyProtection="0"/>
    <xf numFmtId="0" fontId="19" fillId="7" borderId="20" applyNumberFormat="0" applyAlignment="0" applyProtection="0"/>
    <xf numFmtId="0" fontId="20" fillId="0" borderId="22" applyNumberFormat="0" applyFill="0" applyAlignment="0" applyProtection="0"/>
    <xf numFmtId="0" fontId="21" fillId="8" borderId="23" applyNumberFormat="0" applyAlignment="0" applyProtection="0"/>
    <xf numFmtId="0" fontId="8" fillId="0" borderId="0" applyNumberFormat="0" applyFill="0" applyBorder="0" applyAlignment="0" applyProtection="0"/>
    <xf numFmtId="0" fontId="9" fillId="9" borderId="24" applyNumberFormat="0" applyFont="0" applyAlignment="0" applyProtection="0"/>
    <xf numFmtId="0" fontId="22" fillId="0" borderId="0" applyNumberFormat="0" applyFill="0" applyBorder="0" applyAlignment="0" applyProtection="0"/>
    <xf numFmtId="0" fontId="2" fillId="0" borderId="25" applyNumberFormat="0" applyFill="0" applyAlignment="0" applyProtection="0"/>
    <xf numFmtId="0" fontId="23"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3" fillId="33" borderId="0" applyNumberFormat="0" applyBorder="0" applyAlignment="0" applyProtection="0"/>
    <xf numFmtId="0" fontId="30" fillId="0" borderId="0" applyNumberFormat="0" applyFill="0" applyBorder="0" applyAlignment="0" applyProtection="0">
      <alignment vertical="top"/>
      <protection locked="0"/>
    </xf>
    <xf numFmtId="0" fontId="7" fillId="0" borderId="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0" fontId="38" fillId="0" borderId="0" applyNumberFormat="0" applyFill="0" applyBorder="0" applyAlignment="0" applyProtection="0"/>
    <xf numFmtId="9" fontId="9" fillId="0" borderId="0" applyFont="0" applyFill="0" applyBorder="0" applyAlignment="0" applyProtection="0"/>
    <xf numFmtId="0" fontId="44" fillId="0" borderId="0"/>
  </cellStyleXfs>
  <cellXfs count="532">
    <xf numFmtId="0" fontId="0" fillId="0" borderId="0" xfId="0"/>
    <xf numFmtId="2" fontId="0" fillId="0" borderId="0" xfId="0" applyNumberFormat="1"/>
    <xf numFmtId="0" fontId="0" fillId="0" borderId="0" xfId="0" applyBorder="1"/>
    <xf numFmtId="0" fontId="0" fillId="0" borderId="0" xfId="0" applyAlignment="1">
      <alignment horizontal="center"/>
    </xf>
    <xf numFmtId="0" fontId="0" fillId="0" borderId="0" xfId="0" applyFill="1" applyBorder="1"/>
    <xf numFmtId="0" fontId="2" fillId="0" borderId="2" xfId="0" applyFont="1" applyBorder="1"/>
    <xf numFmtId="0" fontId="0" fillId="0" borderId="3" xfId="0" applyBorder="1"/>
    <xf numFmtId="0" fontId="0" fillId="0" borderId="4" xfId="0" applyBorder="1"/>
    <xf numFmtId="0" fontId="0" fillId="0" borderId="7" xfId="0" applyBorder="1"/>
    <xf numFmtId="0" fontId="0" fillId="0" borderId="5" xfId="0" applyBorder="1"/>
    <xf numFmtId="0" fontId="0" fillId="0" borderId="7" xfId="0" applyFill="1" applyBorder="1"/>
    <xf numFmtId="0" fontId="0" fillId="0" borderId="5" xfId="0" applyBorder="1" applyAlignment="1">
      <alignment horizontal="left" indent="1"/>
    </xf>
    <xf numFmtId="0" fontId="0" fillId="0" borderId="8" xfId="0" applyBorder="1"/>
    <xf numFmtId="0" fontId="0" fillId="0" borderId="1" xfId="0" applyBorder="1"/>
    <xf numFmtId="0" fontId="0" fillId="0" borderId="6" xfId="0" applyBorder="1"/>
    <xf numFmtId="0" fontId="2" fillId="0" borderId="9" xfId="0" applyFont="1" applyBorder="1"/>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4" fontId="0" fillId="0" borderId="0" xfId="0" applyNumberFormat="1" applyFont="1" applyBorder="1" applyAlignment="1">
      <alignment horizontal="center"/>
    </xf>
    <xf numFmtId="0" fontId="0" fillId="0" borderId="9" xfId="0" applyFont="1" applyFill="1" applyBorder="1"/>
    <xf numFmtId="164" fontId="4" fillId="0" borderId="0" xfId="0" applyNumberFormat="1" applyFont="1" applyBorder="1" applyAlignment="1">
      <alignment horizontal="center"/>
    </xf>
    <xf numFmtId="0" fontId="5" fillId="0" borderId="0" xfId="0" applyFont="1" applyAlignment="1">
      <alignment horizontal="right"/>
    </xf>
    <xf numFmtId="0" fontId="6" fillId="0" borderId="0" xfId="0" applyFont="1"/>
    <xf numFmtId="0" fontId="7" fillId="0" borderId="0" xfId="0" applyFont="1" applyAlignment="1">
      <alignment horizontal="left"/>
    </xf>
    <xf numFmtId="0" fontId="7" fillId="0" borderId="0" xfId="0" applyFont="1" applyBorder="1" applyAlignment="1">
      <alignment horizontal="left"/>
    </xf>
    <xf numFmtId="0" fontId="0" fillId="0" borderId="13"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0" borderId="0" xfId="0" applyFont="1" applyBorder="1" applyAlignment="1">
      <alignment horizontal="right"/>
    </xf>
    <xf numFmtId="0" fontId="0" fillId="0" borderId="15" xfId="0" applyBorder="1" applyAlignment="1">
      <alignment horizontal="center"/>
    </xf>
    <xf numFmtId="0" fontId="7" fillId="0" borderId="12" xfId="0" applyFont="1" applyBorder="1" applyAlignment="1">
      <alignment horizontal="left"/>
    </xf>
    <xf numFmtId="0" fontId="2" fillId="0" borderId="7" xfId="0" applyFont="1" applyBorder="1" applyAlignment="1">
      <alignment horizontal="left"/>
    </xf>
    <xf numFmtId="0" fontId="0" fillId="0" borderId="7" xfId="0" applyBorder="1" applyAlignment="1">
      <alignment horizontal="left"/>
    </xf>
    <xf numFmtId="0" fontId="0" fillId="0" borderId="0" xfId="0"/>
    <xf numFmtId="0" fontId="0" fillId="0" borderId="0" xfId="0"/>
    <xf numFmtId="164" fontId="0" fillId="0" borderId="0" xfId="0" applyNumberFormat="1" applyFont="1" applyFill="1" applyBorder="1" applyAlignment="1">
      <alignment horizontal="center"/>
    </xf>
    <xf numFmtId="0" fontId="0" fillId="0" borderId="0" xfId="0" applyFill="1" applyBorder="1" applyAlignment="1">
      <alignment horizontal="left" indent="1"/>
    </xf>
    <xf numFmtId="0" fontId="0" fillId="0" borderId="0" xfId="0" applyFont="1" applyFill="1" applyBorder="1"/>
    <xf numFmtId="0" fontId="2" fillId="0" borderId="0" xfId="0" applyFont="1"/>
    <xf numFmtId="2" fontId="0" fillId="0" borderId="0" xfId="0" applyNumberFormat="1" applyAlignment="1">
      <alignment horizontal="center"/>
    </xf>
    <xf numFmtId="0" fontId="0" fillId="0" borderId="0" xfId="0" applyAlignment="1">
      <alignment horizontal="left"/>
    </xf>
    <xf numFmtId="164" fontId="0" fillId="0" borderId="1" xfId="0" applyNumberFormat="1" applyFont="1" applyBorder="1" applyAlignment="1">
      <alignment horizontal="center"/>
    </xf>
    <xf numFmtId="0" fontId="0" fillId="0" borderId="0" xfId="0" applyBorder="1" applyAlignment="1">
      <alignment horizontal="left" indent="1"/>
    </xf>
    <xf numFmtId="0" fontId="0" fillId="0" borderId="0" xfId="0"/>
    <xf numFmtId="167" fontId="0" fillId="0" borderId="0" xfId="0" applyNumberFormat="1"/>
    <xf numFmtId="167" fontId="0" fillId="0" borderId="0" xfId="0" applyNumberFormat="1" applyBorder="1" applyAlignment="1">
      <alignment horizontal="center"/>
    </xf>
    <xf numFmtId="0" fontId="0" fillId="0" borderId="0" xfId="0" applyBorder="1" applyAlignment="1">
      <alignment horizontal="center"/>
    </xf>
    <xf numFmtId="0" fontId="2" fillId="0" borderId="9" xfId="0" applyFont="1" applyBorder="1" applyAlignment="1"/>
    <xf numFmtId="164" fontId="2" fillId="0" borderId="10" xfId="0" applyNumberFormat="1" applyFont="1" applyBorder="1" applyAlignment="1">
      <alignment horizontal="center"/>
    </xf>
    <xf numFmtId="0" fontId="0" fillId="0" borderId="2" xfId="0" applyBorder="1"/>
    <xf numFmtId="0" fontId="0" fillId="0" borderId="26" xfId="0" applyBorder="1" applyAlignment="1">
      <alignment horizontal="center" wrapText="1"/>
    </xf>
    <xf numFmtId="0" fontId="0" fillId="0" borderId="15" xfId="0" applyBorder="1" applyAlignment="1">
      <alignment horizontal="center" wrapText="1"/>
    </xf>
    <xf numFmtId="0" fontId="0" fillId="0" borderId="30" xfId="0" applyBorder="1" applyAlignment="1">
      <alignment horizontal="center" wrapText="1"/>
    </xf>
    <xf numFmtId="0" fontId="2" fillId="0" borderId="0" xfId="0" applyFont="1" applyBorder="1"/>
    <xf numFmtId="0" fontId="2" fillId="0" borderId="9" xfId="0" applyFont="1" applyBorder="1" applyAlignment="1">
      <alignment horizontal="left"/>
    </xf>
    <xf numFmtId="0" fontId="0" fillId="0" borderId="0" xfId="0"/>
    <xf numFmtId="165" fontId="2" fillId="0" borderId="3" xfId="0" applyNumberFormat="1" applyFont="1" applyBorder="1"/>
    <xf numFmtId="164" fontId="0" fillId="0" borderId="3" xfId="0" applyNumberFormat="1" applyFont="1" applyBorder="1" applyAlignment="1">
      <alignment horizontal="center"/>
    </xf>
    <xf numFmtId="165" fontId="2" fillId="0" borderId="10" xfId="0" applyNumberFormat="1" applyFont="1" applyBorder="1"/>
    <xf numFmtId="0" fontId="2" fillId="0" borderId="0" xfId="0" applyFont="1" applyFill="1" applyBorder="1" applyAlignment="1">
      <alignment horizontal="center"/>
    </xf>
    <xf numFmtId="164" fontId="2" fillId="0" borderId="10" xfId="0" applyNumberFormat="1" applyFont="1" applyFill="1" applyBorder="1" applyAlignment="1">
      <alignment horizontal="center"/>
    </xf>
    <xf numFmtId="0" fontId="0" fillId="0" borderId="11" xfId="0" applyBorder="1"/>
    <xf numFmtId="0" fontId="26" fillId="0" borderId="0" xfId="0" applyFont="1" applyAlignment="1">
      <alignment horizontal="right"/>
    </xf>
    <xf numFmtId="0" fontId="26" fillId="0" borderId="0" xfId="0" applyFont="1"/>
    <xf numFmtId="0" fontId="0" fillId="0" borderId="7" xfId="0" applyFont="1" applyBorder="1" applyAlignment="1">
      <alignment horizontal="left"/>
    </xf>
    <xf numFmtId="0" fontId="25" fillId="0" borderId="0" xfId="0" applyFont="1"/>
    <xf numFmtId="0" fontId="0" fillId="0" borderId="0" xfId="0" applyAlignment="1">
      <alignment wrapText="1"/>
    </xf>
    <xf numFmtId="0" fontId="2" fillId="0" borderId="15" xfId="0" applyFont="1" applyBorder="1" applyAlignment="1">
      <alignment horizontal="center" wrapText="1"/>
    </xf>
    <xf numFmtId="0" fontId="0" fillId="0" borderId="0" xfId="0" applyAlignment="1">
      <alignment horizontal="center" wrapText="1"/>
    </xf>
    <xf numFmtId="14" fontId="0" fillId="0" borderId="0" xfId="0" applyNumberFormat="1"/>
    <xf numFmtId="0" fontId="0" fillId="0" borderId="0" xfId="0" applyAlignment="1">
      <alignment vertical="top"/>
    </xf>
    <xf numFmtId="0" fontId="28" fillId="0" borderId="0" xfId="0" applyFont="1"/>
    <xf numFmtId="0" fontId="2" fillId="0" borderId="9" xfId="0" applyFont="1" applyFill="1" applyBorder="1"/>
    <xf numFmtId="2" fontId="0" fillId="0" borderId="0" xfId="0" applyNumberFormat="1" applyBorder="1" applyAlignment="1">
      <alignment horizontal="center"/>
    </xf>
    <xf numFmtId="1" fontId="0" fillId="0" borderId="0" xfId="0" applyNumberFormat="1" applyBorder="1" applyAlignment="1">
      <alignment horizontal="center"/>
    </xf>
    <xf numFmtId="0" fontId="2" fillId="0" borderId="3" xfId="0" applyFont="1" applyBorder="1"/>
    <xf numFmtId="0" fontId="2" fillId="0" borderId="0" xfId="0" applyFont="1" applyBorder="1" applyAlignment="1">
      <alignment horizontal="left"/>
    </xf>
    <xf numFmtId="0" fontId="2" fillId="0" borderId="10" xfId="0" applyFont="1" applyBorder="1" applyAlignment="1">
      <alignment horizontal="left"/>
    </xf>
    <xf numFmtId="0" fontId="0" fillId="0" borderId="0" xfId="0" applyFont="1" applyBorder="1" applyAlignment="1">
      <alignment horizontal="left" indent="1"/>
    </xf>
    <xf numFmtId="0" fontId="0" fillId="0" borderId="0" xfId="0"/>
    <xf numFmtId="0" fontId="0" fillId="0" borderId="36" xfId="0" applyBorder="1"/>
    <xf numFmtId="0" fontId="0" fillId="0" borderId="0" xfId="0" applyBorder="1"/>
    <xf numFmtId="0" fontId="0" fillId="0" borderId="0" xfId="0" applyBorder="1" applyAlignment="1">
      <alignment horizontal="center" wrapText="1"/>
    </xf>
    <xf numFmtId="165" fontId="0" fillId="0" borderId="15" xfId="0" applyNumberFormat="1" applyBorder="1" applyAlignment="1">
      <alignment horizontal="center" wrapText="1"/>
    </xf>
    <xf numFmtId="168" fontId="0" fillId="0" borderId="15" xfId="0" applyNumberFormat="1" applyBorder="1" applyAlignment="1">
      <alignment horizontal="center" wrapText="1"/>
    </xf>
    <xf numFmtId="0" fontId="0" fillId="0" borderId="15" xfId="0" applyBorder="1"/>
    <xf numFmtId="0" fontId="0" fillId="0" borderId="15" xfId="0" applyBorder="1" applyAlignment="1">
      <alignment wrapText="1"/>
    </xf>
    <xf numFmtId="169" fontId="2" fillId="0" borderId="15" xfId="0" applyNumberFormat="1" applyFont="1" applyBorder="1" applyAlignment="1">
      <alignment horizontal="center" wrapText="1"/>
    </xf>
    <xf numFmtId="168" fontId="0" fillId="0" borderId="35" xfId="0" applyNumberFormat="1" applyBorder="1" applyAlignment="1">
      <alignment horizontal="center" wrapText="1"/>
    </xf>
    <xf numFmtId="169" fontId="2" fillId="0" borderId="35" xfId="0" applyNumberFormat="1" applyFont="1" applyBorder="1" applyAlignment="1">
      <alignment horizontal="center" wrapText="1"/>
    </xf>
    <xf numFmtId="0" fontId="0" fillId="0" borderId="35" xfId="0" applyBorder="1"/>
    <xf numFmtId="0" fontId="0" fillId="0" borderId="0" xfId="0" applyBorder="1" applyAlignment="1">
      <alignment wrapText="1"/>
    </xf>
    <xf numFmtId="0" fontId="0" fillId="0" borderId="36" xfId="0" applyBorder="1" applyAlignment="1">
      <alignment horizontal="center" wrapText="1"/>
    </xf>
    <xf numFmtId="0" fontId="0" fillId="0" borderId="0" xfId="0" applyAlignment="1">
      <alignment horizontal="right"/>
    </xf>
    <xf numFmtId="168" fontId="0" fillId="0" borderId="15" xfId="0" applyNumberFormat="1" applyFont="1" applyBorder="1" applyAlignment="1">
      <alignment horizontal="center" wrapText="1"/>
    </xf>
    <xf numFmtId="168" fontId="0" fillId="0" borderId="15" xfId="0" applyNumberFormat="1" applyFill="1" applyBorder="1" applyAlignment="1">
      <alignment horizontal="center" wrapText="1"/>
    </xf>
    <xf numFmtId="165" fontId="0" fillId="0" borderId="15" xfId="0" applyNumberFormat="1" applyBorder="1" applyAlignment="1">
      <alignment wrapText="1"/>
    </xf>
    <xf numFmtId="0" fontId="29" fillId="0" borderId="2" xfId="0" applyFont="1" applyBorder="1" applyAlignment="1"/>
    <xf numFmtId="0" fontId="2" fillId="0" borderId="28" xfId="0" applyFont="1" applyBorder="1" applyAlignment="1">
      <alignment horizontal="center" wrapText="1"/>
    </xf>
    <xf numFmtId="0" fontId="2" fillId="0" borderId="32" xfId="0" applyFont="1" applyBorder="1" applyAlignment="1">
      <alignment horizontal="center" wrapText="1"/>
    </xf>
    <xf numFmtId="0" fontId="2" fillId="0" borderId="3" xfId="0" applyFont="1" applyBorder="1" applyAlignment="1">
      <alignment horizontal="center" wrapText="1"/>
    </xf>
    <xf numFmtId="0" fontId="0" fillId="0" borderId="7" xfId="0" applyBorder="1" applyAlignment="1">
      <alignment horizontal="right"/>
    </xf>
    <xf numFmtId="0" fontId="0" fillId="0" borderId="0" xfId="0" applyBorder="1" applyAlignment="1">
      <alignment horizontal="right"/>
    </xf>
    <xf numFmtId="11" fontId="0" fillId="0" borderId="0" xfId="0" applyNumberFormat="1" applyBorder="1"/>
    <xf numFmtId="168" fontId="2" fillId="0" borderId="1" xfId="0" applyNumberFormat="1" applyFont="1" applyBorder="1"/>
    <xf numFmtId="0" fontId="0" fillId="0" borderId="1" xfId="0" applyBorder="1" applyAlignment="1">
      <alignment wrapText="1"/>
    </xf>
    <xf numFmtId="0" fontId="2" fillId="0" borderId="37" xfId="0" applyFont="1" applyBorder="1" applyAlignment="1">
      <alignment horizontal="center" wrapText="1"/>
    </xf>
    <xf numFmtId="0" fontId="27" fillId="0" borderId="0" xfId="0" applyFont="1" applyBorder="1"/>
    <xf numFmtId="0" fontId="0" fillId="0" borderId="5" xfId="0" applyBorder="1" applyAlignment="1">
      <alignment horizontal="right"/>
    </xf>
    <xf numFmtId="0" fontId="0" fillId="0" borderId="1" xfId="0" applyBorder="1" applyAlignment="1">
      <alignment horizontal="right"/>
    </xf>
    <xf numFmtId="169" fontId="2" fillId="0" borderId="38" xfId="0" applyNumberFormat="1" applyFont="1" applyBorder="1" applyAlignment="1">
      <alignment horizontal="center" wrapText="1"/>
    </xf>
    <xf numFmtId="0" fontId="0" fillId="0" borderId="39" xfId="0" applyBorder="1" applyAlignment="1">
      <alignment horizontal="center" wrapText="1"/>
    </xf>
    <xf numFmtId="0" fontId="0" fillId="0" borderId="2" xfId="0" applyBorder="1" applyAlignment="1">
      <alignment horizontal="left" indent="1"/>
    </xf>
    <xf numFmtId="167" fontId="0" fillId="0" borderId="3" xfId="0" applyNumberFormat="1" applyBorder="1" applyAlignment="1">
      <alignment horizontal="center"/>
    </xf>
    <xf numFmtId="0" fontId="2" fillId="0" borderId="4" xfId="0" applyFont="1" applyBorder="1" applyAlignment="1">
      <alignment horizontal="center"/>
    </xf>
    <xf numFmtId="0" fontId="2" fillId="2" borderId="15" xfId="0" applyFont="1" applyFill="1" applyBorder="1" applyAlignment="1">
      <alignment horizontal="center"/>
    </xf>
    <xf numFmtId="0" fontId="0" fillId="0" borderId="10" xfId="0" applyFont="1" applyFill="1" applyBorder="1"/>
    <xf numFmtId="2" fontId="2" fillId="0" borderId="10" xfId="0" applyNumberFormat="1" applyFont="1" applyBorder="1" applyAlignment="1">
      <alignment horizontal="center"/>
    </xf>
    <xf numFmtId="0" fontId="0" fillId="0" borderId="9" xfId="0" applyBorder="1" applyAlignment="1">
      <alignment horizontal="left" indent="1"/>
    </xf>
    <xf numFmtId="164" fontId="2" fillId="0" borderId="3" xfId="0" applyNumberFormat="1" applyFont="1" applyBorder="1" applyAlignment="1">
      <alignment horizontal="center"/>
    </xf>
    <xf numFmtId="0" fontId="0" fillId="0" borderId="0" xfId="0" applyBorder="1"/>
    <xf numFmtId="0" fontId="0" fillId="0" borderId="7" xfId="0" applyBorder="1" applyAlignment="1">
      <alignment horizontal="left" indent="1"/>
    </xf>
    <xf numFmtId="0" fontId="0" fillId="0" borderId="7" xfId="0" applyFont="1" applyBorder="1" applyAlignment="1">
      <alignment horizontal="left" indent="1"/>
    </xf>
    <xf numFmtId="0" fontId="2" fillId="0" borderId="9" xfId="0" applyFont="1" applyBorder="1"/>
    <xf numFmtId="164" fontId="0" fillId="0" borderId="0" xfId="0" applyNumberFormat="1" applyBorder="1" applyAlignment="1">
      <alignment horizontal="center"/>
    </xf>
    <xf numFmtId="164" fontId="0" fillId="0" borderId="1" xfId="0" applyNumberFormat="1" applyBorder="1" applyAlignment="1">
      <alignment horizontal="center"/>
    </xf>
    <xf numFmtId="164" fontId="2" fillId="0" borderId="10" xfId="0" applyNumberFormat="1" applyFont="1" applyBorder="1" applyAlignment="1">
      <alignment horizontal="center" vertical="center"/>
    </xf>
    <xf numFmtId="0" fontId="0" fillId="0" borderId="0" xfId="0"/>
    <xf numFmtId="0" fontId="0" fillId="0" borderId="0" xfId="0" applyAlignment="1">
      <alignment horizontal="center"/>
    </xf>
    <xf numFmtId="0" fontId="28" fillId="0" borderId="0" xfId="0" applyFont="1"/>
    <xf numFmtId="0" fontId="2" fillId="0" borderId="10" xfId="0" applyFont="1" applyBorder="1"/>
    <xf numFmtId="164" fontId="4" fillId="0" borderId="0" xfId="0" applyNumberFormat="1" applyFont="1" applyBorder="1" applyAlignment="1">
      <alignment horizontal="center"/>
    </xf>
    <xf numFmtId="0" fontId="0" fillId="0" borderId="0" xfId="0" quotePrefix="1"/>
    <xf numFmtId="170" fontId="0" fillId="0" borderId="0" xfId="0" applyNumberFormat="1"/>
    <xf numFmtId="0" fontId="0" fillId="0" borderId="40" xfId="0" applyBorder="1"/>
    <xf numFmtId="0" fontId="0" fillId="0" borderId="40" xfId="0" applyFill="1" applyBorder="1"/>
    <xf numFmtId="164" fontId="0" fillId="0" borderId="40" xfId="0" applyNumberFormat="1" applyFont="1" applyBorder="1" applyAlignment="1">
      <alignment horizontal="left"/>
    </xf>
    <xf numFmtId="0" fontId="2" fillId="0" borderId="9" xfId="0" applyFont="1" applyFill="1" applyBorder="1" applyAlignment="1">
      <alignment horizontal="left"/>
    </xf>
    <xf numFmtId="164" fontId="0" fillId="0" borderId="10" xfId="0" applyNumberFormat="1" applyFill="1" applyBorder="1" applyAlignment="1">
      <alignment horizontal="center"/>
    </xf>
    <xf numFmtId="164" fontId="0" fillId="0" borderId="11" xfId="0" applyNumberFormat="1" applyFill="1" applyBorder="1" applyAlignment="1">
      <alignment horizontal="center"/>
    </xf>
    <xf numFmtId="164" fontId="0" fillId="0" borderId="0" xfId="0" applyNumberFormat="1" applyBorder="1" applyAlignment="1">
      <alignment horizontal="left" indent="1"/>
    </xf>
    <xf numFmtId="0" fontId="0" fillId="0" borderId="7" xfId="0" applyFill="1" applyBorder="1" applyAlignment="1">
      <alignment horizontal="left"/>
    </xf>
    <xf numFmtId="2" fontId="0" fillId="0" borderId="0" xfId="0" applyNumberFormat="1" applyFill="1" applyBorder="1" applyAlignment="1">
      <alignment horizontal="center"/>
    </xf>
    <xf numFmtId="0" fontId="0" fillId="0" borderId="0" xfId="0"/>
    <xf numFmtId="0" fontId="0" fillId="0" borderId="0" xfId="0" applyBorder="1"/>
    <xf numFmtId="0" fontId="0" fillId="0" borderId="7" xfId="0" applyBorder="1" applyAlignment="1">
      <alignment horizontal="left" indent="1"/>
    </xf>
    <xf numFmtId="164" fontId="0" fillId="0" borderId="0" xfId="0" applyNumberFormat="1" applyFont="1" applyBorder="1" applyAlignment="1">
      <alignment horizontal="center"/>
    </xf>
    <xf numFmtId="0" fontId="0" fillId="0" borderId="7" xfId="0" applyFill="1" applyBorder="1" applyAlignment="1">
      <alignment horizontal="left" indent="1"/>
    </xf>
    <xf numFmtId="164" fontId="0" fillId="0" borderId="0" xfId="0" applyNumberFormat="1" applyFont="1" applyFill="1" applyBorder="1" applyAlignment="1">
      <alignment horizontal="center"/>
    </xf>
    <xf numFmtId="164" fontId="2" fillId="0" borderId="10" xfId="0" applyNumberFormat="1" applyFont="1" applyBorder="1" applyAlignment="1">
      <alignment horizontal="center"/>
    </xf>
    <xf numFmtId="0" fontId="0" fillId="0" borderId="40" xfId="0" applyFill="1" applyBorder="1"/>
    <xf numFmtId="0" fontId="0" fillId="0" borderId="5" xfId="0" applyFill="1" applyBorder="1" applyAlignment="1">
      <alignment horizontal="left" indent="1"/>
    </xf>
    <xf numFmtId="167" fontId="0" fillId="0" borderId="41" xfId="0" applyNumberFormat="1" applyFont="1" applyBorder="1" applyAlignment="1">
      <alignment horizontal="center"/>
    </xf>
    <xf numFmtId="164" fontId="0" fillId="0" borderId="42" xfId="0" applyNumberFormat="1" applyFont="1" applyBorder="1" applyAlignment="1">
      <alignment horizontal="center"/>
    </xf>
    <xf numFmtId="164" fontId="0" fillId="0" borderId="42" xfId="0" applyNumberFormat="1" applyFont="1" applyFill="1" applyBorder="1" applyAlignment="1">
      <alignment horizontal="center"/>
    </xf>
    <xf numFmtId="11" fontId="0" fillId="0" borderId="0" xfId="0" applyNumberFormat="1"/>
    <xf numFmtId="0" fontId="30" fillId="0" borderId="7" xfId="42" applyBorder="1" applyAlignment="1" applyProtection="1"/>
    <xf numFmtId="0" fontId="31" fillId="0" borderId="6" xfId="0" applyFont="1" applyBorder="1"/>
    <xf numFmtId="0" fontId="31" fillId="0" borderId="5" xfId="0" applyFont="1" applyBorder="1"/>
    <xf numFmtId="0" fontId="31" fillId="35" borderId="4" xfId="0" applyFont="1" applyFill="1" applyBorder="1"/>
    <xf numFmtId="0" fontId="31" fillId="0" borderId="2" xfId="0" applyFont="1" applyBorder="1"/>
    <xf numFmtId="0" fontId="0" fillId="0" borderId="15" xfId="0" applyFill="1" applyBorder="1"/>
    <xf numFmtId="164" fontId="0" fillId="0" borderId="15" xfId="0" applyNumberFormat="1" applyFill="1" applyBorder="1" applyAlignment="1">
      <alignment horizontal="center"/>
    </xf>
    <xf numFmtId="164" fontId="0" fillId="0" borderId="15" xfId="0" applyNumberFormat="1" applyFont="1" applyBorder="1" applyAlignment="1">
      <alignment horizontal="center"/>
    </xf>
    <xf numFmtId="1" fontId="0" fillId="0" borderId="15" xfId="0" applyNumberFormat="1" applyFont="1" applyBorder="1" applyAlignment="1">
      <alignment horizontal="center"/>
    </xf>
    <xf numFmtId="0" fontId="2" fillId="0" borderId="15" xfId="0" applyFont="1" applyBorder="1"/>
    <xf numFmtId="164" fontId="2" fillId="0" borderId="15" xfId="0" applyNumberFormat="1" applyFont="1" applyBorder="1" applyAlignment="1">
      <alignment horizontal="center"/>
    </xf>
    <xf numFmtId="164" fontId="0" fillId="0" borderId="42" xfId="0" applyNumberFormat="1" applyBorder="1" applyAlignment="1">
      <alignment horizontal="center"/>
    </xf>
    <xf numFmtId="164" fontId="0" fillId="0" borderId="42" xfId="0" applyNumberFormat="1" applyFill="1" applyBorder="1" applyAlignment="1">
      <alignment horizontal="center"/>
    </xf>
    <xf numFmtId="169" fontId="2" fillId="0" borderId="33" xfId="0" applyNumberFormat="1" applyFont="1" applyBorder="1" applyAlignment="1">
      <alignment horizontal="center" wrapText="1"/>
    </xf>
    <xf numFmtId="164" fontId="0" fillId="0" borderId="43" xfId="0" applyNumberFormat="1" applyFont="1" applyBorder="1" applyAlignment="1">
      <alignment horizontal="center"/>
    </xf>
    <xf numFmtId="0" fontId="25" fillId="35" borderId="0" xfId="0" applyFont="1" applyFill="1"/>
    <xf numFmtId="164" fontId="2" fillId="35" borderId="0" xfId="0" applyNumberFormat="1" applyFont="1" applyFill="1"/>
    <xf numFmtId="168" fontId="0" fillId="0" borderId="0" xfId="0" applyNumberFormat="1"/>
    <xf numFmtId="0" fontId="0" fillId="35" borderId="0" xfId="0" applyFill="1"/>
    <xf numFmtId="0" fontId="0" fillId="0" borderId="0" xfId="0" applyNumberFormat="1"/>
    <xf numFmtId="164" fontId="32" fillId="0" borderId="0" xfId="0" applyNumberFormat="1" applyFont="1"/>
    <xf numFmtId="0" fontId="0" fillId="0" borderId="0" xfId="0" applyFont="1"/>
    <xf numFmtId="0" fontId="33" fillId="0" borderId="0" xfId="0" applyFont="1"/>
    <xf numFmtId="164" fontId="0" fillId="0" borderId="0" xfId="0" applyNumberFormat="1" applyBorder="1" applyAlignment="1">
      <alignment horizontal="center"/>
    </xf>
    <xf numFmtId="164" fontId="0" fillId="0" borderId="1" xfId="0" applyNumberFormat="1" applyBorder="1" applyAlignment="1">
      <alignment horizontal="center"/>
    </xf>
    <xf numFmtId="0" fontId="0" fillId="0" borderId="15" xfId="0" applyFont="1" applyBorder="1" applyAlignment="1">
      <alignment horizontal="center" vertical="center"/>
    </xf>
    <xf numFmtId="0" fontId="33" fillId="0" borderId="16" xfId="0" applyFont="1" applyBorder="1" applyAlignment="1">
      <alignment horizontal="center" vertical="center"/>
    </xf>
    <xf numFmtId="0" fontId="18" fillId="7" borderId="21" xfId="10"/>
    <xf numFmtId="0" fontId="0" fillId="0" borderId="7" xfId="0" applyFont="1" applyBorder="1" applyAlignment="1"/>
    <xf numFmtId="0" fontId="2" fillId="0" borderId="2" xfId="0" applyFont="1" applyBorder="1" applyAlignment="1"/>
    <xf numFmtId="0" fontId="0" fillId="0" borderId="3" xfId="0" applyFont="1" applyBorder="1" applyAlignment="1">
      <alignment horizontal="center"/>
    </xf>
    <xf numFmtId="0" fontId="0" fillId="0" borderId="4" xfId="0" applyFont="1" applyBorder="1" applyAlignment="1">
      <alignment horizontal="center"/>
    </xf>
    <xf numFmtId="164" fontId="0" fillId="0" borderId="8" xfId="0" applyNumberFormat="1" applyBorder="1" applyAlignment="1">
      <alignment horizontal="center"/>
    </xf>
    <xf numFmtId="164" fontId="0" fillId="0" borderId="1" xfId="0" applyNumberFormat="1" applyBorder="1" applyAlignment="1">
      <alignment horizontal="left" indent="1"/>
    </xf>
    <xf numFmtId="164" fontId="0" fillId="0" borderId="6" xfId="0" applyNumberFormat="1" applyBorder="1" applyAlignment="1">
      <alignment horizontal="center"/>
    </xf>
    <xf numFmtId="0" fontId="0" fillId="0" borderId="7" xfId="0" applyFont="1" applyFill="1" applyBorder="1" applyAlignment="1">
      <alignment horizontal="left" indent="1"/>
    </xf>
    <xf numFmtId="0" fontId="7" fillId="0" borderId="44" xfId="0" applyFont="1" applyBorder="1" applyAlignment="1">
      <alignment horizontal="left"/>
    </xf>
    <xf numFmtId="0" fontId="0" fillId="0" borderId="14" xfId="0" applyBorder="1" applyAlignment="1">
      <alignment horizontal="center"/>
    </xf>
    <xf numFmtId="0" fontId="0" fillId="0" borderId="8" xfId="0" applyBorder="1" applyAlignment="1">
      <alignment horizontal="center"/>
    </xf>
    <xf numFmtId="0" fontId="33" fillId="0" borderId="15" xfId="0" applyFont="1" applyBorder="1" applyAlignment="1">
      <alignment horizontal="center" vertical="center"/>
    </xf>
    <xf numFmtId="0" fontId="33" fillId="0" borderId="15" xfId="0" applyFont="1" applyBorder="1" applyAlignment="1">
      <alignment wrapText="1"/>
    </xf>
    <xf numFmtId="0" fontId="0" fillId="0" borderId="15" xfId="0" applyFont="1" applyBorder="1" applyAlignment="1">
      <alignment wrapText="1"/>
    </xf>
    <xf numFmtId="0" fontId="0" fillId="0" borderId="15" xfId="0" applyFont="1" applyFill="1" applyBorder="1" applyAlignment="1">
      <alignment vertical="top" wrapText="1"/>
    </xf>
    <xf numFmtId="0" fontId="0" fillId="0" borderId="15" xfId="0" applyFont="1" applyBorder="1" applyAlignment="1">
      <alignment horizontal="left" wrapText="1"/>
    </xf>
    <xf numFmtId="0" fontId="0" fillId="0" borderId="15" xfId="0" applyFont="1" applyFill="1" applyBorder="1" applyAlignment="1">
      <alignment wrapText="1"/>
    </xf>
    <xf numFmtId="0" fontId="0" fillId="0" borderId="15" xfId="0" applyFont="1" applyFill="1" applyBorder="1" applyAlignment="1">
      <alignment horizontal="left" wrapText="1"/>
    </xf>
    <xf numFmtId="166" fontId="0" fillId="0" borderId="45" xfId="0" applyNumberFormat="1" applyFont="1" applyBorder="1"/>
    <xf numFmtId="166" fontId="0" fillId="0" borderId="45" xfId="0" applyNumberFormat="1" applyFont="1" applyBorder="1" applyAlignment="1">
      <alignment vertical="center"/>
    </xf>
    <xf numFmtId="0" fontId="33" fillId="0" borderId="16"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5" xfId="0" applyBorder="1" applyAlignment="1">
      <alignment horizontal="center" vertical="center"/>
    </xf>
    <xf numFmtId="14" fontId="0" fillId="0" borderId="45" xfId="0" applyNumberFormat="1" applyBorder="1" applyAlignment="1">
      <alignment horizontal="center" vertical="center"/>
    </xf>
    <xf numFmtId="164" fontId="0" fillId="0" borderId="0" xfId="0" applyNumberFormat="1" applyAlignment="1">
      <alignment horizontal="center"/>
    </xf>
    <xf numFmtId="165" fontId="0" fillId="0" borderId="0" xfId="0" applyNumberFormat="1" applyAlignment="1">
      <alignment horizontal="center"/>
    </xf>
    <xf numFmtId="0" fontId="25" fillId="0" borderId="0" xfId="0" applyFont="1" applyAlignment="1">
      <alignment horizontal="center"/>
    </xf>
    <xf numFmtId="0" fontId="24" fillId="0" borderId="0" xfId="0" applyFont="1"/>
    <xf numFmtId="164" fontId="0" fillId="0" borderId="0" xfId="0" applyNumberFormat="1"/>
    <xf numFmtId="171" fontId="0" fillId="0" borderId="0" xfId="0" applyNumberFormat="1"/>
    <xf numFmtId="165" fontId="2" fillId="0" borderId="10" xfId="0" applyNumberFormat="1" applyFont="1" applyBorder="1" applyAlignment="1">
      <alignment horizontal="center"/>
    </xf>
    <xf numFmtId="0" fontId="0" fillId="0" borderId="0" xfId="0" applyFill="1" applyBorder="1" applyAlignment="1">
      <alignment horizontal="left"/>
    </xf>
    <xf numFmtId="165" fontId="0" fillId="0" borderId="15" xfId="0" applyNumberFormat="1" applyBorder="1" applyAlignment="1">
      <alignment horizontal="center"/>
    </xf>
    <xf numFmtId="164" fontId="0" fillId="0" borderId="15" xfId="0" applyNumberFormat="1" applyFont="1" applyFill="1" applyBorder="1" applyAlignment="1">
      <alignment horizontal="center"/>
    </xf>
    <xf numFmtId="0" fontId="0" fillId="0" borderId="27" xfId="0" applyFont="1" applyFill="1" applyBorder="1" applyAlignment="1">
      <alignment horizontal="left"/>
    </xf>
    <xf numFmtId="165" fontId="0" fillId="0" borderId="28" xfId="0" applyNumberFormat="1" applyBorder="1" applyAlignment="1">
      <alignment horizontal="center"/>
    </xf>
    <xf numFmtId="165" fontId="0" fillId="0" borderId="29" xfId="0" applyNumberFormat="1" applyBorder="1" applyAlignment="1">
      <alignment horizontal="center"/>
    </xf>
    <xf numFmtId="0" fontId="0" fillId="0" borderId="16" xfId="0" applyBorder="1" applyAlignment="1">
      <alignment horizontal="left"/>
    </xf>
    <xf numFmtId="165" fontId="0" fillId="0" borderId="45" xfId="0" applyNumberFormat="1" applyBorder="1" applyAlignment="1">
      <alignment horizontal="center"/>
    </xf>
    <xf numFmtId="0" fontId="0" fillId="0" borderId="16" xfId="0" applyFont="1" applyBorder="1" applyAlignment="1">
      <alignment horizontal="left"/>
    </xf>
    <xf numFmtId="164" fontId="0" fillId="0" borderId="45" xfId="0" applyNumberFormat="1" applyFont="1" applyBorder="1" applyAlignment="1">
      <alignment horizontal="center"/>
    </xf>
    <xf numFmtId="0" fontId="0" fillId="0" borderId="48" xfId="0" applyFont="1" applyFill="1" applyBorder="1" applyAlignment="1">
      <alignment horizontal="left"/>
    </xf>
    <xf numFmtId="165" fontId="0" fillId="0" borderId="30" xfId="0" applyNumberFormat="1" applyBorder="1" applyAlignment="1">
      <alignment horizontal="center"/>
    </xf>
    <xf numFmtId="165" fontId="0" fillId="0" borderId="49" xfId="0" applyNumberFormat="1" applyBorder="1" applyAlignment="1">
      <alignment horizontal="center"/>
    </xf>
    <xf numFmtId="0" fontId="2" fillId="2" borderId="50" xfId="0" applyFont="1" applyFill="1" applyBorder="1" applyAlignment="1">
      <alignment horizontal="center"/>
    </xf>
    <xf numFmtId="165" fontId="2" fillId="0" borderId="47" xfId="0" applyNumberFormat="1" applyFont="1" applyBorder="1"/>
    <xf numFmtId="0" fontId="2" fillId="0" borderId="27" xfId="0" applyFont="1" applyFill="1" applyBorder="1" applyAlignment="1">
      <alignment horizontal="left"/>
    </xf>
    <xf numFmtId="0" fontId="2" fillId="0" borderId="48" xfId="0" applyFont="1" applyFill="1" applyBorder="1" applyAlignment="1">
      <alignment horizontal="left"/>
    </xf>
    <xf numFmtId="165" fontId="2" fillId="0" borderId="28" xfId="0" applyNumberFormat="1" applyFont="1" applyBorder="1" applyAlignment="1">
      <alignment horizontal="center"/>
    </xf>
    <xf numFmtId="165" fontId="2" fillId="0" borderId="29" xfId="0" applyNumberFormat="1" applyFont="1" applyBorder="1" applyAlignment="1">
      <alignment horizontal="center"/>
    </xf>
    <xf numFmtId="165" fontId="2" fillId="0" borderId="30" xfId="0" applyNumberFormat="1" applyFont="1" applyBorder="1" applyAlignment="1">
      <alignment horizontal="center"/>
    </xf>
    <xf numFmtId="165" fontId="2" fillId="0" borderId="49" xfId="0" applyNumberFormat="1" applyFont="1" applyBorder="1" applyAlignment="1">
      <alignment horizontal="center"/>
    </xf>
    <xf numFmtId="0" fontId="2" fillId="2" borderId="26" xfId="0" applyFont="1" applyFill="1" applyBorder="1" applyAlignment="1">
      <alignment horizontal="center"/>
    </xf>
    <xf numFmtId="0" fontId="0" fillId="0" borderId="10" xfId="0" applyBorder="1"/>
    <xf numFmtId="11" fontId="0" fillId="0" borderId="1" xfId="0" applyNumberFormat="1" applyBorder="1"/>
    <xf numFmtId="11" fontId="0" fillId="0" borderId="3" xfId="0" applyNumberFormat="1" applyFont="1" applyBorder="1" applyAlignment="1">
      <alignment horizontal="center"/>
    </xf>
    <xf numFmtId="11" fontId="0" fillId="0" borderId="46" xfId="0" applyNumberFormat="1" applyBorder="1" applyAlignment="1">
      <alignment horizontal="center"/>
    </xf>
    <xf numFmtId="11" fontId="0" fillId="0" borderId="1" xfId="0" applyNumberFormat="1" applyBorder="1" applyAlignment="1">
      <alignment horizontal="center"/>
    </xf>
    <xf numFmtId="0" fontId="0" fillId="0" borderId="0" xfId="0" applyNumberFormat="1" applyBorder="1" applyAlignment="1">
      <alignment horizontal="center"/>
    </xf>
    <xf numFmtId="2" fontId="0" fillId="0" borderId="10" xfId="0" applyNumberFormat="1" applyBorder="1" applyAlignment="1">
      <alignment horizontal="center"/>
    </xf>
    <xf numFmtId="0" fontId="0" fillId="0" borderId="2" xfId="0" applyBorder="1" applyAlignment="1">
      <alignment horizontal="left"/>
    </xf>
    <xf numFmtId="0" fontId="0" fillId="0" borderId="0" xfId="0" applyNumberFormat="1" applyFont="1" applyBorder="1" applyAlignment="1">
      <alignment horizontal="center"/>
    </xf>
    <xf numFmtId="0" fontId="0" fillId="0" borderId="5" xfId="0" applyBorder="1" applyAlignment="1">
      <alignment horizontal="left"/>
    </xf>
    <xf numFmtId="11" fontId="0" fillId="0" borderId="51" xfId="0" applyNumberFormat="1" applyBorder="1" applyAlignment="1">
      <alignment horizontal="center"/>
    </xf>
    <xf numFmtId="0" fontId="0" fillId="0" borderId="9" xfId="0" applyBorder="1"/>
    <xf numFmtId="0" fontId="0" fillId="0" borderId="10" xfId="0" applyNumberFormat="1" applyBorder="1" applyAlignment="1">
      <alignment horizontal="center"/>
    </xf>
    <xf numFmtId="0" fontId="2" fillId="2" borderId="33" xfId="0" applyFont="1" applyFill="1" applyBorder="1" applyAlignment="1">
      <alignment horizontal="center"/>
    </xf>
    <xf numFmtId="0" fontId="2" fillId="0" borderId="1" xfId="0" applyFont="1" applyBorder="1"/>
    <xf numFmtId="0" fontId="7" fillId="0" borderId="0" xfId="43"/>
    <xf numFmtId="0" fontId="7" fillId="0" borderId="0" xfId="43" applyBorder="1"/>
    <xf numFmtId="0" fontId="5" fillId="0" borderId="0" xfId="43" applyFont="1"/>
    <xf numFmtId="0" fontId="26" fillId="0" borderId="0" xfId="43" applyFont="1" applyAlignment="1">
      <alignment horizontal="left"/>
    </xf>
    <xf numFmtId="0" fontId="35" fillId="0" borderId="26" xfId="44" applyBorder="1" applyAlignment="1" applyProtection="1"/>
    <xf numFmtId="0" fontId="7" fillId="0" borderId="53" xfId="43" applyFont="1" applyBorder="1" applyAlignment="1">
      <alignment horizontal="center"/>
    </xf>
    <xf numFmtId="0" fontId="7" fillId="0" borderId="53" xfId="43" applyBorder="1"/>
    <xf numFmtId="0" fontId="7" fillId="0" borderId="53" xfId="43" applyFont="1" applyBorder="1"/>
    <xf numFmtId="0" fontId="7" fillId="0" borderId="54" xfId="43" applyBorder="1"/>
    <xf numFmtId="0" fontId="7" fillId="0" borderId="0" xfId="43" applyFont="1"/>
    <xf numFmtId="0" fontId="7" fillId="0" borderId="0" xfId="43" applyFont="1" applyAlignment="1">
      <alignment horizontal="left"/>
    </xf>
    <xf numFmtId="0" fontId="7" fillId="0" borderId="14" xfId="43" applyFont="1" applyBorder="1"/>
    <xf numFmtId="0" fontId="7" fillId="0" borderId="0" xfId="43" applyFont="1" applyBorder="1" applyAlignment="1">
      <alignment horizontal="center"/>
    </xf>
    <xf numFmtId="0" fontId="7" fillId="0" borderId="0" xfId="43" applyFont="1" applyBorder="1"/>
    <xf numFmtId="0" fontId="7" fillId="0" borderId="55" xfId="43" applyBorder="1"/>
    <xf numFmtId="0" fontId="7" fillId="0" borderId="26" xfId="43" applyFont="1" applyBorder="1" applyAlignment="1">
      <alignment horizontal="center"/>
    </xf>
    <xf numFmtId="0" fontId="7" fillId="0" borderId="56" xfId="43" applyFont="1" applyBorder="1" applyAlignment="1">
      <alignment horizontal="center"/>
    </xf>
    <xf numFmtId="0" fontId="5" fillId="0" borderId="52" xfId="43" applyFont="1" applyBorder="1" applyAlignment="1">
      <alignment horizontal="center"/>
    </xf>
    <xf numFmtId="0" fontId="5" fillId="0" borderId="57" xfId="43" applyFont="1" applyBorder="1" applyAlignment="1">
      <alignment horizontal="center"/>
    </xf>
    <xf numFmtId="0" fontId="7" fillId="36" borderId="14" xfId="43" applyFont="1" applyFill="1" applyBorder="1" applyAlignment="1">
      <alignment horizontal="center"/>
    </xf>
    <xf numFmtId="0" fontId="5" fillId="36" borderId="26" xfId="43" applyFont="1" applyFill="1" applyBorder="1" applyAlignment="1">
      <alignment horizontal="center"/>
    </xf>
    <xf numFmtId="167" fontId="7" fillId="36" borderId="0" xfId="43" applyNumberFormat="1" applyFont="1" applyFill="1" applyBorder="1" applyAlignment="1">
      <alignment horizontal="center"/>
    </xf>
    <xf numFmtId="167" fontId="7" fillId="36" borderId="0" xfId="43" applyNumberFormat="1" applyFill="1" applyBorder="1" applyAlignment="1">
      <alignment horizontal="center"/>
    </xf>
    <xf numFmtId="172" fontId="7" fillId="37" borderId="0" xfId="43" applyNumberFormat="1" applyFill="1" applyBorder="1" applyAlignment="1">
      <alignment horizontal="center"/>
    </xf>
    <xf numFmtId="172" fontId="7" fillId="37" borderId="55" xfId="43" applyNumberFormat="1" applyFill="1" applyBorder="1" applyAlignment="1">
      <alignment horizontal="center"/>
    </xf>
    <xf numFmtId="0" fontId="7" fillId="37" borderId="50" xfId="43" applyFont="1" applyFill="1" applyBorder="1" applyAlignment="1">
      <alignment horizontal="center"/>
    </xf>
    <xf numFmtId="0" fontId="5" fillId="36" borderId="14" xfId="43" applyFont="1" applyFill="1" applyBorder="1" applyAlignment="1">
      <alignment horizontal="center"/>
    </xf>
    <xf numFmtId="0" fontId="5" fillId="0" borderId="0" xfId="43" applyFont="1" applyAlignment="1">
      <alignment horizontal="left"/>
    </xf>
    <xf numFmtId="0" fontId="5" fillId="36" borderId="50" xfId="43" applyFont="1" applyFill="1" applyBorder="1" applyAlignment="1">
      <alignment horizontal="center"/>
    </xf>
    <xf numFmtId="167" fontId="7" fillId="36" borderId="52" xfId="43" applyNumberFormat="1" applyFill="1" applyBorder="1" applyAlignment="1">
      <alignment horizontal="center"/>
    </xf>
    <xf numFmtId="167" fontId="7" fillId="36" borderId="52" xfId="43" applyNumberFormat="1" applyFont="1" applyFill="1" applyBorder="1" applyAlignment="1">
      <alignment horizontal="center"/>
    </xf>
    <xf numFmtId="172" fontId="7" fillId="37" borderId="52" xfId="43" applyNumberFormat="1" applyFill="1" applyBorder="1" applyAlignment="1">
      <alignment horizontal="center"/>
    </xf>
    <xf numFmtId="172" fontId="7" fillId="37" borderId="57" xfId="43" applyNumberFormat="1" applyFill="1" applyBorder="1" applyAlignment="1">
      <alignment horizontal="center"/>
    </xf>
    <xf numFmtId="0" fontId="7" fillId="36" borderId="15" xfId="43" applyFont="1" applyFill="1" applyBorder="1" applyAlignment="1">
      <alignment horizontal="left"/>
    </xf>
    <xf numFmtId="0" fontId="7" fillId="36" borderId="58" xfId="43" applyFill="1" applyBorder="1"/>
    <xf numFmtId="0" fontId="7" fillId="36" borderId="59" xfId="43" applyFill="1" applyBorder="1"/>
    <xf numFmtId="0" fontId="5" fillId="36" borderId="0" xfId="43" applyFont="1" applyFill="1" applyAlignment="1">
      <alignment horizontal="right"/>
    </xf>
    <xf numFmtId="0" fontId="7" fillId="0" borderId="0" xfId="43" applyFont="1" applyFill="1"/>
    <xf numFmtId="0" fontId="5" fillId="37" borderId="0" xfId="43" applyFont="1" applyFill="1" applyAlignment="1">
      <alignment horizontal="right"/>
    </xf>
    <xf numFmtId="165" fontId="5" fillId="37" borderId="0" xfId="43" applyNumberFormat="1" applyFont="1" applyFill="1" applyAlignment="1">
      <alignment horizontal="center"/>
    </xf>
    <xf numFmtId="172" fontId="5" fillId="36" borderId="47" xfId="43" applyNumberFormat="1" applyFont="1" applyFill="1" applyBorder="1" applyAlignment="1">
      <alignment horizontal="center"/>
    </xf>
    <xf numFmtId="164" fontId="5" fillId="37" borderId="0" xfId="43" applyNumberFormat="1" applyFont="1" applyFill="1" applyAlignment="1">
      <alignment horizontal="center"/>
    </xf>
    <xf numFmtId="0" fontId="5" fillId="0" borderId="0" xfId="43" applyFont="1" applyFill="1" applyAlignment="1">
      <alignment horizontal="left"/>
    </xf>
    <xf numFmtId="164" fontId="5" fillId="0" borderId="0" xfId="43" applyNumberFormat="1" applyFont="1" applyFill="1" applyAlignment="1">
      <alignment horizontal="center"/>
    </xf>
    <xf numFmtId="0" fontId="5" fillId="0" borderId="0" xfId="43" applyFont="1" applyFill="1"/>
    <xf numFmtId="172" fontId="5" fillId="36" borderId="0" xfId="43" applyNumberFormat="1" applyFont="1" applyFill="1" applyAlignment="1">
      <alignment horizontal="center"/>
    </xf>
    <xf numFmtId="0" fontId="5" fillId="0" borderId="0" xfId="43" applyFont="1" applyFill="1" applyAlignment="1">
      <alignment horizontal="right"/>
    </xf>
    <xf numFmtId="172" fontId="5" fillId="0" borderId="0" xfId="43" applyNumberFormat="1" applyFont="1" applyFill="1" applyAlignment="1">
      <alignment horizontal="center"/>
    </xf>
    <xf numFmtId="0" fontId="7" fillId="0" borderId="0" xfId="43" applyAlignment="1">
      <alignment horizontal="right"/>
    </xf>
    <xf numFmtId="0" fontId="7" fillId="0" borderId="0" xfId="43" applyFont="1" applyFill="1" applyAlignment="1">
      <alignment horizontal="center"/>
    </xf>
    <xf numFmtId="0" fontId="7" fillId="0" borderId="0" xfId="43" applyAlignment="1">
      <alignment horizontal="center"/>
    </xf>
    <xf numFmtId="2" fontId="5" fillId="0" borderId="0" xfId="43" applyNumberFormat="1" applyFont="1" applyFill="1" applyAlignment="1">
      <alignment horizontal="center"/>
    </xf>
    <xf numFmtId="2" fontId="5" fillId="37" borderId="0" xfId="43" applyNumberFormat="1" applyFont="1" applyFill="1" applyAlignment="1">
      <alignment horizontal="center"/>
    </xf>
    <xf numFmtId="2" fontId="5" fillId="0" borderId="0" xfId="43" applyNumberFormat="1" applyFont="1" applyFill="1" applyBorder="1" applyAlignment="1">
      <alignment horizontal="center"/>
    </xf>
    <xf numFmtId="2" fontId="7" fillId="0" borderId="0" xfId="43" applyNumberFormat="1" applyFill="1" applyAlignment="1">
      <alignment horizontal="center"/>
    </xf>
    <xf numFmtId="0" fontId="5" fillId="38" borderId="0" xfId="43" applyFont="1" applyFill="1" applyAlignment="1">
      <alignment horizontal="right"/>
    </xf>
    <xf numFmtId="0" fontId="7" fillId="0" borderId="0" xfId="43" applyFill="1"/>
    <xf numFmtId="0" fontId="5" fillId="38" borderId="0" xfId="43" applyFont="1" applyFill="1" applyAlignment="1">
      <alignment horizontal="center"/>
    </xf>
    <xf numFmtId="0" fontId="5" fillId="0" borderId="0" xfId="43" applyFont="1" applyFill="1" applyAlignment="1">
      <alignment horizontal="center"/>
    </xf>
    <xf numFmtId="172" fontId="5" fillId="37" borderId="0" xfId="43" applyNumberFormat="1" applyFont="1" applyFill="1" applyAlignment="1">
      <alignment horizontal="center"/>
    </xf>
    <xf numFmtId="0" fontId="7" fillId="39" borderId="0" xfId="43" applyFont="1" applyFill="1" applyAlignment="1">
      <alignment horizontal="right"/>
    </xf>
    <xf numFmtId="2" fontId="7" fillId="39" borderId="0" xfId="43" applyNumberFormat="1" applyFont="1" applyFill="1" applyAlignment="1">
      <alignment horizontal="center"/>
    </xf>
    <xf numFmtId="0" fontId="5" fillId="38" borderId="15" xfId="43" applyFont="1" applyFill="1" applyBorder="1" applyAlignment="1">
      <alignment horizontal="center"/>
    </xf>
    <xf numFmtId="2" fontId="5" fillId="36" borderId="15" xfId="43" applyNumberFormat="1" applyFont="1" applyFill="1" applyBorder="1" applyAlignment="1">
      <alignment horizontal="center"/>
    </xf>
    <xf numFmtId="0" fontId="0" fillId="0" borderId="15" xfId="0" applyFont="1" applyFill="1" applyBorder="1" applyAlignment="1">
      <alignment horizontal="center" vertical="center" wrapText="1"/>
    </xf>
    <xf numFmtId="173" fontId="0" fillId="0" borderId="0" xfId="0" applyNumberFormat="1"/>
    <xf numFmtId="0" fontId="33" fillId="0" borderId="31" xfId="0" applyFont="1" applyFill="1" applyBorder="1" applyAlignment="1">
      <alignment horizontal="center" vertical="center"/>
    </xf>
    <xf numFmtId="0" fontId="0" fillId="0" borderId="26" xfId="0" applyBorder="1" applyAlignment="1">
      <alignment wrapText="1"/>
    </xf>
    <xf numFmtId="0" fontId="0" fillId="0" borderId="26" xfId="0" applyFont="1" applyFill="1" applyBorder="1" applyAlignment="1">
      <alignment horizontal="center" vertical="center" wrapText="1"/>
    </xf>
    <xf numFmtId="0" fontId="0" fillId="0" borderId="26" xfId="0" applyBorder="1" applyAlignment="1">
      <alignment horizontal="center" vertical="center"/>
    </xf>
    <xf numFmtId="14" fontId="0" fillId="0" borderId="60" xfId="0" applyNumberFormat="1" applyBorder="1" applyAlignment="1">
      <alignment horizontal="center" vertical="center"/>
    </xf>
    <xf numFmtId="0" fontId="0" fillId="0" borderId="15" xfId="0" applyFill="1" applyBorder="1" applyAlignment="1">
      <alignment wrapText="1"/>
    </xf>
    <xf numFmtId="0" fontId="0" fillId="0" borderId="15" xfId="0" applyFill="1" applyBorder="1" applyAlignment="1">
      <alignment horizontal="center" vertical="center"/>
    </xf>
    <xf numFmtId="0" fontId="0" fillId="0" borderId="0" xfId="0"/>
    <xf numFmtId="0" fontId="0" fillId="0" borderId="0" xfId="0" applyAlignment="1">
      <alignment horizontal="center"/>
    </xf>
    <xf numFmtId="0" fontId="0" fillId="0" borderId="0" xfId="0" applyFill="1" applyBorder="1" applyAlignment="1">
      <alignment wrapText="1"/>
    </xf>
    <xf numFmtId="0" fontId="0" fillId="0" borderId="27" xfId="0" applyBorder="1" applyAlignment="1">
      <alignment horizontal="center" wrapText="1"/>
    </xf>
    <xf numFmtId="0" fontId="0" fillId="0" borderId="28" xfId="0" applyBorder="1" applyAlignment="1">
      <alignment horizontal="center" wrapText="1"/>
    </xf>
    <xf numFmtId="164" fontId="0" fillId="0" borderId="0" xfId="0" applyNumberFormat="1" applyFill="1" applyBorder="1" applyAlignment="1">
      <alignment wrapText="1"/>
    </xf>
    <xf numFmtId="0" fontId="0" fillId="0" borderId="32" xfId="0"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15" xfId="0" applyBorder="1" applyAlignment="1">
      <alignment horizontal="center" wrapText="1"/>
    </xf>
    <xf numFmtId="0" fontId="0" fillId="0" borderId="34" xfId="0" applyBorder="1" applyAlignment="1">
      <alignment horizontal="center" wrapText="1"/>
    </xf>
    <xf numFmtId="0" fontId="0" fillId="0" borderId="15" xfId="0" applyBorder="1"/>
    <xf numFmtId="0" fontId="2" fillId="2" borderId="15" xfId="0" applyFont="1" applyFill="1" applyBorder="1" applyAlignment="1">
      <alignment horizontal="center"/>
    </xf>
    <xf numFmtId="0" fontId="0" fillId="35" borderId="15" xfId="0" applyFill="1" applyBorder="1" applyAlignment="1">
      <alignment horizontal="center" wrapText="1"/>
    </xf>
    <xf numFmtId="0" fontId="0" fillId="35" borderId="15" xfId="0" applyFill="1" applyBorder="1"/>
    <xf numFmtId="164" fontId="0" fillId="0" borderId="15" xfId="0" applyNumberFormat="1" applyBorder="1" applyAlignment="1">
      <alignment horizontal="center" wrapText="1"/>
    </xf>
    <xf numFmtId="0" fontId="0" fillId="0" borderId="9" xfId="0" applyBorder="1" applyAlignment="1">
      <alignment horizontal="center" wrapText="1"/>
    </xf>
    <xf numFmtId="164" fontId="0" fillId="0" borderId="0" xfId="0" applyNumberFormat="1" applyAlignment="1">
      <alignment horizontal="center"/>
    </xf>
    <xf numFmtId="0" fontId="0" fillId="0" borderId="0" xfId="0" applyFont="1" applyFill="1" applyBorder="1" applyAlignment="1">
      <alignment horizontal="right" indent="1"/>
    </xf>
    <xf numFmtId="0" fontId="0" fillId="0" borderId="0" xfId="0" applyFill="1" applyBorder="1" applyAlignment="1">
      <alignment horizontal="right" wrapText="1"/>
    </xf>
    <xf numFmtId="164" fontId="0" fillId="0" borderId="0" xfId="0" applyNumberFormat="1" applyFill="1" applyBorder="1" applyAlignment="1">
      <alignment horizontal="center" wrapText="1"/>
    </xf>
    <xf numFmtId="0" fontId="41" fillId="0" borderId="0" xfId="0" applyFont="1" applyFill="1" applyBorder="1" applyAlignment="1">
      <alignment wrapText="1"/>
    </xf>
    <xf numFmtId="9" fontId="0" fillId="0" borderId="0" xfId="47" applyFont="1" applyFill="1" applyBorder="1" applyAlignment="1">
      <alignment wrapText="1"/>
    </xf>
    <xf numFmtId="0" fontId="0" fillId="0" borderId="40" xfId="0" applyFill="1" applyBorder="1"/>
    <xf numFmtId="0" fontId="33" fillId="41" borderId="48" xfId="0" applyFont="1" applyFill="1" applyBorder="1" applyAlignment="1">
      <alignment horizontal="center" vertical="center"/>
    </xf>
    <xf numFmtId="0" fontId="0" fillId="41" borderId="30" xfId="0" applyFill="1" applyBorder="1" applyAlignment="1">
      <alignment wrapText="1"/>
    </xf>
    <xf numFmtId="0" fontId="0" fillId="41" borderId="30" xfId="0" applyFont="1" applyFill="1" applyBorder="1" applyAlignment="1">
      <alignment horizontal="center" vertical="center"/>
    </xf>
    <xf numFmtId="0" fontId="0" fillId="41" borderId="30" xfId="0" applyFont="1" applyFill="1" applyBorder="1" applyAlignment="1">
      <alignment horizontal="center" vertical="center" wrapText="1"/>
    </xf>
    <xf numFmtId="0" fontId="0" fillId="41" borderId="30" xfId="0" applyFill="1" applyBorder="1" applyAlignment="1">
      <alignment horizontal="center" vertical="center"/>
    </xf>
    <xf numFmtId="14" fontId="0" fillId="41" borderId="49" xfId="0" applyNumberFormat="1" applyFill="1" applyBorder="1" applyAlignment="1">
      <alignment horizontal="center" vertical="center"/>
    </xf>
    <xf numFmtId="14" fontId="0" fillId="0" borderId="0" xfId="0" applyNumberFormat="1" applyAlignment="1">
      <alignment horizontal="left"/>
    </xf>
    <xf numFmtId="164" fontId="0" fillId="0" borderId="0" xfId="0" applyNumberFormat="1" applyFont="1" applyAlignment="1">
      <alignment horizontal="center" vertical="center"/>
    </xf>
    <xf numFmtId="164" fontId="0" fillId="0" borderId="0" xfId="0" applyNumberFormat="1" applyFont="1" applyAlignment="1">
      <alignment horizontal="center"/>
    </xf>
    <xf numFmtId="0" fontId="0" fillId="0" borderId="0" xfId="0" applyFill="1"/>
    <xf numFmtId="174" fontId="0" fillId="0" borderId="0" xfId="47" applyNumberFormat="1" applyFont="1" applyFill="1"/>
    <xf numFmtId="165" fontId="0" fillId="0" borderId="0" xfId="0" applyNumberFormat="1" applyAlignment="1">
      <alignment horizontal="left"/>
    </xf>
    <xf numFmtId="165" fontId="0" fillId="0" borderId="0" xfId="0" applyNumberFormat="1"/>
    <xf numFmtId="164" fontId="0" fillId="0" borderId="1" xfId="0" applyNumberFormat="1" applyFill="1" applyBorder="1" applyAlignment="1">
      <alignment horizontal="center"/>
    </xf>
    <xf numFmtId="0" fontId="0" fillId="0" borderId="2" xfId="0" applyFill="1" applyBorder="1" applyAlignment="1">
      <alignment horizontal="left" indent="1"/>
    </xf>
    <xf numFmtId="164" fontId="0" fillId="0" borderId="3" xfId="0" applyNumberFormat="1" applyFill="1" applyBorder="1" applyAlignment="1">
      <alignment horizontal="left" indent="1"/>
    </xf>
    <xf numFmtId="164" fontId="0" fillId="0" borderId="3" xfId="0" applyNumberFormat="1" applyFill="1" applyBorder="1" applyAlignment="1">
      <alignment horizontal="center"/>
    </xf>
    <xf numFmtId="0" fontId="0" fillId="0" borderId="14" xfId="0" applyFill="1" applyBorder="1"/>
    <xf numFmtId="0" fontId="43" fillId="0" borderId="0" xfId="0" applyFont="1"/>
    <xf numFmtId="0" fontId="0" fillId="40" borderId="0" xfId="0" applyFill="1" applyBorder="1" applyAlignment="1">
      <alignment horizontal="center"/>
    </xf>
    <xf numFmtId="0" fontId="33" fillId="0" borderId="48" xfId="0" applyFont="1" applyFill="1" applyBorder="1" applyAlignment="1">
      <alignment horizontal="center" vertical="center"/>
    </xf>
    <xf numFmtId="0" fontId="0" fillId="0" borderId="30" xfId="0" applyFill="1" applyBorder="1" applyAlignment="1">
      <alignment wrapText="1"/>
    </xf>
    <xf numFmtId="0" fontId="0" fillId="0" borderId="30" xfId="0" applyFont="1" applyFill="1" applyBorder="1" applyAlignment="1">
      <alignment horizontal="center" vertical="center"/>
    </xf>
    <xf numFmtId="0" fontId="0" fillId="0" borderId="30" xfId="0" applyFont="1" applyFill="1" applyBorder="1" applyAlignment="1">
      <alignment horizontal="center" vertical="center" wrapText="1"/>
    </xf>
    <xf numFmtId="0" fontId="0" fillId="0" borderId="30" xfId="0" applyFill="1" applyBorder="1" applyAlignment="1">
      <alignment horizontal="center" vertical="center"/>
    </xf>
    <xf numFmtId="14" fontId="0" fillId="0" borderId="49" xfId="0" applyNumberFormat="1" applyFill="1" applyBorder="1" applyAlignment="1">
      <alignment horizontal="center" vertical="center"/>
    </xf>
    <xf numFmtId="164" fontId="0" fillId="0" borderId="0" xfId="0" applyNumberFormat="1" applyFill="1" applyBorder="1" applyAlignment="1">
      <alignment horizontal="left" indent="1"/>
    </xf>
    <xf numFmtId="164" fontId="0" fillId="0" borderId="8" xfId="0" applyNumberFormat="1" applyFill="1" applyBorder="1" applyAlignment="1">
      <alignment horizontal="center"/>
    </xf>
    <xf numFmtId="0" fontId="44" fillId="0" borderId="0" xfId="48"/>
    <xf numFmtId="0" fontId="45" fillId="0" borderId="0" xfId="48" applyFont="1"/>
    <xf numFmtId="0" fontId="47" fillId="0" borderId="0" xfId="48" applyFont="1"/>
    <xf numFmtId="0" fontId="44" fillId="0" borderId="0" xfId="48" applyBorder="1"/>
    <xf numFmtId="0" fontId="48" fillId="0" borderId="0" xfId="48" applyFont="1" applyAlignment="1">
      <alignment horizontal="left"/>
    </xf>
    <xf numFmtId="0" fontId="49" fillId="0" borderId="26" xfId="48" applyFont="1" applyBorder="1" applyAlignment="1" applyProtection="1"/>
    <xf numFmtId="0" fontId="47" fillId="0" borderId="53" xfId="48" applyFont="1" applyBorder="1" applyAlignment="1">
      <alignment horizontal="center"/>
    </xf>
    <xf numFmtId="0" fontId="44" fillId="0" borderId="53" xfId="48" applyBorder="1"/>
    <xf numFmtId="0" fontId="47" fillId="0" borderId="53" xfId="48" applyFont="1" applyBorder="1"/>
    <xf numFmtId="0" fontId="44" fillId="0" borderId="54" xfId="48" applyBorder="1"/>
    <xf numFmtId="0" fontId="47" fillId="0" borderId="0" xfId="48" applyFont="1" applyAlignment="1">
      <alignment horizontal="left"/>
    </xf>
    <xf numFmtId="0" fontId="47" fillId="0" borderId="14" xfId="48" applyFont="1" applyBorder="1"/>
    <xf numFmtId="0" fontId="47" fillId="0" borderId="0" xfId="48" applyFont="1" applyBorder="1" applyAlignment="1">
      <alignment horizontal="center"/>
    </xf>
    <xf numFmtId="0" fontId="47" fillId="0" borderId="0" xfId="48" applyFont="1" applyBorder="1"/>
    <xf numFmtId="0" fontId="44" fillId="0" borderId="55" xfId="48" applyBorder="1"/>
    <xf numFmtId="0" fontId="47" fillId="0" borderId="26" xfId="48" applyFont="1" applyBorder="1" applyAlignment="1">
      <alignment horizontal="center"/>
    </xf>
    <xf numFmtId="0" fontId="47" fillId="0" borderId="56" xfId="48" applyFont="1" applyBorder="1" applyAlignment="1">
      <alignment horizontal="center"/>
    </xf>
    <xf numFmtId="0" fontId="51" fillId="0" borderId="52" xfId="48" applyFont="1" applyBorder="1" applyAlignment="1">
      <alignment horizontal="center"/>
    </xf>
    <xf numFmtId="0" fontId="51" fillId="0" borderId="57" xfId="48" applyFont="1" applyBorder="1" applyAlignment="1">
      <alignment horizontal="center"/>
    </xf>
    <xf numFmtId="0" fontId="47" fillId="42" borderId="14" xfId="48" applyFont="1" applyFill="1" applyBorder="1" applyAlignment="1">
      <alignment horizontal="center"/>
    </xf>
    <xf numFmtId="0" fontId="51" fillId="43" borderId="26" xfId="48" applyFont="1" applyFill="1" applyBorder="1" applyAlignment="1">
      <alignment horizontal="center"/>
    </xf>
    <xf numFmtId="167" fontId="47" fillId="43" borderId="0" xfId="48" applyNumberFormat="1" applyFont="1" applyFill="1" applyBorder="1" applyAlignment="1">
      <alignment horizontal="center"/>
    </xf>
    <xf numFmtId="167" fontId="44" fillId="43" borderId="0" xfId="48" applyNumberFormat="1" applyFill="1" applyBorder="1" applyAlignment="1">
      <alignment horizontal="center"/>
    </xf>
    <xf numFmtId="172" fontId="44" fillId="44" borderId="0" xfId="48" applyNumberFormat="1" applyFill="1" applyBorder="1" applyAlignment="1">
      <alignment horizontal="center"/>
    </xf>
    <xf numFmtId="172" fontId="44" fillId="44" borderId="55" xfId="48" applyNumberFormat="1" applyFill="1" applyBorder="1" applyAlignment="1">
      <alignment horizontal="center"/>
    </xf>
    <xf numFmtId="0" fontId="47" fillId="44" borderId="50" xfId="48" applyFont="1" applyFill="1" applyBorder="1" applyAlignment="1">
      <alignment horizontal="center"/>
    </xf>
    <xf numFmtId="0" fontId="51" fillId="43" borderId="14" xfId="48" applyFont="1" applyFill="1" applyBorder="1" applyAlignment="1">
      <alignment horizontal="center"/>
    </xf>
    <xf numFmtId="0" fontId="51" fillId="0" borderId="0" xfId="48" applyFont="1" applyAlignment="1">
      <alignment horizontal="left"/>
    </xf>
    <xf numFmtId="0" fontId="51" fillId="43" borderId="50" xfId="48" applyFont="1" applyFill="1" applyBorder="1" applyAlignment="1">
      <alignment horizontal="center"/>
    </xf>
    <xf numFmtId="167" fontId="44" fillId="43" borderId="52" xfId="48" applyNumberFormat="1" applyFill="1" applyBorder="1" applyAlignment="1">
      <alignment horizontal="center"/>
    </xf>
    <xf numFmtId="167" fontId="47" fillId="43" borderId="52" xfId="48" applyNumberFormat="1" applyFont="1" applyFill="1" applyBorder="1" applyAlignment="1">
      <alignment horizontal="center"/>
    </xf>
    <xf numFmtId="172" fontId="44" fillId="44" borderId="52" xfId="48" applyNumberFormat="1" applyFill="1" applyBorder="1" applyAlignment="1">
      <alignment horizontal="center"/>
    </xf>
    <xf numFmtId="172" fontId="44" fillId="44" borderId="57" xfId="48" applyNumberFormat="1" applyFill="1" applyBorder="1" applyAlignment="1">
      <alignment horizontal="center"/>
    </xf>
    <xf numFmtId="0" fontId="47" fillId="43" borderId="15" xfId="48" applyFont="1" applyFill="1" applyBorder="1" applyAlignment="1">
      <alignment horizontal="left"/>
    </xf>
    <xf numFmtId="0" fontId="44" fillId="43" borderId="58" xfId="48" applyFill="1" applyBorder="1"/>
    <xf numFmtId="0" fontId="44" fillId="43" borderId="59" xfId="48" applyFill="1" applyBorder="1"/>
    <xf numFmtId="0" fontId="51" fillId="0" borderId="0" xfId="48" applyFont="1"/>
    <xf numFmtId="0" fontId="45" fillId="0" borderId="33" xfId="48" applyFont="1" applyBorder="1" applyAlignment="1">
      <alignment horizontal="left"/>
    </xf>
    <xf numFmtId="0" fontId="51" fillId="42" borderId="0" xfId="48" applyFont="1" applyFill="1" applyAlignment="1">
      <alignment horizontal="right"/>
    </xf>
    <xf numFmtId="1" fontId="51" fillId="42" borderId="0" xfId="48" applyNumberFormat="1" applyFont="1" applyFill="1" applyAlignment="1">
      <alignment horizontal="center"/>
    </xf>
    <xf numFmtId="0" fontId="44" fillId="0" borderId="36" xfId="48" applyBorder="1" applyAlignment="1">
      <alignment horizontal="right"/>
    </xf>
    <xf numFmtId="0" fontId="51" fillId="43" borderId="0" xfId="48" applyFont="1" applyFill="1" applyAlignment="1">
      <alignment horizontal="right"/>
    </xf>
    <xf numFmtId="1" fontId="51" fillId="43" borderId="0" xfId="48" applyNumberFormat="1" applyFont="1" applyFill="1" applyBorder="1" applyAlignment="1">
      <alignment horizontal="center"/>
    </xf>
    <xf numFmtId="0" fontId="51" fillId="0" borderId="0" xfId="48" applyFont="1" applyAlignment="1">
      <alignment horizontal="right"/>
    </xf>
    <xf numFmtId="11" fontId="51" fillId="45" borderId="0" xfId="48" applyNumberFormat="1" applyFont="1" applyFill="1" applyAlignment="1">
      <alignment horizontal="right"/>
    </xf>
    <xf numFmtId="171" fontId="47" fillId="0" borderId="36" xfId="48" applyNumberFormat="1" applyFont="1" applyBorder="1" applyAlignment="1">
      <alignment horizontal="right"/>
    </xf>
    <xf numFmtId="2" fontId="44" fillId="0" borderId="0" xfId="48" applyNumberFormat="1"/>
    <xf numFmtId="11" fontId="44" fillId="45" borderId="0" xfId="48" applyNumberFormat="1" applyFill="1" applyAlignment="1">
      <alignment horizontal="right"/>
    </xf>
    <xf numFmtId="171" fontId="44" fillId="0" borderId="36" xfId="48" applyNumberFormat="1" applyBorder="1" applyAlignment="1">
      <alignment horizontal="right"/>
    </xf>
    <xf numFmtId="171" fontId="44" fillId="0" borderId="56" xfId="48" applyNumberFormat="1" applyBorder="1" applyAlignment="1">
      <alignment horizontal="right"/>
    </xf>
    <xf numFmtId="0" fontId="47" fillId="0" borderId="52" xfId="48" applyFont="1" applyBorder="1"/>
    <xf numFmtId="0" fontId="44" fillId="0" borderId="57" xfId="48" applyBorder="1"/>
    <xf numFmtId="164" fontId="51" fillId="0" borderId="0" xfId="48" applyNumberFormat="1" applyFont="1" applyAlignment="1">
      <alignment horizontal="center"/>
    </xf>
    <xf numFmtId="0" fontId="51" fillId="45" borderId="0" xfId="48" applyFont="1" applyFill="1" applyAlignment="1">
      <alignment horizontal="right"/>
    </xf>
    <xf numFmtId="11" fontId="51" fillId="45" borderId="0" xfId="48" applyNumberFormat="1" applyFont="1" applyFill="1" applyAlignment="1">
      <alignment horizontal="center"/>
    </xf>
    <xf numFmtId="11" fontId="51" fillId="0" borderId="0" xfId="48" applyNumberFormat="1" applyFont="1" applyAlignment="1">
      <alignment horizontal="center"/>
    </xf>
    <xf numFmtId="0" fontId="51" fillId="44" borderId="0" xfId="48" applyFont="1" applyFill="1" applyAlignment="1">
      <alignment horizontal="right"/>
    </xf>
    <xf numFmtId="2" fontId="51" fillId="43" borderId="0" xfId="48" applyNumberFormat="1" applyFont="1" applyFill="1" applyAlignment="1">
      <alignment horizontal="center"/>
    </xf>
    <xf numFmtId="11" fontId="51" fillId="44" borderId="0" xfId="48" applyNumberFormat="1" applyFont="1" applyFill="1" applyAlignment="1">
      <alignment horizontal="center"/>
    </xf>
    <xf numFmtId="164" fontId="44" fillId="0" borderId="0" xfId="48" applyNumberFormat="1" applyFont="1"/>
    <xf numFmtId="167" fontId="51" fillId="0" borderId="0" xfId="48" applyNumberFormat="1" applyFont="1" applyAlignment="1">
      <alignment horizontal="center"/>
    </xf>
    <xf numFmtId="2" fontId="51" fillId="0" borderId="0" xfId="48" applyNumberFormat="1" applyFont="1" applyAlignment="1">
      <alignment horizontal="center"/>
    </xf>
    <xf numFmtId="2" fontId="51" fillId="42" borderId="0" xfId="48" applyNumberFormat="1" applyFont="1" applyFill="1" applyAlignment="1">
      <alignment horizontal="center"/>
    </xf>
    <xf numFmtId="0" fontId="7" fillId="0" borderId="0" xfId="48" applyFont="1"/>
    <xf numFmtId="0" fontId="44" fillId="0" borderId="0" xfId="48" applyAlignment="1">
      <alignment horizontal="center"/>
    </xf>
    <xf numFmtId="0" fontId="51" fillId="46" borderId="0" xfId="48" applyFont="1" applyFill="1" applyAlignment="1">
      <alignment horizontal="right"/>
    </xf>
    <xf numFmtId="2" fontId="51" fillId="44" borderId="0" xfId="48" applyNumberFormat="1" applyFont="1" applyFill="1" applyAlignment="1">
      <alignment horizontal="center"/>
    </xf>
    <xf numFmtId="2" fontId="51" fillId="0" borderId="0" xfId="48" applyNumberFormat="1" applyFont="1" applyBorder="1" applyAlignment="1">
      <alignment horizontal="center"/>
    </xf>
    <xf numFmtId="2" fontId="44" fillId="0" borderId="0" xfId="48" applyNumberFormat="1" applyAlignment="1">
      <alignment horizontal="center"/>
    </xf>
    <xf numFmtId="0" fontId="52" fillId="0" borderId="0" xfId="48" applyFont="1" applyAlignment="1">
      <alignment horizontal="right"/>
    </xf>
    <xf numFmtId="0" fontId="51" fillId="43" borderId="0" xfId="48" applyFont="1" applyFill="1" applyBorder="1" applyAlignment="1">
      <alignment horizontal="center"/>
    </xf>
    <xf numFmtId="0" fontId="51" fillId="45" borderId="0" xfId="48" applyFont="1" applyFill="1" applyBorder="1" applyAlignment="1">
      <alignment horizontal="center"/>
    </xf>
    <xf numFmtId="0" fontId="51" fillId="0" borderId="0" xfId="48" applyFont="1" applyAlignment="1">
      <alignment horizontal="center"/>
    </xf>
    <xf numFmtId="0" fontId="51" fillId="43" borderId="0" xfId="48" applyFont="1" applyFill="1" applyAlignment="1">
      <alignment horizontal="center"/>
    </xf>
    <xf numFmtId="0" fontId="51" fillId="45" borderId="0" xfId="48" applyFont="1" applyFill="1" applyAlignment="1">
      <alignment horizontal="center"/>
    </xf>
    <xf numFmtId="1" fontId="51" fillId="44" borderId="0" xfId="48" applyNumberFormat="1" applyFont="1" applyFill="1" applyAlignment="1">
      <alignment horizontal="center"/>
    </xf>
    <xf numFmtId="1" fontId="51" fillId="44" borderId="0" xfId="48" applyNumberFormat="1" applyFont="1" applyFill="1" applyBorder="1" applyAlignment="1">
      <alignment horizontal="center"/>
    </xf>
    <xf numFmtId="0" fontId="51" fillId="44" borderId="0" xfId="48" applyFont="1" applyFill="1" applyBorder="1" applyAlignment="1">
      <alignment horizontal="right"/>
    </xf>
    <xf numFmtId="0" fontId="51" fillId="0" borderId="0" xfId="48" applyFont="1" applyBorder="1" applyAlignment="1">
      <alignment horizontal="right"/>
    </xf>
    <xf numFmtId="1" fontId="51" fillId="0" borderId="0" xfId="48" applyNumberFormat="1" applyFont="1" applyBorder="1" applyAlignment="1">
      <alignment horizontal="center"/>
    </xf>
    <xf numFmtId="0" fontId="51" fillId="44" borderId="53" xfId="48" applyFont="1" applyFill="1" applyBorder="1" applyAlignment="1">
      <alignment horizontal="right"/>
    </xf>
    <xf numFmtId="1" fontId="51" fillId="44" borderId="53" xfId="48" applyNumberFormat="1" applyFont="1" applyFill="1" applyBorder="1" applyAlignment="1">
      <alignment horizontal="center"/>
    </xf>
    <xf numFmtId="167" fontId="51" fillId="44" borderId="0" xfId="48" applyNumberFormat="1" applyFont="1" applyFill="1" applyAlignment="1">
      <alignment horizontal="center"/>
    </xf>
    <xf numFmtId="0" fontId="51" fillId="44" borderId="35" xfId="48" applyFont="1" applyFill="1" applyBorder="1" applyAlignment="1">
      <alignment horizontal="right"/>
    </xf>
    <xf numFmtId="2" fontId="51" fillId="44" borderId="58" xfId="48" applyNumberFormat="1" applyFont="1" applyFill="1" applyBorder="1" applyAlignment="1">
      <alignment horizontal="center"/>
    </xf>
    <xf numFmtId="2" fontId="51" fillId="44" borderId="59" xfId="48" applyNumberFormat="1" applyFont="1" applyFill="1" applyBorder="1" applyAlignment="1">
      <alignment horizontal="center"/>
    </xf>
    <xf numFmtId="0" fontId="51" fillId="0" borderId="0" xfId="48" applyFont="1" applyBorder="1" applyAlignment="1">
      <alignment horizontal="left"/>
    </xf>
    <xf numFmtId="10" fontId="0" fillId="0" borderId="15" xfId="0" applyNumberFormat="1" applyFill="1" applyBorder="1" applyAlignment="1">
      <alignment horizontal="center"/>
    </xf>
    <xf numFmtId="10" fontId="0" fillId="0" borderId="15" xfId="0" applyNumberFormat="1" applyFont="1" applyFill="1" applyBorder="1" applyAlignment="1">
      <alignment horizontal="center"/>
    </xf>
    <xf numFmtId="164" fontId="44" fillId="0" borderId="0" xfId="48" applyNumberFormat="1"/>
    <xf numFmtId="0" fontId="7" fillId="0" borderId="0" xfId="43" applyFont="1" applyFill="1" applyBorder="1" applyAlignment="1">
      <alignment horizontal="right"/>
    </xf>
    <xf numFmtId="2" fontId="7" fillId="0" borderId="0" xfId="43" applyNumberFormat="1" applyFont="1" applyFill="1" applyBorder="1" applyAlignment="1">
      <alignment horizontal="center"/>
    </xf>
    <xf numFmtId="0" fontId="2" fillId="0" borderId="0" xfId="0" applyFont="1" applyFill="1" applyBorder="1"/>
    <xf numFmtId="0" fontId="2" fillId="0" borderId="0" xfId="0" applyFont="1" applyAlignment="1">
      <alignment horizontal="right"/>
    </xf>
    <xf numFmtId="0" fontId="53" fillId="0" borderId="0" xfId="48" applyFont="1" applyAlignment="1">
      <alignment horizontal="right"/>
    </xf>
    <xf numFmtId="0" fontId="51" fillId="43" borderId="0" xfId="0" applyFont="1" applyFill="1" applyAlignment="1">
      <alignment horizontal="right"/>
    </xf>
    <xf numFmtId="164" fontId="51" fillId="43" borderId="0" xfId="0" applyNumberFormat="1" applyFont="1" applyFill="1" applyAlignment="1">
      <alignment horizontal="center"/>
    </xf>
    <xf numFmtId="0" fontId="47" fillId="0" borderId="0" xfId="0" applyFont="1"/>
    <xf numFmtId="0" fontId="52" fillId="43" borderId="0" xfId="0" applyFont="1" applyFill="1" applyAlignment="1">
      <alignment horizontal="right"/>
    </xf>
    <xf numFmtId="2" fontId="51" fillId="43" borderId="0" xfId="0" applyNumberFormat="1" applyFont="1" applyFill="1" applyAlignment="1">
      <alignment horizontal="center"/>
    </xf>
    <xf numFmtId="0" fontId="47" fillId="0" borderId="0" xfId="0" applyFont="1" applyAlignment="1">
      <alignment horizontal="right"/>
    </xf>
    <xf numFmtId="0" fontId="51" fillId="44" borderId="0" xfId="0" applyFont="1" applyFill="1" applyAlignment="1">
      <alignment horizontal="right"/>
    </xf>
    <xf numFmtId="2" fontId="51" fillId="44" borderId="0" xfId="0" applyNumberFormat="1" applyFont="1" applyFill="1" applyAlignment="1">
      <alignment horizontal="center"/>
    </xf>
    <xf numFmtId="0" fontId="0" fillId="36" borderId="15" xfId="0" applyFill="1" applyBorder="1"/>
    <xf numFmtId="1" fontId="51" fillId="44" borderId="0" xfId="0" applyNumberFormat="1" applyFont="1" applyFill="1" applyAlignment="1">
      <alignment horizontal="center"/>
    </xf>
    <xf numFmtId="1" fontId="51" fillId="44" borderId="0" xfId="0" applyNumberFormat="1" applyFont="1" applyFill="1" applyBorder="1" applyAlignment="1">
      <alignment horizontal="center"/>
    </xf>
    <xf numFmtId="0" fontId="51" fillId="44" borderId="0" xfId="0" applyFont="1" applyFill="1" applyBorder="1" applyAlignment="1">
      <alignment horizontal="right"/>
    </xf>
    <xf numFmtId="0" fontId="51" fillId="44" borderId="53" xfId="0" applyFont="1" applyFill="1" applyBorder="1" applyAlignment="1">
      <alignment horizontal="right"/>
    </xf>
    <xf numFmtId="1" fontId="51" fillId="44" borderId="53" xfId="0" applyNumberFormat="1" applyFont="1" applyFill="1" applyBorder="1" applyAlignment="1">
      <alignment horizontal="center"/>
    </xf>
    <xf numFmtId="167" fontId="51" fillId="44" borderId="0" xfId="0" applyNumberFormat="1" applyFont="1" applyFill="1" applyAlignment="1">
      <alignment horizontal="center"/>
    </xf>
    <xf numFmtId="0" fontId="51" fillId="44" borderId="35" xfId="0" applyFont="1" applyFill="1" applyBorder="1" applyAlignment="1">
      <alignment horizontal="right"/>
    </xf>
    <xf numFmtId="167" fontId="51" fillId="44" borderId="58" xfId="0" applyNumberFormat="1" applyFont="1" applyFill="1" applyBorder="1" applyAlignment="1">
      <alignment horizontal="center"/>
    </xf>
    <xf numFmtId="0" fontId="51" fillId="44" borderId="9" xfId="0" applyFont="1" applyFill="1" applyBorder="1" applyAlignment="1">
      <alignment horizontal="right"/>
    </xf>
    <xf numFmtId="0" fontId="0" fillId="0" borderId="3" xfId="0" applyNumberFormat="1" applyFont="1" applyFill="1" applyBorder="1" applyAlignment="1">
      <alignment horizontal="center"/>
    </xf>
    <xf numFmtId="0" fontId="0" fillId="0" borderId="0" xfId="0" applyNumberFormat="1" applyFont="1" applyFill="1" applyBorder="1" applyAlignment="1">
      <alignment horizontal="center"/>
    </xf>
    <xf numFmtId="0" fontId="2" fillId="0" borderId="0" xfId="0" applyFont="1" applyFill="1"/>
    <xf numFmtId="164" fontId="2" fillId="0" borderId="11" xfId="0" applyNumberFormat="1" applyFont="1" applyFill="1" applyBorder="1" applyAlignment="1">
      <alignment horizontal="center"/>
    </xf>
    <xf numFmtId="1" fontId="2" fillId="0" borderId="10" xfId="0" applyNumberFormat="1" applyFont="1" applyFill="1" applyBorder="1" applyAlignment="1">
      <alignment horizontal="center"/>
    </xf>
    <xf numFmtId="1" fontId="2" fillId="0" borderId="11" xfId="0" applyNumberFormat="1" applyFont="1" applyFill="1" applyBorder="1" applyAlignment="1">
      <alignment horizontal="center"/>
    </xf>
    <xf numFmtId="14" fontId="0" fillId="0" borderId="0" xfId="0" applyNumberFormat="1" applyAlignment="1">
      <alignment horizontal="right"/>
    </xf>
    <xf numFmtId="0" fontId="44" fillId="0" borderId="52" xfId="48" applyBorder="1"/>
    <xf numFmtId="0" fontId="51" fillId="0" borderId="0" xfId="48" applyFont="1" applyFill="1" applyBorder="1" applyAlignment="1">
      <alignment horizontal="right"/>
    </xf>
    <xf numFmtId="2" fontId="51" fillId="0" borderId="0" xfId="48" applyNumberFormat="1" applyFont="1" applyFill="1" applyBorder="1" applyAlignment="1">
      <alignment horizontal="center"/>
    </xf>
    <xf numFmtId="0" fontId="0" fillId="47" borderId="15" xfId="0" applyFill="1" applyBorder="1"/>
    <xf numFmtId="2" fontId="0" fillId="47" borderId="15" xfId="0" applyNumberFormat="1" applyFill="1" applyBorder="1" applyAlignment="1"/>
    <xf numFmtId="0" fontId="0" fillId="47" borderId="35" xfId="0" applyFill="1" applyBorder="1" applyAlignment="1">
      <alignment horizontal="left" indent="1"/>
    </xf>
    <xf numFmtId="0" fontId="0" fillId="47" borderId="59" xfId="0" applyFill="1" applyBorder="1"/>
    <xf numFmtId="2" fontId="7" fillId="0" borderId="0" xfId="43" applyNumberFormat="1" applyFont="1" applyFill="1" applyBorder="1" applyAlignment="1"/>
    <xf numFmtId="1" fontId="0" fillId="0" borderId="0" xfId="0" applyNumberFormat="1"/>
    <xf numFmtId="0" fontId="33" fillId="0" borderId="61" xfId="0" applyFont="1" applyFill="1" applyBorder="1" applyAlignment="1">
      <alignment horizontal="center" vertical="center"/>
    </xf>
    <xf numFmtId="0" fontId="0" fillId="0" borderId="62" xfId="0" applyFill="1" applyBorder="1" applyAlignment="1">
      <alignment wrapText="1"/>
    </xf>
    <xf numFmtId="164" fontId="2" fillId="0" borderId="10" xfId="0" applyNumberFormat="1" applyFont="1" applyFill="1" applyBorder="1" applyAlignment="1">
      <alignment horizontal="center" vertical="center"/>
    </xf>
    <xf numFmtId="0" fontId="44" fillId="0" borderId="0" xfId="48" applyAlignment="1">
      <alignment horizontal="right"/>
    </xf>
    <xf numFmtId="14" fontId="44" fillId="0" borderId="0" xfId="48" applyNumberFormat="1" applyAlignment="1">
      <alignment horizontal="left"/>
    </xf>
    <xf numFmtId="0" fontId="42" fillId="0" borderId="5" xfId="0" applyFont="1" applyFill="1" applyBorder="1"/>
    <xf numFmtId="0" fontId="0" fillId="0" borderId="62" xfId="0" applyBorder="1" applyAlignment="1">
      <alignment horizontal="center"/>
    </xf>
    <xf numFmtId="0" fontId="0" fillId="0" borderId="62" xfId="0" applyBorder="1"/>
    <xf numFmtId="14" fontId="0" fillId="0" borderId="63" xfId="0" applyNumberFormat="1" applyBorder="1"/>
    <xf numFmtId="164" fontId="0" fillId="0" borderId="0" xfId="47" applyNumberFormat="1" applyFont="1" applyFill="1" applyAlignment="1">
      <alignment horizontal="center" vertical="center"/>
    </xf>
    <xf numFmtId="2" fontId="51" fillId="44" borderId="10" xfId="0" applyNumberFormat="1" applyFont="1" applyFill="1" applyBorder="1" applyAlignment="1">
      <alignment horizontal="center"/>
    </xf>
    <xf numFmtId="0" fontId="2" fillId="0" borderId="3" xfId="0" applyFont="1" applyBorder="1" applyAlignment="1">
      <alignment horizontal="center"/>
    </xf>
    <xf numFmtId="0" fontId="2" fillId="0" borderId="52"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5" fillId="0" borderId="0" xfId="43" applyFont="1" applyAlignment="1">
      <alignment horizontal="center"/>
    </xf>
    <xf numFmtId="0" fontId="2" fillId="0" borderId="1" xfId="0" applyFont="1" applyBorder="1" applyAlignment="1">
      <alignment horizontal="center"/>
    </xf>
    <xf numFmtId="0" fontId="0" fillId="34" borderId="31" xfId="0" applyFill="1" applyBorder="1" applyAlignment="1">
      <alignment horizontal="center" wrapText="1"/>
    </xf>
    <xf numFmtId="0" fontId="0" fillId="34" borderId="26" xfId="0" applyFill="1" applyBorder="1" applyAlignment="1">
      <alignment horizontal="center" wrapText="1"/>
    </xf>
    <xf numFmtId="0" fontId="0" fillId="34" borderId="33" xfId="0" applyFill="1" applyBorder="1" applyAlignment="1">
      <alignment horizontal="center" wrapText="1"/>
    </xf>
    <xf numFmtId="0" fontId="0" fillId="0" borderId="0" xfId="0" applyFill="1" applyBorder="1" applyAlignment="1">
      <alignment horizontal="center" wrapText="1"/>
    </xf>
    <xf numFmtId="0" fontId="2" fillId="0" borderId="2" xfId="0" applyFont="1" applyBorder="1" applyAlignment="1">
      <alignment horizontal="center"/>
    </xf>
    <xf numFmtId="0" fontId="2" fillId="0" borderId="5" xfId="0" applyFont="1" applyBorder="1" applyAlignment="1">
      <alignment horizontal="center"/>
    </xf>
    <xf numFmtId="0" fontId="0" fillId="0" borderId="0" xfId="0" applyAlignment="1">
      <alignment horizontal="left"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5" builtinId="9" hidden="1"/>
    <cellStyle name="Followed Hyperlink" xfId="4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Input" xfId="9" builtinId="20" customBuiltin="1"/>
    <cellStyle name="Linked Cell" xfId="12" builtinId="24" customBuiltin="1"/>
    <cellStyle name="Neutral" xfId="8" builtinId="28" customBuiltin="1"/>
    <cellStyle name="Normal" xfId="0" builtinId="0"/>
    <cellStyle name="Normal 2" xfId="43"/>
    <cellStyle name="Normal 3" xfId="48"/>
    <cellStyle name="Note" xfId="15" builtinId="10" customBuiltin="1"/>
    <cellStyle name="Output" xfId="10" builtinId="21" customBuiltin="1"/>
    <cellStyle name="Percent" xfId="47"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FFFF66"/>
      <color rgb="FF404040"/>
      <color rgb="FFE46D0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Throughput trending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360nm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Throughput!$R$100:$R$110</c:f>
              <c:numCache>
                <c:formatCode>m/d/yyyy</c:formatCode>
                <c:ptCount val="11"/>
                <c:pt idx="0">
                  <c:v>42185</c:v>
                </c:pt>
                <c:pt idx="1">
                  <c:v>42234</c:v>
                </c:pt>
                <c:pt idx="2">
                  <c:v>42398</c:v>
                </c:pt>
                <c:pt idx="3">
                  <c:v>42476</c:v>
                </c:pt>
                <c:pt idx="4">
                  <c:v>42762</c:v>
                </c:pt>
                <c:pt idx="5">
                  <c:v>43067</c:v>
                </c:pt>
                <c:pt idx="6">
                  <c:v>43258</c:v>
                </c:pt>
                <c:pt idx="7">
                  <c:v>43397</c:v>
                </c:pt>
                <c:pt idx="8">
                  <c:v>43474</c:v>
                </c:pt>
                <c:pt idx="9">
                  <c:v>43902</c:v>
                </c:pt>
                <c:pt idx="10">
                  <c:v>43937</c:v>
                </c:pt>
              </c:numCache>
            </c:numRef>
          </c:xVal>
          <c:yVal>
            <c:numRef>
              <c:f>Throughput!$C$100:$C$110</c:f>
              <c:numCache>
                <c:formatCode>0.000</c:formatCode>
                <c:ptCount val="11"/>
                <c:pt idx="0">
                  <c:v>0.11049190785627934</c:v>
                </c:pt>
                <c:pt idx="1">
                  <c:v>0.11049190785627934</c:v>
                </c:pt>
                <c:pt idx="2">
                  <c:v>0.11049190785627934</c:v>
                </c:pt>
                <c:pt idx="3">
                  <c:v>9.4494365360024285E-2</c:v>
                </c:pt>
                <c:pt idx="4">
                  <c:v>0.10791111851379435</c:v>
                </c:pt>
                <c:pt idx="5">
                  <c:v>0.10982282667133753</c:v>
                </c:pt>
                <c:pt idx="6">
                  <c:v>0.11174496066903288</c:v>
                </c:pt>
                <c:pt idx="7">
                  <c:v>0.11794084529004996</c:v>
                </c:pt>
                <c:pt idx="8">
                  <c:v>0.11132406041417074</c:v>
                </c:pt>
                <c:pt idx="9">
                  <c:v>0.13348195721823933</c:v>
                </c:pt>
                <c:pt idx="10">
                  <c:v>0.13270095419255937</c:v>
                </c:pt>
              </c:numCache>
            </c:numRef>
          </c:yVal>
          <c:smooth val="0"/>
          <c:extLst>
            <c:ext xmlns:c16="http://schemas.microsoft.com/office/drawing/2014/chart" uri="{C3380CC4-5D6E-409C-BE32-E72D297353CC}">
              <c16:uniqueId val="{00000000-0B86-43D4-AAD5-22F6C88CDC6A}"/>
            </c:ext>
          </c:extLst>
        </c:ser>
        <c:ser>
          <c:idx val="1"/>
          <c:order val="1"/>
          <c:tx>
            <c:v>400nm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Throughput!$R$100:$R$110</c:f>
              <c:numCache>
                <c:formatCode>m/d/yyyy</c:formatCode>
                <c:ptCount val="11"/>
                <c:pt idx="0">
                  <c:v>42185</c:v>
                </c:pt>
                <c:pt idx="1">
                  <c:v>42234</c:v>
                </c:pt>
                <c:pt idx="2">
                  <c:v>42398</c:v>
                </c:pt>
                <c:pt idx="3">
                  <c:v>42476</c:v>
                </c:pt>
                <c:pt idx="4">
                  <c:v>42762</c:v>
                </c:pt>
                <c:pt idx="5">
                  <c:v>43067</c:v>
                </c:pt>
                <c:pt idx="6">
                  <c:v>43258</c:v>
                </c:pt>
                <c:pt idx="7">
                  <c:v>43397</c:v>
                </c:pt>
                <c:pt idx="8">
                  <c:v>43474</c:v>
                </c:pt>
                <c:pt idx="9">
                  <c:v>43902</c:v>
                </c:pt>
                <c:pt idx="10">
                  <c:v>43937</c:v>
                </c:pt>
              </c:numCache>
            </c:numRef>
          </c:xVal>
          <c:yVal>
            <c:numRef>
              <c:f>Throughput!$E$100:$E$110</c:f>
              <c:numCache>
                <c:formatCode>0.000</c:formatCode>
                <c:ptCount val="11"/>
                <c:pt idx="0">
                  <c:v>0.26147802472005549</c:v>
                </c:pt>
                <c:pt idx="1">
                  <c:v>0.26147802472005549</c:v>
                </c:pt>
                <c:pt idx="2">
                  <c:v>0.26147802472005549</c:v>
                </c:pt>
                <c:pt idx="3">
                  <c:v>0.23811785160682164</c:v>
                </c:pt>
                <c:pt idx="4">
                  <c:v>0.26899643055150763</c:v>
                </c:pt>
                <c:pt idx="5">
                  <c:v>0.26320914005768692</c:v>
                </c:pt>
                <c:pt idx="6">
                  <c:v>0.26403882902693093</c:v>
                </c:pt>
                <c:pt idx="7">
                  <c:v>0.25203992847491707</c:v>
                </c:pt>
                <c:pt idx="8">
                  <c:v>0.25848817513330219</c:v>
                </c:pt>
                <c:pt idx="9">
                  <c:v>0.26980308301256711</c:v>
                </c:pt>
                <c:pt idx="10">
                  <c:v>0.27915437985318425</c:v>
                </c:pt>
              </c:numCache>
            </c:numRef>
          </c:yVal>
          <c:smooth val="0"/>
          <c:extLst>
            <c:ext xmlns:c16="http://schemas.microsoft.com/office/drawing/2014/chart" uri="{C3380CC4-5D6E-409C-BE32-E72D297353CC}">
              <c16:uniqueId val="{00000003-0B86-43D4-AAD5-22F6C88CDC6A}"/>
            </c:ext>
          </c:extLst>
        </c:ser>
        <c:ser>
          <c:idx val="4"/>
          <c:order val="2"/>
          <c:tx>
            <c:v>450nm</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Throughput!$R$100:$R$110</c:f>
              <c:numCache>
                <c:formatCode>m/d/yyyy</c:formatCode>
                <c:ptCount val="11"/>
                <c:pt idx="0">
                  <c:v>42185</c:v>
                </c:pt>
                <c:pt idx="1">
                  <c:v>42234</c:v>
                </c:pt>
                <c:pt idx="2">
                  <c:v>42398</c:v>
                </c:pt>
                <c:pt idx="3">
                  <c:v>42476</c:v>
                </c:pt>
                <c:pt idx="4">
                  <c:v>42762</c:v>
                </c:pt>
                <c:pt idx="5">
                  <c:v>43067</c:v>
                </c:pt>
                <c:pt idx="6">
                  <c:v>43258</c:v>
                </c:pt>
                <c:pt idx="7">
                  <c:v>43397</c:v>
                </c:pt>
                <c:pt idx="8">
                  <c:v>43474</c:v>
                </c:pt>
                <c:pt idx="9">
                  <c:v>43902</c:v>
                </c:pt>
                <c:pt idx="10">
                  <c:v>43937</c:v>
                </c:pt>
              </c:numCache>
            </c:numRef>
          </c:xVal>
          <c:yVal>
            <c:numRef>
              <c:f>Throughput!$F$100:$F$110</c:f>
              <c:numCache>
                <c:formatCode>0.000</c:formatCode>
                <c:ptCount val="11"/>
                <c:pt idx="0">
                  <c:v>0.36770681861115462</c:v>
                </c:pt>
                <c:pt idx="1">
                  <c:v>0.36770681861115462</c:v>
                </c:pt>
                <c:pt idx="2">
                  <c:v>0.36770681861115462</c:v>
                </c:pt>
                <c:pt idx="3">
                  <c:v>0.34594361817664038</c:v>
                </c:pt>
                <c:pt idx="4">
                  <c:v>0.4655159512753691</c:v>
                </c:pt>
                <c:pt idx="5">
                  <c:v>0.45234305736524788</c:v>
                </c:pt>
                <c:pt idx="6">
                  <c:v>0.45065725857267924</c:v>
                </c:pt>
                <c:pt idx="7">
                  <c:v>0.40588161641737613</c:v>
                </c:pt>
                <c:pt idx="8">
                  <c:v>0.42948049505869035</c:v>
                </c:pt>
                <c:pt idx="9">
                  <c:v>0.34787250259838182</c:v>
                </c:pt>
                <c:pt idx="10">
                  <c:v>0.3475785615539746</c:v>
                </c:pt>
              </c:numCache>
            </c:numRef>
          </c:yVal>
          <c:smooth val="0"/>
          <c:extLst>
            <c:ext xmlns:c16="http://schemas.microsoft.com/office/drawing/2014/chart" uri="{C3380CC4-5D6E-409C-BE32-E72D297353CC}">
              <c16:uniqueId val="{00000000-F2CA-4EC4-91DD-AFB5E8DCB5AB}"/>
            </c:ext>
          </c:extLst>
        </c:ser>
        <c:ser>
          <c:idx val="2"/>
          <c:order val="3"/>
          <c:tx>
            <c:v>650nm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Throughput!$R$100:$R$110</c:f>
              <c:numCache>
                <c:formatCode>m/d/yyyy</c:formatCode>
                <c:ptCount val="11"/>
                <c:pt idx="0">
                  <c:v>42185</c:v>
                </c:pt>
                <c:pt idx="1">
                  <c:v>42234</c:v>
                </c:pt>
                <c:pt idx="2">
                  <c:v>42398</c:v>
                </c:pt>
                <c:pt idx="3">
                  <c:v>42476</c:v>
                </c:pt>
                <c:pt idx="4">
                  <c:v>42762</c:v>
                </c:pt>
                <c:pt idx="5">
                  <c:v>43067</c:v>
                </c:pt>
                <c:pt idx="6">
                  <c:v>43258</c:v>
                </c:pt>
                <c:pt idx="7">
                  <c:v>43397</c:v>
                </c:pt>
                <c:pt idx="8">
                  <c:v>43474</c:v>
                </c:pt>
                <c:pt idx="9">
                  <c:v>43902</c:v>
                </c:pt>
                <c:pt idx="10">
                  <c:v>43937</c:v>
                </c:pt>
              </c:numCache>
            </c:numRef>
          </c:xVal>
          <c:yVal>
            <c:numRef>
              <c:f>Throughput!$J$100:$J$110</c:f>
              <c:numCache>
                <c:formatCode>0.000</c:formatCode>
                <c:ptCount val="11"/>
                <c:pt idx="0">
                  <c:v>0.40563681956857983</c:v>
                </c:pt>
                <c:pt idx="1">
                  <c:v>0.40563681956857983</c:v>
                </c:pt>
                <c:pt idx="2">
                  <c:v>0.40563681956857983</c:v>
                </c:pt>
                <c:pt idx="3">
                  <c:v>0.39834582424771936</c:v>
                </c:pt>
                <c:pt idx="4">
                  <c:v>0.47510425540420032</c:v>
                </c:pt>
                <c:pt idx="5">
                  <c:v>0.46312184462399941</c:v>
                </c:pt>
                <c:pt idx="6">
                  <c:v>0.46182735516603918</c:v>
                </c:pt>
                <c:pt idx="7">
                  <c:v>0.43186244520369388</c:v>
                </c:pt>
                <c:pt idx="8">
                  <c:v>0.4536717141446916</c:v>
                </c:pt>
                <c:pt idx="9">
                  <c:v>0.42468482713389399</c:v>
                </c:pt>
                <c:pt idx="10">
                  <c:v>0.42470974517382704</c:v>
                </c:pt>
              </c:numCache>
            </c:numRef>
          </c:yVal>
          <c:smooth val="0"/>
          <c:extLst>
            <c:ext xmlns:c16="http://schemas.microsoft.com/office/drawing/2014/chart" uri="{C3380CC4-5D6E-409C-BE32-E72D297353CC}">
              <c16:uniqueId val="{00000004-0B86-43D4-AAD5-22F6C88CDC6A}"/>
            </c:ext>
          </c:extLst>
        </c:ser>
        <c:ser>
          <c:idx val="3"/>
          <c:order val="4"/>
          <c:tx>
            <c:v>900nm</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Throughput!$R$100:$R$110</c:f>
              <c:numCache>
                <c:formatCode>m/d/yyyy</c:formatCode>
                <c:ptCount val="11"/>
                <c:pt idx="0">
                  <c:v>42185</c:v>
                </c:pt>
                <c:pt idx="1">
                  <c:v>42234</c:v>
                </c:pt>
                <c:pt idx="2">
                  <c:v>42398</c:v>
                </c:pt>
                <c:pt idx="3">
                  <c:v>42476</c:v>
                </c:pt>
                <c:pt idx="4">
                  <c:v>42762</c:v>
                </c:pt>
                <c:pt idx="5">
                  <c:v>43067</c:v>
                </c:pt>
                <c:pt idx="6">
                  <c:v>43258</c:v>
                </c:pt>
                <c:pt idx="7">
                  <c:v>43397</c:v>
                </c:pt>
                <c:pt idx="8">
                  <c:v>43474</c:v>
                </c:pt>
                <c:pt idx="9">
                  <c:v>43902</c:v>
                </c:pt>
                <c:pt idx="10">
                  <c:v>43937</c:v>
                </c:pt>
              </c:numCache>
            </c:numRef>
          </c:xVal>
          <c:yVal>
            <c:numRef>
              <c:f>Throughput!$O$100:$O$110</c:f>
              <c:numCache>
                <c:formatCode>0.000</c:formatCode>
                <c:ptCount val="11"/>
                <c:pt idx="0">
                  <c:v>0.43490448325521708</c:v>
                </c:pt>
                <c:pt idx="1">
                  <c:v>0.43490448325521708</c:v>
                </c:pt>
                <c:pt idx="2">
                  <c:v>0.43490448325521708</c:v>
                </c:pt>
                <c:pt idx="3">
                  <c:v>0.43014714691755479</c:v>
                </c:pt>
                <c:pt idx="4">
                  <c:v>0.50473675883670888</c:v>
                </c:pt>
                <c:pt idx="5">
                  <c:v>0.48416775954972091</c:v>
                </c:pt>
                <c:pt idx="6">
                  <c:v>0.48699547337464832</c:v>
                </c:pt>
                <c:pt idx="7">
                  <c:v>0.50119371240828192</c:v>
                </c:pt>
                <c:pt idx="8">
                  <c:v>0.49846640685149163</c:v>
                </c:pt>
                <c:pt idx="9">
                  <c:v>0.48850131141677472</c:v>
                </c:pt>
                <c:pt idx="10">
                  <c:v>0.48850131141677472</c:v>
                </c:pt>
              </c:numCache>
            </c:numRef>
          </c:yVal>
          <c:smooth val="0"/>
          <c:extLst>
            <c:ext xmlns:c16="http://schemas.microsoft.com/office/drawing/2014/chart" uri="{C3380CC4-5D6E-409C-BE32-E72D297353CC}">
              <c16:uniqueId val="{00000005-0B86-43D4-AAD5-22F6C88CDC6A}"/>
            </c:ext>
          </c:extLst>
        </c:ser>
        <c:dLbls>
          <c:showLegendKey val="0"/>
          <c:showVal val="0"/>
          <c:showCatName val="0"/>
          <c:showSerName val="0"/>
          <c:showPercent val="0"/>
          <c:showBubbleSize val="0"/>
        </c:dLbls>
        <c:axId val="-876580928"/>
        <c:axId val="-876582560"/>
      </c:scatterChart>
      <c:valAx>
        <c:axId val="-876580928"/>
        <c:scaling>
          <c:orientation val="minMax"/>
          <c:max val="43983"/>
          <c:min val="4215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 (m/d/y)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m/d/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582560"/>
        <c:crosses val="autoZero"/>
        <c:crossBetween val="midCat"/>
        <c:majorUnit val="182.5"/>
      </c:valAx>
      <c:valAx>
        <c:axId val="-87658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Throughput (M1 to  CCD 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58092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'barrel misalignment blur'!$C$13:$C$19</c:f>
              <c:numCache>
                <c:formatCode>General</c:formatCode>
                <c:ptCount val="7"/>
                <c:pt idx="0">
                  <c:v>0</c:v>
                </c:pt>
                <c:pt idx="1">
                  <c:v>0.1</c:v>
                </c:pt>
                <c:pt idx="2">
                  <c:v>0.2</c:v>
                </c:pt>
                <c:pt idx="3">
                  <c:v>0.3</c:v>
                </c:pt>
                <c:pt idx="4">
                  <c:v>0.5</c:v>
                </c:pt>
                <c:pt idx="5">
                  <c:v>0.7</c:v>
                </c:pt>
                <c:pt idx="6">
                  <c:v>1</c:v>
                </c:pt>
              </c:numCache>
            </c:numRef>
          </c:xVal>
          <c:yVal>
            <c:numRef>
              <c:f>'barrel misalignment blur'!$F$13:$F$19</c:f>
              <c:numCache>
                <c:formatCode>0.00000</c:formatCode>
                <c:ptCount val="7"/>
                <c:pt idx="0">
                  <c:v>0</c:v>
                </c:pt>
                <c:pt idx="1">
                  <c:v>1.055121083098999E-3</c:v>
                </c:pt>
                <c:pt idx="2">
                  <c:v>1.7587894984903796E-3</c:v>
                </c:pt>
                <c:pt idx="3">
                  <c:v>2.4310871025119657E-3</c:v>
                </c:pt>
                <c:pt idx="4">
                  <c:v>3.7613784707205425E-3</c:v>
                </c:pt>
                <c:pt idx="5">
                  <c:v>5.0797096373710196E-3</c:v>
                </c:pt>
                <c:pt idx="6">
                  <c:v>7.0538500125817798E-3</c:v>
                </c:pt>
              </c:numCache>
            </c:numRef>
          </c:yVal>
          <c:smooth val="0"/>
          <c:extLst>
            <c:ext xmlns:c16="http://schemas.microsoft.com/office/drawing/2014/chart" uri="{C3380CC4-5D6E-409C-BE32-E72D297353CC}">
              <c16:uniqueId val="{00000000-4BC5-4AF0-9C79-857E6F8EDD49}"/>
            </c:ext>
          </c:extLst>
        </c:ser>
        <c:ser>
          <c:idx val="1"/>
          <c:order val="1"/>
          <c:spPr>
            <a:ln>
              <a:noFill/>
            </a:ln>
          </c:spPr>
          <c:xVal>
            <c:numRef>
              <c:f>'barrel misalignment blur'!$C$21:$C$23</c:f>
              <c:numCache>
                <c:formatCode>General</c:formatCode>
                <c:ptCount val="3"/>
                <c:pt idx="0">
                  <c:v>0.04</c:v>
                </c:pt>
                <c:pt idx="1">
                  <c:v>7.4999999999999997E-3</c:v>
                </c:pt>
                <c:pt idx="2">
                  <c:v>0.3</c:v>
                </c:pt>
              </c:numCache>
            </c:numRef>
          </c:xVal>
          <c:yVal>
            <c:numRef>
              <c:f>'barrel misalignment blur'!$F$21:$F$23</c:f>
              <c:numCache>
                <c:formatCode>0.000000</c:formatCode>
                <c:ptCount val="3"/>
                <c:pt idx="0">
                  <c:v>4.2204843323959959E-4</c:v>
                </c:pt>
                <c:pt idx="1">
                  <c:v>7.9134081232424926E-5</c:v>
                </c:pt>
                <c:pt idx="2">
                  <c:v>2.4310871025119657E-3</c:v>
                </c:pt>
              </c:numCache>
            </c:numRef>
          </c:yVal>
          <c:smooth val="0"/>
          <c:extLst>
            <c:ext xmlns:c16="http://schemas.microsoft.com/office/drawing/2014/chart" uri="{C3380CC4-5D6E-409C-BE32-E72D297353CC}">
              <c16:uniqueId val="{00000001-4BC5-4AF0-9C79-857E6F8EDD49}"/>
            </c:ext>
          </c:extLst>
        </c:ser>
        <c:dLbls>
          <c:showLegendKey val="0"/>
          <c:showVal val="0"/>
          <c:showCatName val="0"/>
          <c:showSerName val="0"/>
          <c:showPercent val="0"/>
          <c:showBubbleSize val="0"/>
        </c:dLbls>
        <c:axId val="-732554192"/>
        <c:axId val="-732553648"/>
      </c:scatterChart>
      <c:valAx>
        <c:axId val="-732554192"/>
        <c:scaling>
          <c:orientation val="minMax"/>
        </c:scaling>
        <c:delete val="0"/>
        <c:axPos val="b"/>
        <c:title>
          <c:tx>
            <c:rich>
              <a:bodyPr/>
              <a:lstStyle/>
              <a:p>
                <a:pPr>
                  <a:defRPr/>
                </a:pPr>
                <a:r>
                  <a:rPr lang="en-US"/>
                  <a:t>barrel decenter (mm)</a:t>
                </a:r>
              </a:p>
            </c:rich>
          </c:tx>
          <c:overlay val="0"/>
        </c:title>
        <c:numFmt formatCode="General" sourceLinked="1"/>
        <c:majorTickMark val="out"/>
        <c:minorTickMark val="none"/>
        <c:tickLblPos val="nextTo"/>
        <c:crossAx val="-732553648"/>
        <c:crosses val="autoZero"/>
        <c:crossBetween val="midCat"/>
      </c:valAx>
      <c:valAx>
        <c:axId val="-732553648"/>
        <c:scaling>
          <c:orientation val="minMax"/>
        </c:scaling>
        <c:delete val="0"/>
        <c:axPos val="l"/>
        <c:majorGridlines/>
        <c:title>
          <c:tx>
            <c:rich>
              <a:bodyPr rot="-5400000" vert="horz"/>
              <a:lstStyle/>
              <a:p>
                <a:pPr>
                  <a:defRPr/>
                </a:pPr>
                <a:r>
                  <a:rPr lang="en-US"/>
                  <a:t>spot sigma due to barrel decenter (mm)</a:t>
                </a:r>
              </a:p>
            </c:rich>
          </c:tx>
          <c:overlay val="0"/>
        </c:title>
        <c:numFmt formatCode="0.00000" sourceLinked="1"/>
        <c:majorTickMark val="out"/>
        <c:minorTickMark val="none"/>
        <c:tickLblPos val="nextTo"/>
        <c:crossAx val="-732554192"/>
        <c:crosses val="autoZero"/>
        <c:crossBetween val="midCat"/>
      </c:valAx>
    </c:plotArea>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'barrel misalignment blur'!$B$26:$B$30</c:f>
              <c:numCache>
                <c:formatCode>General</c:formatCode>
                <c:ptCount val="5"/>
                <c:pt idx="0">
                  <c:v>0</c:v>
                </c:pt>
                <c:pt idx="1">
                  <c:v>18</c:v>
                </c:pt>
                <c:pt idx="2">
                  <c:v>25.2</c:v>
                </c:pt>
                <c:pt idx="3">
                  <c:v>36</c:v>
                </c:pt>
                <c:pt idx="4">
                  <c:v>54</c:v>
                </c:pt>
              </c:numCache>
            </c:numRef>
          </c:xVal>
          <c:yVal>
            <c:numRef>
              <c:f>'barrel misalignment blur'!$F$26:$F$30</c:f>
              <c:numCache>
                <c:formatCode>0.00000</c:formatCode>
                <c:ptCount val="5"/>
                <c:pt idx="0">
                  <c:v>0</c:v>
                </c:pt>
                <c:pt idx="1">
                  <c:v>1.8884385083978916E-3</c:v>
                </c:pt>
                <c:pt idx="2">
                  <c:v>2.4913210351137044E-3</c:v>
                </c:pt>
                <c:pt idx="3">
                  <c:v>3.3908996593824542E-3</c:v>
                </c:pt>
                <c:pt idx="4">
                  <c:v>4.8785374857635367E-3</c:v>
                </c:pt>
              </c:numCache>
            </c:numRef>
          </c:yVal>
          <c:smooth val="0"/>
          <c:extLst>
            <c:ext xmlns:c16="http://schemas.microsoft.com/office/drawing/2014/chart" uri="{C3380CC4-5D6E-409C-BE32-E72D297353CC}">
              <c16:uniqueId val="{00000000-E245-4034-934B-856AE7073B7C}"/>
            </c:ext>
          </c:extLst>
        </c:ser>
        <c:ser>
          <c:idx val="1"/>
          <c:order val="1"/>
          <c:spPr>
            <a:ln>
              <a:noFill/>
            </a:ln>
          </c:spPr>
          <c:xVal>
            <c:numRef>
              <c:f>'barrel misalignment blur'!$B$32:$B$34</c:f>
              <c:numCache>
                <c:formatCode>General</c:formatCode>
                <c:ptCount val="3"/>
                <c:pt idx="0">
                  <c:v>1.95</c:v>
                </c:pt>
                <c:pt idx="1">
                  <c:v>1</c:v>
                </c:pt>
                <c:pt idx="2">
                  <c:v>10</c:v>
                </c:pt>
              </c:numCache>
            </c:numRef>
          </c:xVal>
          <c:yVal>
            <c:numRef>
              <c:f>'barrel misalignment blur'!$F$32:$F$34</c:f>
              <c:numCache>
                <c:formatCode>0.000000</c:formatCode>
                <c:ptCount val="3"/>
                <c:pt idx="0">
                  <c:v>2.0458083840977159E-4</c:v>
                </c:pt>
                <c:pt idx="1">
                  <c:v>1.0491325046654952E-4</c:v>
                </c:pt>
                <c:pt idx="2">
                  <c:v>1.0491325046654953E-3</c:v>
                </c:pt>
              </c:numCache>
            </c:numRef>
          </c:yVal>
          <c:smooth val="0"/>
          <c:extLst>
            <c:ext xmlns:c16="http://schemas.microsoft.com/office/drawing/2014/chart" uri="{C3380CC4-5D6E-409C-BE32-E72D297353CC}">
              <c16:uniqueId val="{00000001-E245-4034-934B-856AE7073B7C}"/>
            </c:ext>
          </c:extLst>
        </c:ser>
        <c:dLbls>
          <c:showLegendKey val="0"/>
          <c:showVal val="0"/>
          <c:showCatName val="0"/>
          <c:showSerName val="0"/>
          <c:showPercent val="0"/>
          <c:showBubbleSize val="0"/>
        </c:dLbls>
        <c:axId val="-732402576"/>
        <c:axId val="-732405840"/>
      </c:scatterChart>
      <c:valAx>
        <c:axId val="-732402576"/>
        <c:scaling>
          <c:orientation val="minMax"/>
        </c:scaling>
        <c:delete val="0"/>
        <c:axPos val="b"/>
        <c:title>
          <c:tx>
            <c:rich>
              <a:bodyPr/>
              <a:lstStyle/>
              <a:p>
                <a:pPr>
                  <a:defRPr/>
                </a:pPr>
                <a:r>
                  <a:rPr lang="en-US"/>
                  <a:t>barrel tilt (arcsec)</a:t>
                </a:r>
              </a:p>
            </c:rich>
          </c:tx>
          <c:overlay val="0"/>
        </c:title>
        <c:numFmt formatCode="General" sourceLinked="1"/>
        <c:majorTickMark val="out"/>
        <c:minorTickMark val="none"/>
        <c:tickLblPos val="nextTo"/>
        <c:crossAx val="-732405840"/>
        <c:crosses val="autoZero"/>
        <c:crossBetween val="midCat"/>
      </c:valAx>
      <c:valAx>
        <c:axId val="-732405840"/>
        <c:scaling>
          <c:orientation val="minMax"/>
        </c:scaling>
        <c:delete val="0"/>
        <c:axPos val="l"/>
        <c:majorGridlines/>
        <c:title>
          <c:tx>
            <c:rich>
              <a:bodyPr rot="-5400000" vert="horz"/>
              <a:lstStyle/>
              <a:p>
                <a:pPr>
                  <a:defRPr/>
                </a:pPr>
                <a:r>
                  <a:rPr lang="en-US"/>
                  <a:t>spot sigma due to barrel tilt (mm)</a:t>
                </a:r>
              </a:p>
            </c:rich>
          </c:tx>
          <c:overlay val="0"/>
        </c:title>
        <c:numFmt formatCode="0.00000" sourceLinked="1"/>
        <c:majorTickMark val="out"/>
        <c:minorTickMark val="none"/>
        <c:tickLblPos val="nextTo"/>
        <c:crossAx val="-732402576"/>
        <c:crosses val="autoZero"/>
        <c:crossBetween val="midCat"/>
      </c:valAx>
    </c:plotArea>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'barrel misalignment blur'!$C$41:$C$49</c:f>
              <c:numCache>
                <c:formatCode>General</c:formatCode>
                <c:ptCount val="9"/>
                <c:pt idx="0">
                  <c:v>0</c:v>
                </c:pt>
                <c:pt idx="1">
                  <c:v>0.01</c:v>
                </c:pt>
                <c:pt idx="2">
                  <c:v>1.7000000000000001E-2</c:v>
                </c:pt>
                <c:pt idx="3">
                  <c:v>0.03</c:v>
                </c:pt>
                <c:pt idx="4">
                  <c:v>4.5999999999999999E-2</c:v>
                </c:pt>
                <c:pt idx="5">
                  <c:v>0.1</c:v>
                </c:pt>
                <c:pt idx="6">
                  <c:v>0.2</c:v>
                </c:pt>
                <c:pt idx="7">
                  <c:v>0.5</c:v>
                </c:pt>
                <c:pt idx="8">
                  <c:v>1</c:v>
                </c:pt>
              </c:numCache>
            </c:numRef>
          </c:xVal>
          <c:yVal>
            <c:numRef>
              <c:f>'barrel misalignment blur'!$F$41:$F$49</c:f>
              <c:numCache>
                <c:formatCode>0.00000</c:formatCode>
                <c:ptCount val="9"/>
                <c:pt idx="0">
                  <c:v>0</c:v>
                </c:pt>
                <c:pt idx="1">
                  <c:v>1.3330603887296419E-3</c:v>
                </c:pt>
                <c:pt idx="2">
                  <c:v>2.281052388701332E-3</c:v>
                </c:pt>
                <c:pt idx="3">
                  <c:v>3.9895864447333403E-3</c:v>
                </c:pt>
                <c:pt idx="4">
                  <c:v>6.1216174333259387E-3</c:v>
                </c:pt>
                <c:pt idx="5">
                  <c:v>1.3310576621619366E-2</c:v>
                </c:pt>
                <c:pt idx="6">
                  <c:v>2.6624166653625048E-2</c:v>
                </c:pt>
                <c:pt idx="7">
                  <c:v>6.6554977650060104E-2</c:v>
                </c:pt>
                <c:pt idx="8">
                  <c:v>0.13308643807691301</c:v>
                </c:pt>
              </c:numCache>
            </c:numRef>
          </c:yVal>
          <c:smooth val="0"/>
          <c:extLst>
            <c:ext xmlns:c16="http://schemas.microsoft.com/office/drawing/2014/chart" uri="{C3380CC4-5D6E-409C-BE32-E72D297353CC}">
              <c16:uniqueId val="{00000000-06D4-4DDE-A2D3-1BCE12D339CE}"/>
            </c:ext>
          </c:extLst>
        </c:ser>
        <c:ser>
          <c:idx val="1"/>
          <c:order val="1"/>
          <c:spPr>
            <a:ln>
              <a:noFill/>
            </a:ln>
          </c:spPr>
          <c:xVal>
            <c:numRef>
              <c:f>'barrel misalignment blur'!$C$51:$C$54</c:f>
              <c:numCache>
                <c:formatCode>General</c:formatCode>
                <c:ptCount val="4"/>
                <c:pt idx="0">
                  <c:v>3.0000000000000001E-3</c:v>
                </c:pt>
                <c:pt idx="1">
                  <c:v>5.0000000000000001E-3</c:v>
                </c:pt>
                <c:pt idx="2">
                  <c:v>0.03</c:v>
                </c:pt>
                <c:pt idx="3" formatCode="0.0000">
                  <c:v>1.1681279999999999E-2</c:v>
                </c:pt>
              </c:numCache>
            </c:numRef>
          </c:xVal>
          <c:yVal>
            <c:numRef>
              <c:f>'barrel misalignment blur'!$F$51:$F$54</c:f>
              <c:numCache>
                <c:formatCode>0.000000</c:formatCode>
                <c:ptCount val="4"/>
                <c:pt idx="0">
                  <c:v>3.9991811661889252E-4</c:v>
                </c:pt>
                <c:pt idx="1">
                  <c:v>6.6653019436482093E-4</c:v>
                </c:pt>
                <c:pt idx="2" formatCode="General">
                  <c:v>3.9895864447333403E-3</c:v>
                </c:pt>
                <c:pt idx="3">
                  <c:v>1.5607518158314135E-3</c:v>
                </c:pt>
              </c:numCache>
            </c:numRef>
          </c:yVal>
          <c:smooth val="0"/>
          <c:extLst>
            <c:ext xmlns:c16="http://schemas.microsoft.com/office/drawing/2014/chart" uri="{C3380CC4-5D6E-409C-BE32-E72D297353CC}">
              <c16:uniqueId val="{00000001-06D4-4DDE-A2D3-1BCE12D339CE}"/>
            </c:ext>
          </c:extLst>
        </c:ser>
        <c:dLbls>
          <c:showLegendKey val="0"/>
          <c:showVal val="0"/>
          <c:showCatName val="0"/>
          <c:showSerName val="0"/>
          <c:showPercent val="0"/>
          <c:showBubbleSize val="0"/>
        </c:dLbls>
        <c:axId val="-732401488"/>
        <c:axId val="-732406384"/>
      </c:scatterChart>
      <c:valAx>
        <c:axId val="-732401488"/>
        <c:scaling>
          <c:orientation val="minMax"/>
          <c:max val="0.1"/>
        </c:scaling>
        <c:delete val="0"/>
        <c:axPos val="b"/>
        <c:title>
          <c:tx>
            <c:rich>
              <a:bodyPr/>
              <a:lstStyle/>
              <a:p>
                <a:pPr>
                  <a:defRPr/>
                </a:pPr>
                <a:r>
                  <a:rPr lang="en-US"/>
                  <a:t>barrel axial</a:t>
                </a:r>
                <a:r>
                  <a:rPr lang="en-US" baseline="0"/>
                  <a:t> motion</a:t>
                </a:r>
                <a:r>
                  <a:rPr lang="en-US"/>
                  <a:t> (mm)</a:t>
                </a:r>
              </a:p>
            </c:rich>
          </c:tx>
          <c:overlay val="0"/>
        </c:title>
        <c:numFmt formatCode="0.000" sourceLinked="0"/>
        <c:majorTickMark val="out"/>
        <c:minorTickMark val="none"/>
        <c:tickLblPos val="nextTo"/>
        <c:crossAx val="-732406384"/>
        <c:crosses val="autoZero"/>
        <c:crossBetween val="midCat"/>
      </c:valAx>
      <c:valAx>
        <c:axId val="-732406384"/>
        <c:scaling>
          <c:orientation val="minMax"/>
          <c:max val="1.4999999999999998E-2"/>
          <c:min val="0"/>
        </c:scaling>
        <c:delete val="0"/>
        <c:axPos val="l"/>
        <c:majorGridlines/>
        <c:title>
          <c:tx>
            <c:rich>
              <a:bodyPr rot="-5400000" vert="horz"/>
              <a:lstStyle/>
              <a:p>
                <a:pPr>
                  <a:defRPr/>
                </a:pPr>
                <a:r>
                  <a:rPr lang="en-US"/>
                  <a:t>spot sigma due to barrel piston (mm)</a:t>
                </a:r>
              </a:p>
            </c:rich>
          </c:tx>
          <c:overlay val="0"/>
        </c:title>
        <c:numFmt formatCode="0.000" sourceLinked="0"/>
        <c:majorTickMark val="out"/>
        <c:minorTickMark val="none"/>
        <c:tickLblPos val="nextTo"/>
        <c:crossAx val="-732401488"/>
        <c:crosses val="autoZero"/>
        <c:crossBetween val="midCat"/>
      </c:valAx>
    </c:plotArea>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Vignetting vs. Angle</a:t>
            </a:r>
          </a:p>
        </c:rich>
      </c:tx>
      <c:overlay val="0"/>
    </c:title>
    <c:autoTitleDeleted val="0"/>
    <c:plotArea>
      <c:layout/>
      <c:scatterChart>
        <c:scatterStyle val="lineMarker"/>
        <c:varyColors val="0"/>
        <c:ser>
          <c:idx val="0"/>
          <c:order val="0"/>
          <c:tx>
            <c:strRef>
              <c:f>vignetting!$B$12</c:f>
              <c:strCache>
                <c:ptCount val="1"/>
                <c:pt idx="0">
                  <c:v>Fraction</c:v>
                </c:pt>
              </c:strCache>
            </c:strRef>
          </c:tx>
          <c:marker>
            <c:symbol val="none"/>
          </c:marker>
          <c:xVal>
            <c:numRef>
              <c:f>vignetting!$A$13:$A$413</c:f>
              <c:numCache>
                <c:formatCode>General</c:formatCode>
                <c:ptCount val="401"/>
                <c:pt idx="0">
                  <c:v>0</c:v>
                </c:pt>
                <c:pt idx="1">
                  <c:v>4.0000000000000001E-3</c:v>
                </c:pt>
                <c:pt idx="2">
                  <c:v>8.0000000000000002E-3</c:v>
                </c:pt>
                <c:pt idx="3">
                  <c:v>1.2E-2</c:v>
                </c:pt>
                <c:pt idx="4">
                  <c:v>1.6E-2</c:v>
                </c:pt>
                <c:pt idx="5">
                  <c:v>0.02</c:v>
                </c:pt>
                <c:pt idx="6">
                  <c:v>2.4E-2</c:v>
                </c:pt>
                <c:pt idx="7">
                  <c:v>2.8000000000000001E-2</c:v>
                </c:pt>
                <c:pt idx="8">
                  <c:v>3.2000000000000001E-2</c:v>
                </c:pt>
                <c:pt idx="9">
                  <c:v>3.5999999999999997E-2</c:v>
                </c:pt>
                <c:pt idx="10">
                  <c:v>0.04</c:v>
                </c:pt>
                <c:pt idx="11">
                  <c:v>4.3999999999999997E-2</c:v>
                </c:pt>
                <c:pt idx="12">
                  <c:v>4.8000000000000001E-2</c:v>
                </c:pt>
                <c:pt idx="13">
                  <c:v>5.1999999999999998E-2</c:v>
                </c:pt>
                <c:pt idx="14">
                  <c:v>5.6000000000000001E-2</c:v>
                </c:pt>
                <c:pt idx="15">
                  <c:v>0.06</c:v>
                </c:pt>
                <c:pt idx="16">
                  <c:v>6.4000000000000001E-2</c:v>
                </c:pt>
                <c:pt idx="17">
                  <c:v>6.8000000000000005E-2</c:v>
                </c:pt>
                <c:pt idx="18">
                  <c:v>7.1999999999999995E-2</c:v>
                </c:pt>
                <c:pt idx="19">
                  <c:v>7.5999999999999998E-2</c:v>
                </c:pt>
                <c:pt idx="20">
                  <c:v>0.08</c:v>
                </c:pt>
                <c:pt idx="21">
                  <c:v>8.4000000000000005E-2</c:v>
                </c:pt>
                <c:pt idx="22">
                  <c:v>8.7999999999999995E-2</c:v>
                </c:pt>
                <c:pt idx="23">
                  <c:v>9.1999999999999998E-2</c:v>
                </c:pt>
                <c:pt idx="24">
                  <c:v>9.6000000000000002E-2</c:v>
                </c:pt>
                <c:pt idx="25">
                  <c:v>0.1</c:v>
                </c:pt>
                <c:pt idx="26">
                  <c:v>0.104</c:v>
                </c:pt>
                <c:pt idx="27">
                  <c:v>0.108</c:v>
                </c:pt>
                <c:pt idx="28">
                  <c:v>0.112</c:v>
                </c:pt>
                <c:pt idx="29">
                  <c:v>0.11600000000000001</c:v>
                </c:pt>
                <c:pt idx="30">
                  <c:v>0.12</c:v>
                </c:pt>
                <c:pt idx="31">
                  <c:v>0.124</c:v>
                </c:pt>
                <c:pt idx="32">
                  <c:v>0.128</c:v>
                </c:pt>
                <c:pt idx="33">
                  <c:v>0.13200000000000001</c:v>
                </c:pt>
                <c:pt idx="34">
                  <c:v>0.13600000000000001</c:v>
                </c:pt>
                <c:pt idx="35">
                  <c:v>0.14000000000000001</c:v>
                </c:pt>
                <c:pt idx="36">
                  <c:v>0.14399999999999999</c:v>
                </c:pt>
                <c:pt idx="37">
                  <c:v>0.14799999999999999</c:v>
                </c:pt>
                <c:pt idx="38">
                  <c:v>0.152</c:v>
                </c:pt>
                <c:pt idx="39">
                  <c:v>0.156</c:v>
                </c:pt>
                <c:pt idx="40">
                  <c:v>0.16</c:v>
                </c:pt>
                <c:pt idx="41">
                  <c:v>0.16400000000000001</c:v>
                </c:pt>
                <c:pt idx="42">
                  <c:v>0.16800000000000001</c:v>
                </c:pt>
                <c:pt idx="43">
                  <c:v>0.17199999999999999</c:v>
                </c:pt>
                <c:pt idx="44">
                  <c:v>0.17599999999999999</c:v>
                </c:pt>
                <c:pt idx="45">
                  <c:v>0.18</c:v>
                </c:pt>
                <c:pt idx="46">
                  <c:v>0.184</c:v>
                </c:pt>
                <c:pt idx="47">
                  <c:v>0.188</c:v>
                </c:pt>
                <c:pt idx="48">
                  <c:v>0.192</c:v>
                </c:pt>
                <c:pt idx="49">
                  <c:v>0.19600000000000001</c:v>
                </c:pt>
                <c:pt idx="50">
                  <c:v>0.2</c:v>
                </c:pt>
                <c:pt idx="51">
                  <c:v>0.20399999999999999</c:v>
                </c:pt>
                <c:pt idx="52">
                  <c:v>0.20799999999999999</c:v>
                </c:pt>
                <c:pt idx="53">
                  <c:v>0.21199999999999999</c:v>
                </c:pt>
                <c:pt idx="54">
                  <c:v>0.216</c:v>
                </c:pt>
                <c:pt idx="55">
                  <c:v>0.22</c:v>
                </c:pt>
                <c:pt idx="56">
                  <c:v>0.224</c:v>
                </c:pt>
                <c:pt idx="57">
                  <c:v>0.22800000000000001</c:v>
                </c:pt>
                <c:pt idx="58">
                  <c:v>0.23200000000000001</c:v>
                </c:pt>
                <c:pt idx="59">
                  <c:v>0.23599999999999999</c:v>
                </c:pt>
                <c:pt idx="60">
                  <c:v>0.24</c:v>
                </c:pt>
                <c:pt idx="61">
                  <c:v>0.24399999999999999</c:v>
                </c:pt>
                <c:pt idx="62">
                  <c:v>0.248</c:v>
                </c:pt>
                <c:pt idx="63">
                  <c:v>0.252</c:v>
                </c:pt>
                <c:pt idx="64">
                  <c:v>0.25600000000000001</c:v>
                </c:pt>
                <c:pt idx="65">
                  <c:v>0.26</c:v>
                </c:pt>
                <c:pt idx="66">
                  <c:v>0.26400000000000001</c:v>
                </c:pt>
                <c:pt idx="67">
                  <c:v>0.26800000000000002</c:v>
                </c:pt>
                <c:pt idx="68">
                  <c:v>0.27200000000000002</c:v>
                </c:pt>
                <c:pt idx="69">
                  <c:v>0.27600000000000002</c:v>
                </c:pt>
                <c:pt idx="70">
                  <c:v>0.28000000000000003</c:v>
                </c:pt>
                <c:pt idx="71">
                  <c:v>0.28399999999999997</c:v>
                </c:pt>
                <c:pt idx="72">
                  <c:v>0.28799999999999998</c:v>
                </c:pt>
                <c:pt idx="73">
                  <c:v>0.29199999999999998</c:v>
                </c:pt>
                <c:pt idx="74">
                  <c:v>0.29599999999999999</c:v>
                </c:pt>
                <c:pt idx="75">
                  <c:v>0.3</c:v>
                </c:pt>
                <c:pt idx="76">
                  <c:v>0.30399999999999999</c:v>
                </c:pt>
                <c:pt idx="77">
                  <c:v>0.308</c:v>
                </c:pt>
                <c:pt idx="78">
                  <c:v>0.312</c:v>
                </c:pt>
                <c:pt idx="79">
                  <c:v>0.316</c:v>
                </c:pt>
                <c:pt idx="80">
                  <c:v>0.32</c:v>
                </c:pt>
                <c:pt idx="81">
                  <c:v>0.32400000000000001</c:v>
                </c:pt>
                <c:pt idx="82">
                  <c:v>0.32800000000000001</c:v>
                </c:pt>
                <c:pt idx="83">
                  <c:v>0.33200000000000002</c:v>
                </c:pt>
                <c:pt idx="84">
                  <c:v>0.33600000000000002</c:v>
                </c:pt>
                <c:pt idx="85">
                  <c:v>0.34</c:v>
                </c:pt>
                <c:pt idx="86">
                  <c:v>0.34399999999999997</c:v>
                </c:pt>
                <c:pt idx="87">
                  <c:v>0.34799999999999998</c:v>
                </c:pt>
                <c:pt idx="88">
                  <c:v>0.35199999999999998</c:v>
                </c:pt>
                <c:pt idx="89">
                  <c:v>0.35599999999999998</c:v>
                </c:pt>
                <c:pt idx="90">
                  <c:v>0.36</c:v>
                </c:pt>
                <c:pt idx="91">
                  <c:v>0.36399999999999999</c:v>
                </c:pt>
                <c:pt idx="92">
                  <c:v>0.36799999999999999</c:v>
                </c:pt>
                <c:pt idx="93">
                  <c:v>0.372</c:v>
                </c:pt>
                <c:pt idx="94">
                  <c:v>0.376</c:v>
                </c:pt>
                <c:pt idx="95">
                  <c:v>0.38</c:v>
                </c:pt>
                <c:pt idx="96">
                  <c:v>0.38400000000000001</c:v>
                </c:pt>
                <c:pt idx="97">
                  <c:v>0.38800000000000001</c:v>
                </c:pt>
                <c:pt idx="98">
                  <c:v>0.39200000000000002</c:v>
                </c:pt>
                <c:pt idx="99">
                  <c:v>0.39600000000000002</c:v>
                </c:pt>
                <c:pt idx="100">
                  <c:v>0.4</c:v>
                </c:pt>
                <c:pt idx="101">
                  <c:v>0.40400000000000003</c:v>
                </c:pt>
                <c:pt idx="102">
                  <c:v>0.40799999999999997</c:v>
                </c:pt>
                <c:pt idx="103">
                  <c:v>0.41199999999999998</c:v>
                </c:pt>
                <c:pt idx="104">
                  <c:v>0.41599999999999998</c:v>
                </c:pt>
                <c:pt idx="105">
                  <c:v>0.42</c:v>
                </c:pt>
                <c:pt idx="106">
                  <c:v>0.42399999999999999</c:v>
                </c:pt>
                <c:pt idx="107">
                  <c:v>0.42799999999999999</c:v>
                </c:pt>
                <c:pt idx="108">
                  <c:v>0.432</c:v>
                </c:pt>
                <c:pt idx="109">
                  <c:v>0.436</c:v>
                </c:pt>
                <c:pt idx="110">
                  <c:v>0.44</c:v>
                </c:pt>
                <c:pt idx="111">
                  <c:v>0.44400000000000001</c:v>
                </c:pt>
                <c:pt idx="112">
                  <c:v>0.44800000000000001</c:v>
                </c:pt>
                <c:pt idx="113">
                  <c:v>0.45200000000000001</c:v>
                </c:pt>
                <c:pt idx="114">
                  <c:v>0.45600000000000002</c:v>
                </c:pt>
                <c:pt idx="115">
                  <c:v>0.46</c:v>
                </c:pt>
                <c:pt idx="116">
                  <c:v>0.46400000000000002</c:v>
                </c:pt>
                <c:pt idx="117">
                  <c:v>0.46800000000000003</c:v>
                </c:pt>
                <c:pt idx="118">
                  <c:v>0.47199999999999998</c:v>
                </c:pt>
                <c:pt idx="119">
                  <c:v>0.47599999999999998</c:v>
                </c:pt>
                <c:pt idx="120">
                  <c:v>0.48</c:v>
                </c:pt>
                <c:pt idx="121">
                  <c:v>0.48399999999999999</c:v>
                </c:pt>
                <c:pt idx="122">
                  <c:v>0.48799999999999999</c:v>
                </c:pt>
                <c:pt idx="123">
                  <c:v>0.49199999999999999</c:v>
                </c:pt>
                <c:pt idx="124">
                  <c:v>0.496</c:v>
                </c:pt>
                <c:pt idx="125">
                  <c:v>0.5</c:v>
                </c:pt>
                <c:pt idx="126">
                  <c:v>0.504</c:v>
                </c:pt>
                <c:pt idx="127">
                  <c:v>0.50800000000000001</c:v>
                </c:pt>
                <c:pt idx="128">
                  <c:v>0.51200000000000001</c:v>
                </c:pt>
                <c:pt idx="129">
                  <c:v>0.51600000000000001</c:v>
                </c:pt>
                <c:pt idx="130">
                  <c:v>0.52</c:v>
                </c:pt>
                <c:pt idx="131">
                  <c:v>0.52400000000000002</c:v>
                </c:pt>
                <c:pt idx="132">
                  <c:v>0.52800000000000002</c:v>
                </c:pt>
                <c:pt idx="133">
                  <c:v>0.53200000000000003</c:v>
                </c:pt>
                <c:pt idx="134">
                  <c:v>0.53600000000000003</c:v>
                </c:pt>
                <c:pt idx="135">
                  <c:v>0.54</c:v>
                </c:pt>
                <c:pt idx="136">
                  <c:v>0.54400000000000004</c:v>
                </c:pt>
                <c:pt idx="137">
                  <c:v>0.54800000000000004</c:v>
                </c:pt>
                <c:pt idx="138">
                  <c:v>0.55200000000000005</c:v>
                </c:pt>
                <c:pt idx="139">
                  <c:v>0.55600000000000005</c:v>
                </c:pt>
                <c:pt idx="140">
                  <c:v>0.56000000000000005</c:v>
                </c:pt>
                <c:pt idx="141">
                  <c:v>0.56399999999999995</c:v>
                </c:pt>
                <c:pt idx="142">
                  <c:v>0.56799999999999995</c:v>
                </c:pt>
                <c:pt idx="143">
                  <c:v>0.57199999999999995</c:v>
                </c:pt>
                <c:pt idx="144">
                  <c:v>0.57599999999999996</c:v>
                </c:pt>
                <c:pt idx="145">
                  <c:v>0.57999999999999996</c:v>
                </c:pt>
                <c:pt idx="146">
                  <c:v>0.58399999999999996</c:v>
                </c:pt>
                <c:pt idx="147">
                  <c:v>0.58799999999999997</c:v>
                </c:pt>
                <c:pt idx="148">
                  <c:v>0.59199999999999997</c:v>
                </c:pt>
                <c:pt idx="149">
                  <c:v>0.59599999999999997</c:v>
                </c:pt>
                <c:pt idx="150">
                  <c:v>0.6</c:v>
                </c:pt>
                <c:pt idx="151">
                  <c:v>0.60399999999999998</c:v>
                </c:pt>
                <c:pt idx="152">
                  <c:v>0.60799999999999998</c:v>
                </c:pt>
                <c:pt idx="153">
                  <c:v>0.61199999999999999</c:v>
                </c:pt>
                <c:pt idx="154">
                  <c:v>0.61599999999999999</c:v>
                </c:pt>
                <c:pt idx="155">
                  <c:v>0.62</c:v>
                </c:pt>
                <c:pt idx="156">
                  <c:v>0.624</c:v>
                </c:pt>
                <c:pt idx="157">
                  <c:v>0.628</c:v>
                </c:pt>
                <c:pt idx="158">
                  <c:v>0.63200000000000001</c:v>
                </c:pt>
                <c:pt idx="159">
                  <c:v>0.63600000000000001</c:v>
                </c:pt>
                <c:pt idx="160">
                  <c:v>0.64</c:v>
                </c:pt>
                <c:pt idx="161">
                  <c:v>0.64400000000000002</c:v>
                </c:pt>
                <c:pt idx="162">
                  <c:v>0.64800000000000002</c:v>
                </c:pt>
                <c:pt idx="163">
                  <c:v>0.65200000000000002</c:v>
                </c:pt>
                <c:pt idx="164">
                  <c:v>0.65600000000000003</c:v>
                </c:pt>
                <c:pt idx="165">
                  <c:v>0.66</c:v>
                </c:pt>
                <c:pt idx="166">
                  <c:v>0.66400000000000003</c:v>
                </c:pt>
                <c:pt idx="167">
                  <c:v>0.66800000000000004</c:v>
                </c:pt>
                <c:pt idx="168">
                  <c:v>0.67200000000000004</c:v>
                </c:pt>
                <c:pt idx="169">
                  <c:v>0.67600000000000005</c:v>
                </c:pt>
                <c:pt idx="170">
                  <c:v>0.68</c:v>
                </c:pt>
                <c:pt idx="171">
                  <c:v>0.68400000000000005</c:v>
                </c:pt>
                <c:pt idx="172">
                  <c:v>0.68799999999999994</c:v>
                </c:pt>
                <c:pt idx="173">
                  <c:v>0.69199999999999995</c:v>
                </c:pt>
                <c:pt idx="174">
                  <c:v>0.69599999999999995</c:v>
                </c:pt>
                <c:pt idx="175">
                  <c:v>0.7</c:v>
                </c:pt>
                <c:pt idx="176">
                  <c:v>0.70399999999999996</c:v>
                </c:pt>
                <c:pt idx="177">
                  <c:v>0.70799999999999996</c:v>
                </c:pt>
                <c:pt idx="178">
                  <c:v>0.71199999999999997</c:v>
                </c:pt>
                <c:pt idx="179">
                  <c:v>0.71599999999999997</c:v>
                </c:pt>
                <c:pt idx="180">
                  <c:v>0.72</c:v>
                </c:pt>
                <c:pt idx="181">
                  <c:v>0.72399999999999998</c:v>
                </c:pt>
                <c:pt idx="182">
                  <c:v>0.72799999999999998</c:v>
                </c:pt>
                <c:pt idx="183">
                  <c:v>0.73199999999999998</c:v>
                </c:pt>
                <c:pt idx="184">
                  <c:v>0.73599999999999999</c:v>
                </c:pt>
                <c:pt idx="185">
                  <c:v>0.74</c:v>
                </c:pt>
                <c:pt idx="186">
                  <c:v>0.74399999999999999</c:v>
                </c:pt>
                <c:pt idx="187">
                  <c:v>0.748</c:v>
                </c:pt>
                <c:pt idx="188">
                  <c:v>0.752</c:v>
                </c:pt>
                <c:pt idx="189">
                  <c:v>0.75600000000000001</c:v>
                </c:pt>
                <c:pt idx="190">
                  <c:v>0.76</c:v>
                </c:pt>
                <c:pt idx="191">
                  <c:v>0.76400000000000001</c:v>
                </c:pt>
                <c:pt idx="192">
                  <c:v>0.76800000000000002</c:v>
                </c:pt>
                <c:pt idx="193">
                  <c:v>0.77200000000000002</c:v>
                </c:pt>
                <c:pt idx="194">
                  <c:v>0.77600000000000002</c:v>
                </c:pt>
                <c:pt idx="195">
                  <c:v>0.78</c:v>
                </c:pt>
                <c:pt idx="196">
                  <c:v>0.78400000000000003</c:v>
                </c:pt>
                <c:pt idx="197">
                  <c:v>0.78800000000000003</c:v>
                </c:pt>
                <c:pt idx="198">
                  <c:v>0.79200000000000004</c:v>
                </c:pt>
                <c:pt idx="199">
                  <c:v>0.79600000000000004</c:v>
                </c:pt>
                <c:pt idx="200">
                  <c:v>0.8</c:v>
                </c:pt>
                <c:pt idx="201">
                  <c:v>0.80400000000000005</c:v>
                </c:pt>
                <c:pt idx="202">
                  <c:v>0.80800000000000005</c:v>
                </c:pt>
                <c:pt idx="203">
                  <c:v>0.81200000000000006</c:v>
                </c:pt>
                <c:pt idx="204">
                  <c:v>0.81599999999999995</c:v>
                </c:pt>
                <c:pt idx="205">
                  <c:v>0.82</c:v>
                </c:pt>
                <c:pt idx="206">
                  <c:v>0.82399999999999995</c:v>
                </c:pt>
                <c:pt idx="207">
                  <c:v>0.82799999999999996</c:v>
                </c:pt>
                <c:pt idx="208">
                  <c:v>0.83199999999999996</c:v>
                </c:pt>
                <c:pt idx="209">
                  <c:v>0.83599999999999997</c:v>
                </c:pt>
                <c:pt idx="210">
                  <c:v>0.84</c:v>
                </c:pt>
                <c:pt idx="211">
                  <c:v>0.84399999999999997</c:v>
                </c:pt>
                <c:pt idx="212">
                  <c:v>0.84799999999999998</c:v>
                </c:pt>
                <c:pt idx="213">
                  <c:v>0.85199999999999998</c:v>
                </c:pt>
                <c:pt idx="214">
                  <c:v>0.85599999999999998</c:v>
                </c:pt>
                <c:pt idx="215">
                  <c:v>0.86</c:v>
                </c:pt>
                <c:pt idx="216">
                  <c:v>0.86399999999999999</c:v>
                </c:pt>
                <c:pt idx="217">
                  <c:v>0.86799999999999999</c:v>
                </c:pt>
                <c:pt idx="218">
                  <c:v>0.872</c:v>
                </c:pt>
                <c:pt idx="219">
                  <c:v>0.876</c:v>
                </c:pt>
                <c:pt idx="220">
                  <c:v>0.88</c:v>
                </c:pt>
                <c:pt idx="221">
                  <c:v>0.88400000000000001</c:v>
                </c:pt>
                <c:pt idx="222">
                  <c:v>0.88800000000000001</c:v>
                </c:pt>
                <c:pt idx="223">
                  <c:v>0.89200000000000002</c:v>
                </c:pt>
                <c:pt idx="224">
                  <c:v>0.89600000000000002</c:v>
                </c:pt>
                <c:pt idx="225">
                  <c:v>0.9</c:v>
                </c:pt>
                <c:pt idx="226">
                  <c:v>0.90400000000000003</c:v>
                </c:pt>
                <c:pt idx="227">
                  <c:v>0.90800000000000003</c:v>
                </c:pt>
                <c:pt idx="228">
                  <c:v>0.91200000000000003</c:v>
                </c:pt>
                <c:pt idx="229">
                  <c:v>0.91600000000000004</c:v>
                </c:pt>
                <c:pt idx="230">
                  <c:v>0.92</c:v>
                </c:pt>
                <c:pt idx="231">
                  <c:v>0.92400000000000004</c:v>
                </c:pt>
                <c:pt idx="232">
                  <c:v>0.92800000000000005</c:v>
                </c:pt>
                <c:pt idx="233">
                  <c:v>0.93200000000000005</c:v>
                </c:pt>
                <c:pt idx="234">
                  <c:v>0.93600000000000005</c:v>
                </c:pt>
                <c:pt idx="235">
                  <c:v>0.94</c:v>
                </c:pt>
                <c:pt idx="236">
                  <c:v>0.94399999999999995</c:v>
                </c:pt>
                <c:pt idx="237">
                  <c:v>0.94799999999999995</c:v>
                </c:pt>
                <c:pt idx="238">
                  <c:v>0.95199999999999996</c:v>
                </c:pt>
                <c:pt idx="239">
                  <c:v>0.95599999999999996</c:v>
                </c:pt>
                <c:pt idx="240">
                  <c:v>0.96</c:v>
                </c:pt>
                <c:pt idx="241">
                  <c:v>0.96399999999999997</c:v>
                </c:pt>
                <c:pt idx="242">
                  <c:v>0.96799999999999997</c:v>
                </c:pt>
                <c:pt idx="243">
                  <c:v>0.97199999999999998</c:v>
                </c:pt>
                <c:pt idx="244">
                  <c:v>0.97599999999999998</c:v>
                </c:pt>
                <c:pt idx="245">
                  <c:v>0.98</c:v>
                </c:pt>
                <c:pt idx="246">
                  <c:v>0.98399999999999999</c:v>
                </c:pt>
                <c:pt idx="247">
                  <c:v>0.98799999999999999</c:v>
                </c:pt>
                <c:pt idx="248">
                  <c:v>0.99199999999999999</c:v>
                </c:pt>
                <c:pt idx="249">
                  <c:v>0.996</c:v>
                </c:pt>
                <c:pt idx="250">
                  <c:v>1</c:v>
                </c:pt>
                <c:pt idx="251">
                  <c:v>1.004</c:v>
                </c:pt>
                <c:pt idx="252">
                  <c:v>1.008</c:v>
                </c:pt>
                <c:pt idx="253">
                  <c:v>1.012</c:v>
                </c:pt>
                <c:pt idx="254">
                  <c:v>1.016</c:v>
                </c:pt>
                <c:pt idx="255">
                  <c:v>1.02</c:v>
                </c:pt>
                <c:pt idx="256">
                  <c:v>1.024</c:v>
                </c:pt>
                <c:pt idx="257">
                  <c:v>1.028</c:v>
                </c:pt>
                <c:pt idx="258">
                  <c:v>1.032</c:v>
                </c:pt>
                <c:pt idx="259">
                  <c:v>1.036</c:v>
                </c:pt>
                <c:pt idx="260">
                  <c:v>1.04</c:v>
                </c:pt>
                <c:pt idx="261">
                  <c:v>1.044</c:v>
                </c:pt>
                <c:pt idx="262">
                  <c:v>1.048</c:v>
                </c:pt>
                <c:pt idx="263">
                  <c:v>1.052</c:v>
                </c:pt>
                <c:pt idx="264">
                  <c:v>1.056</c:v>
                </c:pt>
                <c:pt idx="265">
                  <c:v>1.06</c:v>
                </c:pt>
                <c:pt idx="266">
                  <c:v>1.0640000000000001</c:v>
                </c:pt>
                <c:pt idx="267">
                  <c:v>1.0680000000000001</c:v>
                </c:pt>
                <c:pt idx="268">
                  <c:v>1.0720000000000001</c:v>
                </c:pt>
                <c:pt idx="269">
                  <c:v>1.0760000000000001</c:v>
                </c:pt>
                <c:pt idx="270">
                  <c:v>1.08</c:v>
                </c:pt>
                <c:pt idx="271">
                  <c:v>1.0840000000000001</c:v>
                </c:pt>
                <c:pt idx="272">
                  <c:v>1.0880000000000001</c:v>
                </c:pt>
                <c:pt idx="273">
                  <c:v>1.0920000000000001</c:v>
                </c:pt>
                <c:pt idx="274">
                  <c:v>1.0960000000000001</c:v>
                </c:pt>
                <c:pt idx="275">
                  <c:v>1.1000000000000001</c:v>
                </c:pt>
                <c:pt idx="276">
                  <c:v>1.1040000000000001</c:v>
                </c:pt>
                <c:pt idx="277">
                  <c:v>1.1080000000000001</c:v>
                </c:pt>
                <c:pt idx="278">
                  <c:v>1.1120000000000001</c:v>
                </c:pt>
                <c:pt idx="279">
                  <c:v>1.1160000000000001</c:v>
                </c:pt>
                <c:pt idx="280">
                  <c:v>1.1200000000000001</c:v>
                </c:pt>
                <c:pt idx="281">
                  <c:v>1.1240000000000001</c:v>
                </c:pt>
                <c:pt idx="282">
                  <c:v>1.1279999999999999</c:v>
                </c:pt>
                <c:pt idx="283">
                  <c:v>1.1319999999999999</c:v>
                </c:pt>
                <c:pt idx="284">
                  <c:v>1.1359999999999999</c:v>
                </c:pt>
                <c:pt idx="285">
                  <c:v>1.1399999999999999</c:v>
                </c:pt>
                <c:pt idx="286">
                  <c:v>1.1439999999999999</c:v>
                </c:pt>
                <c:pt idx="287">
                  <c:v>1.1479999999999999</c:v>
                </c:pt>
                <c:pt idx="288">
                  <c:v>1.1519999999999999</c:v>
                </c:pt>
                <c:pt idx="289">
                  <c:v>1.1559999999999999</c:v>
                </c:pt>
                <c:pt idx="290">
                  <c:v>1.1599999999999999</c:v>
                </c:pt>
                <c:pt idx="291">
                  <c:v>1.1639999999999999</c:v>
                </c:pt>
                <c:pt idx="292">
                  <c:v>1.1679999999999999</c:v>
                </c:pt>
                <c:pt idx="293">
                  <c:v>1.1719999999999999</c:v>
                </c:pt>
                <c:pt idx="294">
                  <c:v>1.1759999999999999</c:v>
                </c:pt>
                <c:pt idx="295">
                  <c:v>1.18</c:v>
                </c:pt>
                <c:pt idx="296">
                  <c:v>1.1839999999999999</c:v>
                </c:pt>
                <c:pt idx="297">
                  <c:v>1.1879999999999999</c:v>
                </c:pt>
                <c:pt idx="298">
                  <c:v>1.1919999999999999</c:v>
                </c:pt>
                <c:pt idx="299">
                  <c:v>1.196</c:v>
                </c:pt>
                <c:pt idx="300">
                  <c:v>1.2</c:v>
                </c:pt>
                <c:pt idx="301">
                  <c:v>1.204</c:v>
                </c:pt>
                <c:pt idx="302">
                  <c:v>1.208</c:v>
                </c:pt>
                <c:pt idx="303">
                  <c:v>1.212</c:v>
                </c:pt>
                <c:pt idx="304">
                  <c:v>1.216</c:v>
                </c:pt>
                <c:pt idx="305">
                  <c:v>1.22</c:v>
                </c:pt>
                <c:pt idx="306">
                  <c:v>1.224</c:v>
                </c:pt>
                <c:pt idx="307">
                  <c:v>1.228</c:v>
                </c:pt>
                <c:pt idx="308">
                  <c:v>1.232</c:v>
                </c:pt>
                <c:pt idx="309">
                  <c:v>1.236</c:v>
                </c:pt>
                <c:pt idx="310">
                  <c:v>1.24</c:v>
                </c:pt>
                <c:pt idx="311">
                  <c:v>1.244</c:v>
                </c:pt>
                <c:pt idx="312">
                  <c:v>1.248</c:v>
                </c:pt>
                <c:pt idx="313">
                  <c:v>1.252</c:v>
                </c:pt>
                <c:pt idx="314">
                  <c:v>1.256</c:v>
                </c:pt>
                <c:pt idx="315">
                  <c:v>1.26</c:v>
                </c:pt>
                <c:pt idx="316">
                  <c:v>1.264</c:v>
                </c:pt>
                <c:pt idx="317">
                  <c:v>1.268</c:v>
                </c:pt>
                <c:pt idx="318">
                  <c:v>1.272</c:v>
                </c:pt>
                <c:pt idx="319">
                  <c:v>1.276</c:v>
                </c:pt>
                <c:pt idx="320">
                  <c:v>1.28</c:v>
                </c:pt>
                <c:pt idx="321">
                  <c:v>1.284</c:v>
                </c:pt>
                <c:pt idx="322">
                  <c:v>1.288</c:v>
                </c:pt>
                <c:pt idx="323">
                  <c:v>1.292</c:v>
                </c:pt>
                <c:pt idx="324">
                  <c:v>1.296</c:v>
                </c:pt>
                <c:pt idx="325">
                  <c:v>1.3</c:v>
                </c:pt>
                <c:pt idx="326">
                  <c:v>1.304</c:v>
                </c:pt>
                <c:pt idx="327">
                  <c:v>1.3080000000000001</c:v>
                </c:pt>
                <c:pt idx="328">
                  <c:v>1.3120000000000001</c:v>
                </c:pt>
                <c:pt idx="329">
                  <c:v>1.3160000000000001</c:v>
                </c:pt>
                <c:pt idx="330">
                  <c:v>1.32</c:v>
                </c:pt>
                <c:pt idx="331">
                  <c:v>1.3240000000000001</c:v>
                </c:pt>
                <c:pt idx="332">
                  <c:v>1.3280000000000001</c:v>
                </c:pt>
                <c:pt idx="333">
                  <c:v>1.3320000000000001</c:v>
                </c:pt>
                <c:pt idx="334">
                  <c:v>1.3360000000000001</c:v>
                </c:pt>
                <c:pt idx="335">
                  <c:v>1.34</c:v>
                </c:pt>
                <c:pt idx="336">
                  <c:v>1.3440000000000001</c:v>
                </c:pt>
                <c:pt idx="337">
                  <c:v>1.3480000000000001</c:v>
                </c:pt>
                <c:pt idx="338">
                  <c:v>1.3520000000000001</c:v>
                </c:pt>
                <c:pt idx="339">
                  <c:v>1.3560000000000001</c:v>
                </c:pt>
                <c:pt idx="340">
                  <c:v>1.36</c:v>
                </c:pt>
                <c:pt idx="341">
                  <c:v>1.3640000000000001</c:v>
                </c:pt>
                <c:pt idx="342">
                  <c:v>1.3680000000000001</c:v>
                </c:pt>
                <c:pt idx="343">
                  <c:v>1.3720000000000001</c:v>
                </c:pt>
                <c:pt idx="344">
                  <c:v>1.3759999999999999</c:v>
                </c:pt>
                <c:pt idx="345">
                  <c:v>1.38</c:v>
                </c:pt>
                <c:pt idx="346">
                  <c:v>1.3839999999999999</c:v>
                </c:pt>
                <c:pt idx="347">
                  <c:v>1.3879999999999999</c:v>
                </c:pt>
                <c:pt idx="348">
                  <c:v>1.3919999999999999</c:v>
                </c:pt>
                <c:pt idx="349">
                  <c:v>1.3959999999999999</c:v>
                </c:pt>
                <c:pt idx="350">
                  <c:v>1.4</c:v>
                </c:pt>
                <c:pt idx="351">
                  <c:v>1.4039999999999999</c:v>
                </c:pt>
                <c:pt idx="352">
                  <c:v>1.4079999999999999</c:v>
                </c:pt>
                <c:pt idx="353">
                  <c:v>1.4119999999999999</c:v>
                </c:pt>
                <c:pt idx="354">
                  <c:v>1.4159999999999999</c:v>
                </c:pt>
                <c:pt idx="355">
                  <c:v>1.42</c:v>
                </c:pt>
                <c:pt idx="356">
                  <c:v>1.4239999999999999</c:v>
                </c:pt>
                <c:pt idx="357">
                  <c:v>1.4279999999999999</c:v>
                </c:pt>
                <c:pt idx="358">
                  <c:v>1.4319999999999999</c:v>
                </c:pt>
                <c:pt idx="359">
                  <c:v>1.4359999999999999</c:v>
                </c:pt>
                <c:pt idx="360">
                  <c:v>1.44</c:v>
                </c:pt>
                <c:pt idx="361">
                  <c:v>1.444</c:v>
                </c:pt>
                <c:pt idx="362">
                  <c:v>1.448</c:v>
                </c:pt>
                <c:pt idx="363">
                  <c:v>1.452</c:v>
                </c:pt>
                <c:pt idx="364">
                  <c:v>1.456</c:v>
                </c:pt>
                <c:pt idx="365">
                  <c:v>1.46</c:v>
                </c:pt>
                <c:pt idx="366">
                  <c:v>1.464</c:v>
                </c:pt>
                <c:pt idx="367">
                  <c:v>1.468</c:v>
                </c:pt>
                <c:pt idx="368">
                  <c:v>1.472</c:v>
                </c:pt>
                <c:pt idx="369">
                  <c:v>1.476</c:v>
                </c:pt>
                <c:pt idx="370">
                  <c:v>1.48</c:v>
                </c:pt>
                <c:pt idx="371">
                  <c:v>1.484</c:v>
                </c:pt>
                <c:pt idx="372">
                  <c:v>1.488</c:v>
                </c:pt>
                <c:pt idx="373">
                  <c:v>1.492</c:v>
                </c:pt>
                <c:pt idx="374">
                  <c:v>1.496</c:v>
                </c:pt>
                <c:pt idx="375">
                  <c:v>1.5</c:v>
                </c:pt>
                <c:pt idx="376">
                  <c:v>1.504</c:v>
                </c:pt>
                <c:pt idx="377">
                  <c:v>1.508</c:v>
                </c:pt>
                <c:pt idx="378">
                  <c:v>1.512</c:v>
                </c:pt>
                <c:pt idx="379">
                  <c:v>1.516</c:v>
                </c:pt>
                <c:pt idx="380">
                  <c:v>1.52</c:v>
                </c:pt>
                <c:pt idx="381">
                  <c:v>1.524</c:v>
                </c:pt>
                <c:pt idx="382">
                  <c:v>1.528</c:v>
                </c:pt>
                <c:pt idx="383">
                  <c:v>1.532</c:v>
                </c:pt>
                <c:pt idx="384">
                  <c:v>1.536</c:v>
                </c:pt>
                <c:pt idx="385">
                  <c:v>1.54</c:v>
                </c:pt>
                <c:pt idx="386">
                  <c:v>1.544</c:v>
                </c:pt>
                <c:pt idx="387">
                  <c:v>1.548</c:v>
                </c:pt>
                <c:pt idx="388">
                  <c:v>1.552</c:v>
                </c:pt>
                <c:pt idx="389">
                  <c:v>1.556</c:v>
                </c:pt>
                <c:pt idx="390">
                  <c:v>1.56</c:v>
                </c:pt>
                <c:pt idx="391">
                  <c:v>1.5640000000000001</c:v>
                </c:pt>
                <c:pt idx="392">
                  <c:v>1.5680000000000001</c:v>
                </c:pt>
                <c:pt idx="393">
                  <c:v>1.5720000000000001</c:v>
                </c:pt>
                <c:pt idx="394">
                  <c:v>1.5760000000000001</c:v>
                </c:pt>
                <c:pt idx="395">
                  <c:v>1.58</c:v>
                </c:pt>
                <c:pt idx="396">
                  <c:v>1.5840000000000001</c:v>
                </c:pt>
                <c:pt idx="397">
                  <c:v>1.5880000000000001</c:v>
                </c:pt>
                <c:pt idx="398">
                  <c:v>1.5920000000000001</c:v>
                </c:pt>
                <c:pt idx="399">
                  <c:v>1.5960000000000001</c:v>
                </c:pt>
                <c:pt idx="400">
                  <c:v>1.6</c:v>
                </c:pt>
              </c:numCache>
            </c:numRef>
          </c:xVal>
          <c:yVal>
            <c:numRef>
              <c:f>vignetting!$B$13:$B$413</c:f>
              <c:numCache>
                <c:formatCode>General</c:formatCode>
                <c:ptCount val="401"/>
                <c:pt idx="0">
                  <c:v>0.77563099999999996</c:v>
                </c:pt>
                <c:pt idx="1">
                  <c:v>0.77518500000000001</c:v>
                </c:pt>
                <c:pt idx="2">
                  <c:v>0.77524899999999997</c:v>
                </c:pt>
                <c:pt idx="3">
                  <c:v>0.77505800000000002</c:v>
                </c:pt>
                <c:pt idx="4">
                  <c:v>0.77486699999999997</c:v>
                </c:pt>
                <c:pt idx="5">
                  <c:v>0.77486699999999997</c:v>
                </c:pt>
                <c:pt idx="6">
                  <c:v>0.77486699999999997</c:v>
                </c:pt>
                <c:pt idx="7">
                  <c:v>0.77480300000000002</c:v>
                </c:pt>
                <c:pt idx="8">
                  <c:v>0.77480300000000002</c:v>
                </c:pt>
                <c:pt idx="9">
                  <c:v>0.77473999999999998</c:v>
                </c:pt>
                <c:pt idx="10">
                  <c:v>0.77480300000000002</c:v>
                </c:pt>
                <c:pt idx="11">
                  <c:v>0.77480300000000002</c:v>
                </c:pt>
                <c:pt idx="12">
                  <c:v>0.77480300000000002</c:v>
                </c:pt>
                <c:pt idx="13">
                  <c:v>0.77473999999999998</c:v>
                </c:pt>
                <c:pt idx="14">
                  <c:v>0.77467600000000003</c:v>
                </c:pt>
                <c:pt idx="15">
                  <c:v>0.77461199999999997</c:v>
                </c:pt>
                <c:pt idx="16">
                  <c:v>0.77467600000000003</c:v>
                </c:pt>
                <c:pt idx="17">
                  <c:v>0.77448499999999998</c:v>
                </c:pt>
                <c:pt idx="18">
                  <c:v>0.77442100000000003</c:v>
                </c:pt>
                <c:pt idx="19">
                  <c:v>0.77448499999999998</c:v>
                </c:pt>
                <c:pt idx="20">
                  <c:v>0.77442100000000003</c:v>
                </c:pt>
                <c:pt idx="21">
                  <c:v>0.77435799999999999</c:v>
                </c:pt>
                <c:pt idx="22">
                  <c:v>0.77461199999999997</c:v>
                </c:pt>
                <c:pt idx="23">
                  <c:v>0.77442100000000003</c:v>
                </c:pt>
                <c:pt idx="24">
                  <c:v>0.774231</c:v>
                </c:pt>
                <c:pt idx="25">
                  <c:v>0.773976</c:v>
                </c:pt>
                <c:pt idx="26">
                  <c:v>0.77391200000000004</c:v>
                </c:pt>
                <c:pt idx="27">
                  <c:v>0.773594</c:v>
                </c:pt>
                <c:pt idx="28">
                  <c:v>0.773594</c:v>
                </c:pt>
                <c:pt idx="29">
                  <c:v>0.773594</c:v>
                </c:pt>
                <c:pt idx="30">
                  <c:v>0.77372099999999999</c:v>
                </c:pt>
                <c:pt idx="31">
                  <c:v>0.77378499999999995</c:v>
                </c:pt>
                <c:pt idx="32">
                  <c:v>0.77378499999999995</c:v>
                </c:pt>
                <c:pt idx="33">
                  <c:v>0.77378499999999995</c:v>
                </c:pt>
                <c:pt idx="34">
                  <c:v>0.77410299999999999</c:v>
                </c:pt>
                <c:pt idx="35">
                  <c:v>0.77410299999999999</c:v>
                </c:pt>
                <c:pt idx="36">
                  <c:v>0.77410299999999999</c:v>
                </c:pt>
                <c:pt idx="37">
                  <c:v>0.77384900000000001</c:v>
                </c:pt>
                <c:pt idx="38">
                  <c:v>0.77381699999999998</c:v>
                </c:pt>
                <c:pt idx="39">
                  <c:v>0.77375300000000002</c:v>
                </c:pt>
                <c:pt idx="40">
                  <c:v>0.77362600000000004</c:v>
                </c:pt>
                <c:pt idx="41">
                  <c:v>0.77356199999999997</c:v>
                </c:pt>
                <c:pt idx="42">
                  <c:v>0.77337100000000003</c:v>
                </c:pt>
                <c:pt idx="43">
                  <c:v>0.77349800000000002</c:v>
                </c:pt>
                <c:pt idx="44">
                  <c:v>0.77349800000000002</c:v>
                </c:pt>
                <c:pt idx="45">
                  <c:v>0.77356199999999997</c:v>
                </c:pt>
                <c:pt idx="46">
                  <c:v>0.77368899999999996</c:v>
                </c:pt>
                <c:pt idx="47">
                  <c:v>0.77356199999999997</c:v>
                </c:pt>
                <c:pt idx="48">
                  <c:v>0.77321200000000001</c:v>
                </c:pt>
                <c:pt idx="49">
                  <c:v>0.77314799999999995</c:v>
                </c:pt>
                <c:pt idx="50">
                  <c:v>0.77314799999999995</c:v>
                </c:pt>
                <c:pt idx="51">
                  <c:v>0.77289399999999997</c:v>
                </c:pt>
                <c:pt idx="52">
                  <c:v>0.77295700000000001</c:v>
                </c:pt>
                <c:pt idx="53">
                  <c:v>0.77302099999999996</c:v>
                </c:pt>
                <c:pt idx="54">
                  <c:v>0.77289399999999997</c:v>
                </c:pt>
                <c:pt idx="55">
                  <c:v>0.77295700000000001</c:v>
                </c:pt>
                <c:pt idx="56">
                  <c:v>0.77289399999999997</c:v>
                </c:pt>
                <c:pt idx="57">
                  <c:v>0.77289399999999997</c:v>
                </c:pt>
                <c:pt idx="58">
                  <c:v>0.77283000000000002</c:v>
                </c:pt>
                <c:pt idx="59">
                  <c:v>0.77283000000000002</c:v>
                </c:pt>
                <c:pt idx="60">
                  <c:v>0.77270300000000003</c:v>
                </c:pt>
                <c:pt idx="61">
                  <c:v>0.77257500000000001</c:v>
                </c:pt>
                <c:pt idx="62">
                  <c:v>0.77254400000000001</c:v>
                </c:pt>
                <c:pt idx="63">
                  <c:v>0.77241599999999999</c:v>
                </c:pt>
                <c:pt idx="64">
                  <c:v>0.77248000000000006</c:v>
                </c:pt>
                <c:pt idx="65">
                  <c:v>0.77241599999999999</c:v>
                </c:pt>
                <c:pt idx="66">
                  <c:v>0.77241599999999999</c:v>
                </c:pt>
                <c:pt idx="67">
                  <c:v>0.77248000000000006</c:v>
                </c:pt>
                <c:pt idx="68">
                  <c:v>0.77279799999999998</c:v>
                </c:pt>
                <c:pt idx="69">
                  <c:v>0.77279799999999998</c:v>
                </c:pt>
                <c:pt idx="70">
                  <c:v>0.77286200000000005</c:v>
                </c:pt>
                <c:pt idx="71">
                  <c:v>0.772671</c:v>
                </c:pt>
                <c:pt idx="72">
                  <c:v>0.77222500000000005</c:v>
                </c:pt>
                <c:pt idx="73">
                  <c:v>0.77222500000000005</c:v>
                </c:pt>
                <c:pt idx="74">
                  <c:v>0.77197099999999996</c:v>
                </c:pt>
                <c:pt idx="75">
                  <c:v>0.77197099999999996</c:v>
                </c:pt>
                <c:pt idx="76">
                  <c:v>0.77190700000000001</c:v>
                </c:pt>
                <c:pt idx="77">
                  <c:v>0.77209799999999995</c:v>
                </c:pt>
                <c:pt idx="78">
                  <c:v>0.772034</c:v>
                </c:pt>
                <c:pt idx="79">
                  <c:v>0.77209799999999995</c:v>
                </c:pt>
                <c:pt idx="80">
                  <c:v>0.772034</c:v>
                </c:pt>
                <c:pt idx="81">
                  <c:v>0.772034</c:v>
                </c:pt>
                <c:pt idx="82">
                  <c:v>0.772034</c:v>
                </c:pt>
                <c:pt idx="83">
                  <c:v>0.77200199999999997</c:v>
                </c:pt>
                <c:pt idx="84">
                  <c:v>0.77193900000000004</c:v>
                </c:pt>
                <c:pt idx="85">
                  <c:v>0.77184299999999995</c:v>
                </c:pt>
                <c:pt idx="86">
                  <c:v>0.77190700000000001</c:v>
                </c:pt>
                <c:pt idx="87">
                  <c:v>0.77178000000000002</c:v>
                </c:pt>
                <c:pt idx="88">
                  <c:v>0.771652</c:v>
                </c:pt>
                <c:pt idx="89">
                  <c:v>0.77152500000000002</c:v>
                </c:pt>
                <c:pt idx="90">
                  <c:v>0.77158899999999997</c:v>
                </c:pt>
                <c:pt idx="91">
                  <c:v>0.771652</c:v>
                </c:pt>
                <c:pt idx="92">
                  <c:v>0.77158899999999997</c:v>
                </c:pt>
                <c:pt idx="93">
                  <c:v>0.77171599999999996</c:v>
                </c:pt>
                <c:pt idx="94">
                  <c:v>0.77152500000000002</c:v>
                </c:pt>
                <c:pt idx="95">
                  <c:v>0.77107899999999996</c:v>
                </c:pt>
                <c:pt idx="96">
                  <c:v>0.77101600000000003</c:v>
                </c:pt>
                <c:pt idx="97">
                  <c:v>0.77088800000000002</c:v>
                </c:pt>
                <c:pt idx="98">
                  <c:v>0.77082499999999998</c:v>
                </c:pt>
                <c:pt idx="99">
                  <c:v>0.77088800000000002</c:v>
                </c:pt>
                <c:pt idx="100">
                  <c:v>0.77095199999999997</c:v>
                </c:pt>
                <c:pt idx="101">
                  <c:v>0.77101600000000003</c:v>
                </c:pt>
                <c:pt idx="102">
                  <c:v>0.77133399999999996</c:v>
                </c:pt>
                <c:pt idx="103">
                  <c:v>0.77114300000000002</c:v>
                </c:pt>
                <c:pt idx="104">
                  <c:v>0.77127000000000001</c:v>
                </c:pt>
                <c:pt idx="105">
                  <c:v>0.77120699999999998</c:v>
                </c:pt>
                <c:pt idx="106">
                  <c:v>0.77107899999999996</c:v>
                </c:pt>
                <c:pt idx="107">
                  <c:v>0.77107899999999996</c:v>
                </c:pt>
                <c:pt idx="108">
                  <c:v>0.77095199999999997</c:v>
                </c:pt>
                <c:pt idx="109">
                  <c:v>0.77092000000000005</c:v>
                </c:pt>
                <c:pt idx="110">
                  <c:v>0.770729</c:v>
                </c:pt>
                <c:pt idx="111">
                  <c:v>0.77079299999999995</c:v>
                </c:pt>
                <c:pt idx="112">
                  <c:v>0.77066599999999996</c:v>
                </c:pt>
                <c:pt idx="113">
                  <c:v>0.770729</c:v>
                </c:pt>
                <c:pt idx="114">
                  <c:v>0.77079299999999995</c:v>
                </c:pt>
                <c:pt idx="115">
                  <c:v>0.77079299999999995</c:v>
                </c:pt>
                <c:pt idx="116">
                  <c:v>0.77079299999999995</c:v>
                </c:pt>
                <c:pt idx="117">
                  <c:v>0.77069699999999997</c:v>
                </c:pt>
                <c:pt idx="118">
                  <c:v>0.77082499999999998</c:v>
                </c:pt>
                <c:pt idx="119">
                  <c:v>0.77031499999999997</c:v>
                </c:pt>
                <c:pt idx="120">
                  <c:v>0.77037900000000004</c:v>
                </c:pt>
                <c:pt idx="121">
                  <c:v>0.77018799999999998</c:v>
                </c:pt>
                <c:pt idx="122">
                  <c:v>0.770061</c:v>
                </c:pt>
                <c:pt idx="123">
                  <c:v>0.770061</c:v>
                </c:pt>
                <c:pt idx="124">
                  <c:v>0.77018799999999998</c:v>
                </c:pt>
                <c:pt idx="125">
                  <c:v>0.77018799999999998</c:v>
                </c:pt>
                <c:pt idx="126">
                  <c:v>0.77018799999999998</c:v>
                </c:pt>
                <c:pt idx="127">
                  <c:v>0.76999700000000004</c:v>
                </c:pt>
                <c:pt idx="128">
                  <c:v>0.76999700000000004</c:v>
                </c:pt>
                <c:pt idx="129">
                  <c:v>0.76993299999999998</c:v>
                </c:pt>
                <c:pt idx="130">
                  <c:v>0.76987000000000005</c:v>
                </c:pt>
                <c:pt idx="131">
                  <c:v>0.769679</c:v>
                </c:pt>
                <c:pt idx="132">
                  <c:v>0.76977399999999996</c:v>
                </c:pt>
                <c:pt idx="133">
                  <c:v>0.76983800000000002</c:v>
                </c:pt>
                <c:pt idx="134">
                  <c:v>0.76971100000000003</c:v>
                </c:pt>
                <c:pt idx="135">
                  <c:v>0.76971100000000003</c:v>
                </c:pt>
                <c:pt idx="136">
                  <c:v>0.76990199999999998</c:v>
                </c:pt>
                <c:pt idx="137">
                  <c:v>0.76990199999999998</c:v>
                </c:pt>
                <c:pt idx="138">
                  <c:v>0.77002899999999996</c:v>
                </c:pt>
                <c:pt idx="139">
                  <c:v>0.76996500000000001</c:v>
                </c:pt>
                <c:pt idx="140">
                  <c:v>0.76996500000000001</c:v>
                </c:pt>
                <c:pt idx="141">
                  <c:v>0.76983800000000002</c:v>
                </c:pt>
                <c:pt idx="142">
                  <c:v>0.76951999999999998</c:v>
                </c:pt>
                <c:pt idx="143">
                  <c:v>0.76939199999999996</c:v>
                </c:pt>
                <c:pt idx="144">
                  <c:v>0.76920100000000002</c:v>
                </c:pt>
                <c:pt idx="145">
                  <c:v>0.76907400000000004</c:v>
                </c:pt>
                <c:pt idx="146">
                  <c:v>0.76913799999999999</c:v>
                </c:pt>
                <c:pt idx="147">
                  <c:v>0.76926499999999998</c:v>
                </c:pt>
                <c:pt idx="148">
                  <c:v>0.76926499999999998</c:v>
                </c:pt>
                <c:pt idx="149">
                  <c:v>0.76932900000000004</c:v>
                </c:pt>
                <c:pt idx="150">
                  <c:v>0.76920100000000002</c:v>
                </c:pt>
                <c:pt idx="151">
                  <c:v>0.76910599999999996</c:v>
                </c:pt>
                <c:pt idx="152">
                  <c:v>0.76923299999999994</c:v>
                </c:pt>
                <c:pt idx="153">
                  <c:v>0.76917000000000002</c:v>
                </c:pt>
                <c:pt idx="154">
                  <c:v>0.76923299999999994</c:v>
                </c:pt>
                <c:pt idx="155">
                  <c:v>0.76910599999999996</c:v>
                </c:pt>
                <c:pt idx="156">
                  <c:v>0.76900999999999997</c:v>
                </c:pt>
                <c:pt idx="157">
                  <c:v>0.76888299999999998</c:v>
                </c:pt>
                <c:pt idx="158">
                  <c:v>0.76881900000000003</c:v>
                </c:pt>
                <c:pt idx="159">
                  <c:v>0.76881900000000003</c:v>
                </c:pt>
                <c:pt idx="160">
                  <c:v>0.76875599999999999</c:v>
                </c:pt>
                <c:pt idx="161">
                  <c:v>0.76875599999999999</c:v>
                </c:pt>
                <c:pt idx="162">
                  <c:v>0.76875599999999999</c:v>
                </c:pt>
                <c:pt idx="163">
                  <c:v>0.76869200000000004</c:v>
                </c:pt>
                <c:pt idx="164">
                  <c:v>0.76862799999999998</c:v>
                </c:pt>
                <c:pt idx="165">
                  <c:v>0.76850099999999999</c:v>
                </c:pt>
                <c:pt idx="166">
                  <c:v>0.76824599999999998</c:v>
                </c:pt>
                <c:pt idx="167">
                  <c:v>0.76831000000000005</c:v>
                </c:pt>
                <c:pt idx="168">
                  <c:v>0.768119</c:v>
                </c:pt>
                <c:pt idx="169">
                  <c:v>0.76805599999999996</c:v>
                </c:pt>
                <c:pt idx="170">
                  <c:v>0.76843700000000004</c:v>
                </c:pt>
                <c:pt idx="171">
                  <c:v>0.76850099999999999</c:v>
                </c:pt>
                <c:pt idx="172">
                  <c:v>0.76856500000000005</c:v>
                </c:pt>
                <c:pt idx="173">
                  <c:v>0.76856500000000005</c:v>
                </c:pt>
                <c:pt idx="174">
                  <c:v>0.76831000000000005</c:v>
                </c:pt>
                <c:pt idx="175">
                  <c:v>0.76831000000000005</c:v>
                </c:pt>
                <c:pt idx="176">
                  <c:v>0.76831000000000005</c:v>
                </c:pt>
                <c:pt idx="177">
                  <c:v>0.76824599999999998</c:v>
                </c:pt>
                <c:pt idx="178">
                  <c:v>0.76805599999999996</c:v>
                </c:pt>
                <c:pt idx="179">
                  <c:v>0.76795999999999998</c:v>
                </c:pt>
                <c:pt idx="180">
                  <c:v>0.76808699999999996</c:v>
                </c:pt>
                <c:pt idx="181">
                  <c:v>0.76795999999999998</c:v>
                </c:pt>
                <c:pt idx="182">
                  <c:v>0.76789600000000002</c:v>
                </c:pt>
                <c:pt idx="183">
                  <c:v>0.76789600000000002</c:v>
                </c:pt>
                <c:pt idx="184">
                  <c:v>0.76789600000000002</c:v>
                </c:pt>
                <c:pt idx="185">
                  <c:v>0.76786500000000002</c:v>
                </c:pt>
                <c:pt idx="186">
                  <c:v>0.76799200000000001</c:v>
                </c:pt>
                <c:pt idx="187">
                  <c:v>0.76805599999999996</c:v>
                </c:pt>
                <c:pt idx="188">
                  <c:v>0.76799200000000001</c:v>
                </c:pt>
                <c:pt idx="189">
                  <c:v>0.76767399999999997</c:v>
                </c:pt>
                <c:pt idx="190">
                  <c:v>0.76748300000000003</c:v>
                </c:pt>
                <c:pt idx="191">
                  <c:v>0.76741899999999996</c:v>
                </c:pt>
                <c:pt idx="192">
                  <c:v>0.76716399999999996</c:v>
                </c:pt>
                <c:pt idx="193">
                  <c:v>0.76735500000000001</c:v>
                </c:pt>
                <c:pt idx="194">
                  <c:v>0.76729199999999997</c:v>
                </c:pt>
                <c:pt idx="195">
                  <c:v>0.76729199999999997</c:v>
                </c:pt>
                <c:pt idx="196">
                  <c:v>0.76729199999999997</c:v>
                </c:pt>
                <c:pt idx="197">
                  <c:v>0.76710100000000003</c:v>
                </c:pt>
                <c:pt idx="198">
                  <c:v>0.76703699999999997</c:v>
                </c:pt>
                <c:pt idx="199">
                  <c:v>0.76697300000000002</c:v>
                </c:pt>
                <c:pt idx="200">
                  <c:v>0.76710100000000003</c:v>
                </c:pt>
                <c:pt idx="201">
                  <c:v>0.76716399999999996</c:v>
                </c:pt>
                <c:pt idx="202">
                  <c:v>0.76703699999999997</c:v>
                </c:pt>
                <c:pt idx="203">
                  <c:v>0.76700500000000005</c:v>
                </c:pt>
                <c:pt idx="204">
                  <c:v>0.76719599999999999</c:v>
                </c:pt>
                <c:pt idx="205">
                  <c:v>0.76719599999999999</c:v>
                </c:pt>
                <c:pt idx="206">
                  <c:v>0.76719599999999999</c:v>
                </c:pt>
                <c:pt idx="207">
                  <c:v>0.76713200000000004</c:v>
                </c:pt>
                <c:pt idx="208">
                  <c:v>0.767069</c:v>
                </c:pt>
                <c:pt idx="209">
                  <c:v>0.767069</c:v>
                </c:pt>
                <c:pt idx="210">
                  <c:v>0.767069</c:v>
                </c:pt>
                <c:pt idx="211">
                  <c:v>0.76694099999999998</c:v>
                </c:pt>
                <c:pt idx="212">
                  <c:v>0.76687799999999995</c:v>
                </c:pt>
                <c:pt idx="213">
                  <c:v>0.766432</c:v>
                </c:pt>
                <c:pt idx="214">
                  <c:v>0.76649599999999996</c:v>
                </c:pt>
                <c:pt idx="215">
                  <c:v>0.766432</c:v>
                </c:pt>
                <c:pt idx="216">
                  <c:v>0.76630500000000001</c:v>
                </c:pt>
                <c:pt idx="217">
                  <c:v>0.766432</c:v>
                </c:pt>
                <c:pt idx="218">
                  <c:v>0.766432</c:v>
                </c:pt>
                <c:pt idx="219">
                  <c:v>0.76639999999999997</c:v>
                </c:pt>
                <c:pt idx="220">
                  <c:v>0.76659100000000002</c:v>
                </c:pt>
                <c:pt idx="221">
                  <c:v>0.76639999999999997</c:v>
                </c:pt>
                <c:pt idx="222">
                  <c:v>0.76646400000000003</c:v>
                </c:pt>
                <c:pt idx="223">
                  <c:v>0.76639999999999997</c:v>
                </c:pt>
                <c:pt idx="224">
                  <c:v>0.76633700000000005</c:v>
                </c:pt>
                <c:pt idx="225">
                  <c:v>0.76620900000000003</c:v>
                </c:pt>
                <c:pt idx="226">
                  <c:v>0.76617800000000003</c:v>
                </c:pt>
                <c:pt idx="227">
                  <c:v>0.76624099999999995</c:v>
                </c:pt>
                <c:pt idx="228">
                  <c:v>0.76605000000000001</c:v>
                </c:pt>
                <c:pt idx="229">
                  <c:v>0.76598699999999997</c:v>
                </c:pt>
                <c:pt idx="230">
                  <c:v>0.76585899999999996</c:v>
                </c:pt>
                <c:pt idx="231">
                  <c:v>0.76579600000000003</c:v>
                </c:pt>
                <c:pt idx="232">
                  <c:v>0.76579600000000003</c:v>
                </c:pt>
                <c:pt idx="233">
                  <c:v>0.76573199999999997</c:v>
                </c:pt>
                <c:pt idx="234">
                  <c:v>0.76592300000000002</c:v>
                </c:pt>
                <c:pt idx="235">
                  <c:v>0.76592300000000002</c:v>
                </c:pt>
                <c:pt idx="236">
                  <c:v>0.76566800000000002</c:v>
                </c:pt>
                <c:pt idx="237">
                  <c:v>0.76547699999999996</c:v>
                </c:pt>
                <c:pt idx="238">
                  <c:v>0.76573199999999997</c:v>
                </c:pt>
                <c:pt idx="239">
                  <c:v>0.76554100000000003</c:v>
                </c:pt>
                <c:pt idx="240">
                  <c:v>0.76573199999999997</c:v>
                </c:pt>
                <c:pt idx="241">
                  <c:v>0.76566800000000002</c:v>
                </c:pt>
                <c:pt idx="242">
                  <c:v>0.76560499999999998</c:v>
                </c:pt>
                <c:pt idx="243">
                  <c:v>0.76560499999999998</c:v>
                </c:pt>
                <c:pt idx="244">
                  <c:v>0.76547699999999996</c:v>
                </c:pt>
                <c:pt idx="245">
                  <c:v>0.76534999999999997</c:v>
                </c:pt>
                <c:pt idx="246">
                  <c:v>0.76541400000000004</c:v>
                </c:pt>
                <c:pt idx="247">
                  <c:v>0.76541400000000004</c:v>
                </c:pt>
                <c:pt idx="248">
                  <c:v>0.76541400000000004</c:v>
                </c:pt>
                <c:pt idx="249">
                  <c:v>0.76528600000000002</c:v>
                </c:pt>
                <c:pt idx="250">
                  <c:v>0.76525399999999999</c:v>
                </c:pt>
                <c:pt idx="251">
                  <c:v>0.76519099999999995</c:v>
                </c:pt>
                <c:pt idx="252">
                  <c:v>0.765127</c:v>
                </c:pt>
                <c:pt idx="253">
                  <c:v>0.76503200000000005</c:v>
                </c:pt>
                <c:pt idx="254">
                  <c:v>0.76509499999999997</c:v>
                </c:pt>
                <c:pt idx="255">
                  <c:v>0.76515900000000003</c:v>
                </c:pt>
                <c:pt idx="256">
                  <c:v>0.76522299999999999</c:v>
                </c:pt>
                <c:pt idx="257">
                  <c:v>0.76515900000000003</c:v>
                </c:pt>
                <c:pt idx="258">
                  <c:v>0.76522299999999999</c:v>
                </c:pt>
                <c:pt idx="259">
                  <c:v>0.76509499999999997</c:v>
                </c:pt>
                <c:pt idx="260">
                  <c:v>0.76458599999999999</c:v>
                </c:pt>
                <c:pt idx="261">
                  <c:v>0.76471299999999998</c:v>
                </c:pt>
                <c:pt idx="262">
                  <c:v>0.76452200000000003</c:v>
                </c:pt>
                <c:pt idx="263">
                  <c:v>0.76439500000000005</c:v>
                </c:pt>
                <c:pt idx="264">
                  <c:v>0.76439500000000005</c:v>
                </c:pt>
                <c:pt idx="265">
                  <c:v>0.76439500000000005</c:v>
                </c:pt>
                <c:pt idx="266">
                  <c:v>0.76433099999999998</c:v>
                </c:pt>
                <c:pt idx="267">
                  <c:v>0.76433099999999998</c:v>
                </c:pt>
                <c:pt idx="268">
                  <c:v>0.76420399999999999</c:v>
                </c:pt>
                <c:pt idx="269">
                  <c:v>0.76439500000000005</c:v>
                </c:pt>
                <c:pt idx="270">
                  <c:v>0.76439500000000005</c:v>
                </c:pt>
                <c:pt idx="271">
                  <c:v>0.76426799999999995</c:v>
                </c:pt>
                <c:pt idx="272">
                  <c:v>0.764459</c:v>
                </c:pt>
                <c:pt idx="273">
                  <c:v>0.76455399999999996</c:v>
                </c:pt>
                <c:pt idx="274">
                  <c:v>0.76461800000000002</c:v>
                </c:pt>
                <c:pt idx="275">
                  <c:v>0.76449100000000003</c:v>
                </c:pt>
                <c:pt idx="276">
                  <c:v>0.76429999999999998</c:v>
                </c:pt>
                <c:pt idx="277">
                  <c:v>0.76417199999999996</c:v>
                </c:pt>
                <c:pt idx="278">
                  <c:v>0.76417199999999996</c:v>
                </c:pt>
                <c:pt idx="279">
                  <c:v>0.76417199999999996</c:v>
                </c:pt>
                <c:pt idx="280">
                  <c:v>0.76410900000000004</c:v>
                </c:pt>
                <c:pt idx="281">
                  <c:v>0.76417199999999996</c:v>
                </c:pt>
                <c:pt idx="282">
                  <c:v>0.76410900000000004</c:v>
                </c:pt>
                <c:pt idx="283">
                  <c:v>0.76391799999999999</c:v>
                </c:pt>
                <c:pt idx="284">
                  <c:v>0.76372700000000004</c:v>
                </c:pt>
                <c:pt idx="285">
                  <c:v>0.76378999999999997</c:v>
                </c:pt>
                <c:pt idx="286">
                  <c:v>0.76353599999999999</c:v>
                </c:pt>
                <c:pt idx="287">
                  <c:v>0.763567</c:v>
                </c:pt>
                <c:pt idx="288">
                  <c:v>0.76363099999999995</c:v>
                </c:pt>
                <c:pt idx="289">
                  <c:v>0.76369500000000001</c:v>
                </c:pt>
                <c:pt idx="290">
                  <c:v>0.76375800000000005</c:v>
                </c:pt>
                <c:pt idx="291">
                  <c:v>0.763567</c:v>
                </c:pt>
                <c:pt idx="292">
                  <c:v>0.763567</c:v>
                </c:pt>
                <c:pt idx="293">
                  <c:v>0.763567</c:v>
                </c:pt>
                <c:pt idx="294">
                  <c:v>0.763567</c:v>
                </c:pt>
                <c:pt idx="295">
                  <c:v>0.76363099999999995</c:v>
                </c:pt>
                <c:pt idx="296">
                  <c:v>0.76337699999999997</c:v>
                </c:pt>
                <c:pt idx="297">
                  <c:v>0.76334500000000005</c:v>
                </c:pt>
                <c:pt idx="298">
                  <c:v>0.76321700000000003</c:v>
                </c:pt>
                <c:pt idx="299">
                  <c:v>0.763154</c:v>
                </c:pt>
                <c:pt idx="300">
                  <c:v>0.76296299999999995</c:v>
                </c:pt>
                <c:pt idx="301">
                  <c:v>0.76289899999999999</c:v>
                </c:pt>
                <c:pt idx="302">
                  <c:v>0.76296299999999995</c:v>
                </c:pt>
                <c:pt idx="303">
                  <c:v>0.763154</c:v>
                </c:pt>
                <c:pt idx="304">
                  <c:v>0.763154</c:v>
                </c:pt>
                <c:pt idx="305">
                  <c:v>0.763154</c:v>
                </c:pt>
                <c:pt idx="306">
                  <c:v>0.76334500000000005</c:v>
                </c:pt>
                <c:pt idx="307">
                  <c:v>0.76302599999999998</c:v>
                </c:pt>
                <c:pt idx="308">
                  <c:v>0.76302599999999998</c:v>
                </c:pt>
                <c:pt idx="309">
                  <c:v>0.76296299999999995</c:v>
                </c:pt>
                <c:pt idx="310">
                  <c:v>0.76270800000000005</c:v>
                </c:pt>
                <c:pt idx="311">
                  <c:v>0.76270800000000005</c:v>
                </c:pt>
                <c:pt idx="312">
                  <c:v>0.76277200000000001</c:v>
                </c:pt>
                <c:pt idx="313">
                  <c:v>0.76264399999999999</c:v>
                </c:pt>
                <c:pt idx="314">
                  <c:v>0.76270800000000005</c:v>
                </c:pt>
                <c:pt idx="315">
                  <c:v>0.762517</c:v>
                </c:pt>
                <c:pt idx="316">
                  <c:v>0.76258099999999995</c:v>
                </c:pt>
                <c:pt idx="317">
                  <c:v>0.76264399999999999</c:v>
                </c:pt>
                <c:pt idx="318">
                  <c:v>0.76258099999999995</c:v>
                </c:pt>
                <c:pt idx="319">
                  <c:v>0.762517</c:v>
                </c:pt>
                <c:pt idx="320">
                  <c:v>0.76248499999999997</c:v>
                </c:pt>
                <c:pt idx="321">
                  <c:v>0.76245300000000005</c:v>
                </c:pt>
                <c:pt idx="322">
                  <c:v>0.76245300000000005</c:v>
                </c:pt>
                <c:pt idx="323">
                  <c:v>0.76239000000000001</c:v>
                </c:pt>
                <c:pt idx="324">
                  <c:v>0.76232599999999995</c:v>
                </c:pt>
                <c:pt idx="325">
                  <c:v>0.762262</c:v>
                </c:pt>
                <c:pt idx="326">
                  <c:v>0.76232599999999995</c:v>
                </c:pt>
                <c:pt idx="327">
                  <c:v>0.762262</c:v>
                </c:pt>
                <c:pt idx="328">
                  <c:v>0.762262</c:v>
                </c:pt>
                <c:pt idx="329">
                  <c:v>0.76232599999999995</c:v>
                </c:pt>
                <c:pt idx="330">
                  <c:v>0.76207100000000005</c:v>
                </c:pt>
                <c:pt idx="331">
                  <c:v>0.76181699999999997</c:v>
                </c:pt>
                <c:pt idx="332">
                  <c:v>0.76181699999999997</c:v>
                </c:pt>
                <c:pt idx="333">
                  <c:v>0.76149900000000004</c:v>
                </c:pt>
                <c:pt idx="334">
                  <c:v>0.76149900000000004</c:v>
                </c:pt>
                <c:pt idx="335">
                  <c:v>0.76143499999999997</c:v>
                </c:pt>
                <c:pt idx="336">
                  <c:v>0.76149900000000004</c:v>
                </c:pt>
                <c:pt idx="337">
                  <c:v>0.76162600000000003</c:v>
                </c:pt>
                <c:pt idx="338">
                  <c:v>0.76156199999999996</c:v>
                </c:pt>
                <c:pt idx="339">
                  <c:v>0.76149900000000004</c:v>
                </c:pt>
                <c:pt idx="340">
                  <c:v>0.76175300000000001</c:v>
                </c:pt>
                <c:pt idx="341">
                  <c:v>0.76194399999999995</c:v>
                </c:pt>
                <c:pt idx="342">
                  <c:v>0.76188100000000003</c:v>
                </c:pt>
                <c:pt idx="343">
                  <c:v>0.76175300000000001</c:v>
                </c:pt>
                <c:pt idx="344">
                  <c:v>0.76165799999999995</c:v>
                </c:pt>
                <c:pt idx="345">
                  <c:v>0.76153000000000004</c:v>
                </c:pt>
                <c:pt idx="346">
                  <c:v>0.76153000000000004</c:v>
                </c:pt>
                <c:pt idx="347">
                  <c:v>0.76127599999999995</c:v>
                </c:pt>
                <c:pt idx="348">
                  <c:v>0.76127599999999995</c:v>
                </c:pt>
                <c:pt idx="349">
                  <c:v>0.76127599999999995</c:v>
                </c:pt>
                <c:pt idx="350">
                  <c:v>0.76133899999999999</c:v>
                </c:pt>
                <c:pt idx="351">
                  <c:v>0.76140300000000005</c:v>
                </c:pt>
                <c:pt idx="352">
                  <c:v>0.761467</c:v>
                </c:pt>
                <c:pt idx="353">
                  <c:v>0.76140300000000005</c:v>
                </c:pt>
                <c:pt idx="354">
                  <c:v>0.76095699999999999</c:v>
                </c:pt>
                <c:pt idx="355">
                  <c:v>0.76098900000000003</c:v>
                </c:pt>
                <c:pt idx="356">
                  <c:v>0.76092599999999999</c:v>
                </c:pt>
                <c:pt idx="357">
                  <c:v>0.76079799999999997</c:v>
                </c:pt>
                <c:pt idx="358">
                  <c:v>0.76086200000000004</c:v>
                </c:pt>
                <c:pt idx="359">
                  <c:v>0.76086200000000004</c:v>
                </c:pt>
                <c:pt idx="360">
                  <c:v>0.76076600000000005</c:v>
                </c:pt>
                <c:pt idx="361">
                  <c:v>0.76083000000000001</c:v>
                </c:pt>
                <c:pt idx="362">
                  <c:v>0.760575</c:v>
                </c:pt>
                <c:pt idx="363">
                  <c:v>0.76063899999999995</c:v>
                </c:pt>
                <c:pt idx="364">
                  <c:v>0.76038499999999998</c:v>
                </c:pt>
                <c:pt idx="365">
                  <c:v>0.75993900000000003</c:v>
                </c:pt>
                <c:pt idx="366">
                  <c:v>0.75952500000000001</c:v>
                </c:pt>
                <c:pt idx="367">
                  <c:v>0.75917500000000004</c:v>
                </c:pt>
                <c:pt idx="368">
                  <c:v>0.758857</c:v>
                </c:pt>
                <c:pt idx="369">
                  <c:v>0.75841099999999995</c:v>
                </c:pt>
                <c:pt idx="370">
                  <c:v>0.75790199999999996</c:v>
                </c:pt>
                <c:pt idx="371">
                  <c:v>0.75736099999999995</c:v>
                </c:pt>
                <c:pt idx="372">
                  <c:v>0.75723300000000004</c:v>
                </c:pt>
                <c:pt idx="373">
                  <c:v>0.75685100000000005</c:v>
                </c:pt>
                <c:pt idx="374">
                  <c:v>0.75666</c:v>
                </c:pt>
                <c:pt idx="375">
                  <c:v>0.75659699999999996</c:v>
                </c:pt>
                <c:pt idx="376">
                  <c:v>0.75583299999999998</c:v>
                </c:pt>
                <c:pt idx="377">
                  <c:v>0.75516399999999995</c:v>
                </c:pt>
                <c:pt idx="378">
                  <c:v>0.75452799999999998</c:v>
                </c:pt>
                <c:pt idx="379">
                  <c:v>0.75414599999999998</c:v>
                </c:pt>
                <c:pt idx="380">
                  <c:v>0.753382</c:v>
                </c:pt>
                <c:pt idx="381">
                  <c:v>0.75277700000000003</c:v>
                </c:pt>
                <c:pt idx="382">
                  <c:v>0.75214099999999995</c:v>
                </c:pt>
                <c:pt idx="383">
                  <c:v>0.751695</c:v>
                </c:pt>
                <c:pt idx="384">
                  <c:v>0.75137699999999996</c:v>
                </c:pt>
                <c:pt idx="385">
                  <c:v>0.75073999999999996</c:v>
                </c:pt>
                <c:pt idx="386">
                  <c:v>0.75023099999999998</c:v>
                </c:pt>
                <c:pt idx="387">
                  <c:v>0.74949900000000003</c:v>
                </c:pt>
                <c:pt idx="388">
                  <c:v>0.74905299999999997</c:v>
                </c:pt>
                <c:pt idx="389">
                  <c:v>0.74851199999999996</c:v>
                </c:pt>
                <c:pt idx="390">
                  <c:v>0.74768400000000002</c:v>
                </c:pt>
                <c:pt idx="391">
                  <c:v>0.74672899999999998</c:v>
                </c:pt>
                <c:pt idx="392">
                  <c:v>0.74571100000000001</c:v>
                </c:pt>
                <c:pt idx="393">
                  <c:v>0.74440600000000001</c:v>
                </c:pt>
                <c:pt idx="394">
                  <c:v>0.74357799999999996</c:v>
                </c:pt>
                <c:pt idx="395">
                  <c:v>0.74233700000000002</c:v>
                </c:pt>
                <c:pt idx="396">
                  <c:v>0.74093600000000004</c:v>
                </c:pt>
                <c:pt idx="397">
                  <c:v>0.74017299999999997</c:v>
                </c:pt>
                <c:pt idx="398">
                  <c:v>0.73705299999999996</c:v>
                </c:pt>
                <c:pt idx="399">
                  <c:v>0.73145099999999996</c:v>
                </c:pt>
                <c:pt idx="400">
                  <c:v>0.72330300000000003</c:v>
                </c:pt>
              </c:numCache>
            </c:numRef>
          </c:yVal>
          <c:smooth val="0"/>
          <c:extLst>
            <c:ext xmlns:c16="http://schemas.microsoft.com/office/drawing/2014/chart" uri="{C3380CC4-5D6E-409C-BE32-E72D297353CC}">
              <c16:uniqueId val="{00000000-07BC-442E-9DCE-D889FE3E22E1}"/>
            </c:ext>
          </c:extLst>
        </c:ser>
        <c:dLbls>
          <c:showLegendKey val="0"/>
          <c:showVal val="0"/>
          <c:showCatName val="0"/>
          <c:showSerName val="0"/>
          <c:showPercent val="0"/>
          <c:showBubbleSize val="0"/>
        </c:dLbls>
        <c:axId val="-732408560"/>
        <c:axId val="-732412912"/>
      </c:scatterChart>
      <c:valAx>
        <c:axId val="-732408560"/>
        <c:scaling>
          <c:orientation val="minMax"/>
          <c:max val="1.6"/>
          <c:min val="0"/>
        </c:scaling>
        <c:delete val="0"/>
        <c:axPos val="b"/>
        <c:majorGridlines/>
        <c:title>
          <c:tx>
            <c:rich>
              <a:bodyPr/>
              <a:lstStyle/>
              <a:p>
                <a:pPr>
                  <a:defRPr/>
                </a:pPr>
                <a:r>
                  <a:rPr lang="en-US"/>
                  <a:t>Angular Radius (°)</a:t>
                </a:r>
              </a:p>
            </c:rich>
          </c:tx>
          <c:overlay val="0"/>
        </c:title>
        <c:numFmt formatCode="General" sourceLinked="1"/>
        <c:majorTickMark val="out"/>
        <c:minorTickMark val="none"/>
        <c:tickLblPos val="nextTo"/>
        <c:crossAx val="-732412912"/>
        <c:crosses val="autoZero"/>
        <c:crossBetween val="midCat"/>
      </c:valAx>
      <c:valAx>
        <c:axId val="-732412912"/>
        <c:scaling>
          <c:orientation val="minMax"/>
        </c:scaling>
        <c:delete val="0"/>
        <c:axPos val="l"/>
        <c:majorGridlines/>
        <c:title>
          <c:tx>
            <c:rich>
              <a:bodyPr rot="-5400000" vert="horz"/>
              <a:lstStyle/>
              <a:p>
                <a:pPr>
                  <a:defRPr/>
                </a:pPr>
                <a:r>
                  <a:rPr lang="en-US"/>
                  <a:t>Throughput</a:t>
                </a:r>
              </a:p>
            </c:rich>
          </c:tx>
          <c:overlay val="0"/>
        </c:title>
        <c:numFmt formatCode="General" sourceLinked="1"/>
        <c:majorTickMark val="out"/>
        <c:minorTickMark val="none"/>
        <c:tickLblPos val="nextTo"/>
        <c:crossAx val="-732408560"/>
        <c:crosses val="autoZero"/>
        <c:crossBetween val="midCat"/>
      </c:valAx>
    </c:plotArea>
    <c:plotVisOnly val="1"/>
    <c:dispBlanksAs val="gap"/>
    <c:showDLblsOverMax val="0"/>
  </c:chart>
  <c:spPr>
    <a:ln>
      <a:noFill/>
    </a:ln>
  </c:spPr>
  <c:printSettings>
    <c:headerFooter/>
    <c:pageMargins b="0.75000000000000111" l="0.70000000000000095" r="0.70000000000000095" t="0.750000000000001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Vignetting vs. Angle</a:t>
            </a:r>
          </a:p>
        </c:rich>
      </c:tx>
      <c:overlay val="0"/>
    </c:title>
    <c:autoTitleDeleted val="0"/>
    <c:plotArea>
      <c:layout/>
      <c:scatterChart>
        <c:scatterStyle val="lineMarker"/>
        <c:varyColors val="0"/>
        <c:ser>
          <c:idx val="0"/>
          <c:order val="0"/>
          <c:tx>
            <c:strRef>
              <c:f>vignetting!$B$12</c:f>
              <c:strCache>
                <c:ptCount val="1"/>
                <c:pt idx="0">
                  <c:v>Fraction</c:v>
                </c:pt>
              </c:strCache>
            </c:strRef>
          </c:tx>
          <c:marker>
            <c:symbol val="none"/>
          </c:marker>
          <c:xVal>
            <c:numRef>
              <c:f>vignetting!$A$13:$A$413</c:f>
              <c:numCache>
                <c:formatCode>General</c:formatCode>
                <c:ptCount val="401"/>
                <c:pt idx="0">
                  <c:v>0</c:v>
                </c:pt>
                <c:pt idx="1">
                  <c:v>4.0000000000000001E-3</c:v>
                </c:pt>
                <c:pt idx="2">
                  <c:v>8.0000000000000002E-3</c:v>
                </c:pt>
                <c:pt idx="3">
                  <c:v>1.2E-2</c:v>
                </c:pt>
                <c:pt idx="4">
                  <c:v>1.6E-2</c:v>
                </c:pt>
                <c:pt idx="5">
                  <c:v>0.02</c:v>
                </c:pt>
                <c:pt idx="6">
                  <c:v>2.4E-2</c:v>
                </c:pt>
                <c:pt idx="7">
                  <c:v>2.8000000000000001E-2</c:v>
                </c:pt>
                <c:pt idx="8">
                  <c:v>3.2000000000000001E-2</c:v>
                </c:pt>
                <c:pt idx="9">
                  <c:v>3.5999999999999997E-2</c:v>
                </c:pt>
                <c:pt idx="10">
                  <c:v>0.04</c:v>
                </c:pt>
                <c:pt idx="11">
                  <c:v>4.3999999999999997E-2</c:v>
                </c:pt>
                <c:pt idx="12">
                  <c:v>4.8000000000000001E-2</c:v>
                </c:pt>
                <c:pt idx="13">
                  <c:v>5.1999999999999998E-2</c:v>
                </c:pt>
                <c:pt idx="14">
                  <c:v>5.6000000000000001E-2</c:v>
                </c:pt>
                <c:pt idx="15">
                  <c:v>0.06</c:v>
                </c:pt>
                <c:pt idx="16">
                  <c:v>6.4000000000000001E-2</c:v>
                </c:pt>
                <c:pt idx="17">
                  <c:v>6.8000000000000005E-2</c:v>
                </c:pt>
                <c:pt idx="18">
                  <c:v>7.1999999999999995E-2</c:v>
                </c:pt>
                <c:pt idx="19">
                  <c:v>7.5999999999999998E-2</c:v>
                </c:pt>
                <c:pt idx="20">
                  <c:v>0.08</c:v>
                </c:pt>
                <c:pt idx="21">
                  <c:v>8.4000000000000005E-2</c:v>
                </c:pt>
                <c:pt idx="22">
                  <c:v>8.7999999999999995E-2</c:v>
                </c:pt>
                <c:pt idx="23">
                  <c:v>9.1999999999999998E-2</c:v>
                </c:pt>
                <c:pt idx="24">
                  <c:v>9.6000000000000002E-2</c:v>
                </c:pt>
                <c:pt idx="25">
                  <c:v>0.1</c:v>
                </c:pt>
                <c:pt idx="26">
                  <c:v>0.104</c:v>
                </c:pt>
                <c:pt idx="27">
                  <c:v>0.108</c:v>
                </c:pt>
                <c:pt idx="28">
                  <c:v>0.112</c:v>
                </c:pt>
                <c:pt idx="29">
                  <c:v>0.11600000000000001</c:v>
                </c:pt>
                <c:pt idx="30">
                  <c:v>0.12</c:v>
                </c:pt>
                <c:pt idx="31">
                  <c:v>0.124</c:v>
                </c:pt>
                <c:pt idx="32">
                  <c:v>0.128</c:v>
                </c:pt>
                <c:pt idx="33">
                  <c:v>0.13200000000000001</c:v>
                </c:pt>
                <c:pt idx="34">
                  <c:v>0.13600000000000001</c:v>
                </c:pt>
                <c:pt idx="35">
                  <c:v>0.14000000000000001</c:v>
                </c:pt>
                <c:pt idx="36">
                  <c:v>0.14399999999999999</c:v>
                </c:pt>
                <c:pt idx="37">
                  <c:v>0.14799999999999999</c:v>
                </c:pt>
                <c:pt idx="38">
                  <c:v>0.152</c:v>
                </c:pt>
                <c:pt idx="39">
                  <c:v>0.156</c:v>
                </c:pt>
                <c:pt idx="40">
                  <c:v>0.16</c:v>
                </c:pt>
                <c:pt idx="41">
                  <c:v>0.16400000000000001</c:v>
                </c:pt>
                <c:pt idx="42">
                  <c:v>0.16800000000000001</c:v>
                </c:pt>
                <c:pt idx="43">
                  <c:v>0.17199999999999999</c:v>
                </c:pt>
                <c:pt idx="44">
                  <c:v>0.17599999999999999</c:v>
                </c:pt>
                <c:pt idx="45">
                  <c:v>0.18</c:v>
                </c:pt>
                <c:pt idx="46">
                  <c:v>0.184</c:v>
                </c:pt>
                <c:pt idx="47">
                  <c:v>0.188</c:v>
                </c:pt>
                <c:pt idx="48">
                  <c:v>0.192</c:v>
                </c:pt>
                <c:pt idx="49">
                  <c:v>0.19600000000000001</c:v>
                </c:pt>
                <c:pt idx="50">
                  <c:v>0.2</c:v>
                </c:pt>
                <c:pt idx="51">
                  <c:v>0.20399999999999999</c:v>
                </c:pt>
                <c:pt idx="52">
                  <c:v>0.20799999999999999</c:v>
                </c:pt>
                <c:pt idx="53">
                  <c:v>0.21199999999999999</c:v>
                </c:pt>
                <c:pt idx="54">
                  <c:v>0.216</c:v>
                </c:pt>
                <c:pt idx="55">
                  <c:v>0.22</c:v>
                </c:pt>
                <c:pt idx="56">
                  <c:v>0.224</c:v>
                </c:pt>
                <c:pt idx="57">
                  <c:v>0.22800000000000001</c:v>
                </c:pt>
                <c:pt idx="58">
                  <c:v>0.23200000000000001</c:v>
                </c:pt>
                <c:pt idx="59">
                  <c:v>0.23599999999999999</c:v>
                </c:pt>
                <c:pt idx="60">
                  <c:v>0.24</c:v>
                </c:pt>
                <c:pt idx="61">
                  <c:v>0.24399999999999999</c:v>
                </c:pt>
                <c:pt idx="62">
                  <c:v>0.248</c:v>
                </c:pt>
                <c:pt idx="63">
                  <c:v>0.252</c:v>
                </c:pt>
                <c:pt idx="64">
                  <c:v>0.25600000000000001</c:v>
                </c:pt>
                <c:pt idx="65">
                  <c:v>0.26</c:v>
                </c:pt>
                <c:pt idx="66">
                  <c:v>0.26400000000000001</c:v>
                </c:pt>
                <c:pt idx="67">
                  <c:v>0.26800000000000002</c:v>
                </c:pt>
                <c:pt idx="68">
                  <c:v>0.27200000000000002</c:v>
                </c:pt>
                <c:pt idx="69">
                  <c:v>0.27600000000000002</c:v>
                </c:pt>
                <c:pt idx="70">
                  <c:v>0.28000000000000003</c:v>
                </c:pt>
                <c:pt idx="71">
                  <c:v>0.28399999999999997</c:v>
                </c:pt>
                <c:pt idx="72">
                  <c:v>0.28799999999999998</c:v>
                </c:pt>
                <c:pt idx="73">
                  <c:v>0.29199999999999998</c:v>
                </c:pt>
                <c:pt idx="74">
                  <c:v>0.29599999999999999</c:v>
                </c:pt>
                <c:pt idx="75">
                  <c:v>0.3</c:v>
                </c:pt>
                <c:pt idx="76">
                  <c:v>0.30399999999999999</c:v>
                </c:pt>
                <c:pt idx="77">
                  <c:v>0.308</c:v>
                </c:pt>
                <c:pt idx="78">
                  <c:v>0.312</c:v>
                </c:pt>
                <c:pt idx="79">
                  <c:v>0.316</c:v>
                </c:pt>
                <c:pt idx="80">
                  <c:v>0.32</c:v>
                </c:pt>
                <c:pt idx="81">
                  <c:v>0.32400000000000001</c:v>
                </c:pt>
                <c:pt idx="82">
                  <c:v>0.32800000000000001</c:v>
                </c:pt>
                <c:pt idx="83">
                  <c:v>0.33200000000000002</c:v>
                </c:pt>
                <c:pt idx="84">
                  <c:v>0.33600000000000002</c:v>
                </c:pt>
                <c:pt idx="85">
                  <c:v>0.34</c:v>
                </c:pt>
                <c:pt idx="86">
                  <c:v>0.34399999999999997</c:v>
                </c:pt>
                <c:pt idx="87">
                  <c:v>0.34799999999999998</c:v>
                </c:pt>
                <c:pt idx="88">
                  <c:v>0.35199999999999998</c:v>
                </c:pt>
                <c:pt idx="89">
                  <c:v>0.35599999999999998</c:v>
                </c:pt>
                <c:pt idx="90">
                  <c:v>0.36</c:v>
                </c:pt>
                <c:pt idx="91">
                  <c:v>0.36399999999999999</c:v>
                </c:pt>
                <c:pt idx="92">
                  <c:v>0.36799999999999999</c:v>
                </c:pt>
                <c:pt idx="93">
                  <c:v>0.372</c:v>
                </c:pt>
                <c:pt idx="94">
                  <c:v>0.376</c:v>
                </c:pt>
                <c:pt idx="95">
                  <c:v>0.38</c:v>
                </c:pt>
                <c:pt idx="96">
                  <c:v>0.38400000000000001</c:v>
                </c:pt>
                <c:pt idx="97">
                  <c:v>0.38800000000000001</c:v>
                </c:pt>
                <c:pt idx="98">
                  <c:v>0.39200000000000002</c:v>
                </c:pt>
                <c:pt idx="99">
                  <c:v>0.39600000000000002</c:v>
                </c:pt>
                <c:pt idx="100">
                  <c:v>0.4</c:v>
                </c:pt>
                <c:pt idx="101">
                  <c:v>0.40400000000000003</c:v>
                </c:pt>
                <c:pt idx="102">
                  <c:v>0.40799999999999997</c:v>
                </c:pt>
                <c:pt idx="103">
                  <c:v>0.41199999999999998</c:v>
                </c:pt>
                <c:pt idx="104">
                  <c:v>0.41599999999999998</c:v>
                </c:pt>
                <c:pt idx="105">
                  <c:v>0.42</c:v>
                </c:pt>
                <c:pt idx="106">
                  <c:v>0.42399999999999999</c:v>
                </c:pt>
                <c:pt idx="107">
                  <c:v>0.42799999999999999</c:v>
                </c:pt>
                <c:pt idx="108">
                  <c:v>0.432</c:v>
                </c:pt>
                <c:pt idx="109">
                  <c:v>0.436</c:v>
                </c:pt>
                <c:pt idx="110">
                  <c:v>0.44</c:v>
                </c:pt>
                <c:pt idx="111">
                  <c:v>0.44400000000000001</c:v>
                </c:pt>
                <c:pt idx="112">
                  <c:v>0.44800000000000001</c:v>
                </c:pt>
                <c:pt idx="113">
                  <c:v>0.45200000000000001</c:v>
                </c:pt>
                <c:pt idx="114">
                  <c:v>0.45600000000000002</c:v>
                </c:pt>
                <c:pt idx="115">
                  <c:v>0.46</c:v>
                </c:pt>
                <c:pt idx="116">
                  <c:v>0.46400000000000002</c:v>
                </c:pt>
                <c:pt idx="117">
                  <c:v>0.46800000000000003</c:v>
                </c:pt>
                <c:pt idx="118">
                  <c:v>0.47199999999999998</c:v>
                </c:pt>
                <c:pt idx="119">
                  <c:v>0.47599999999999998</c:v>
                </c:pt>
                <c:pt idx="120">
                  <c:v>0.48</c:v>
                </c:pt>
                <c:pt idx="121">
                  <c:v>0.48399999999999999</c:v>
                </c:pt>
                <c:pt idx="122">
                  <c:v>0.48799999999999999</c:v>
                </c:pt>
                <c:pt idx="123">
                  <c:v>0.49199999999999999</c:v>
                </c:pt>
                <c:pt idx="124">
                  <c:v>0.496</c:v>
                </c:pt>
                <c:pt idx="125">
                  <c:v>0.5</c:v>
                </c:pt>
                <c:pt idx="126">
                  <c:v>0.504</c:v>
                </c:pt>
                <c:pt idx="127">
                  <c:v>0.50800000000000001</c:v>
                </c:pt>
                <c:pt idx="128">
                  <c:v>0.51200000000000001</c:v>
                </c:pt>
                <c:pt idx="129">
                  <c:v>0.51600000000000001</c:v>
                </c:pt>
                <c:pt idx="130">
                  <c:v>0.52</c:v>
                </c:pt>
                <c:pt idx="131">
                  <c:v>0.52400000000000002</c:v>
                </c:pt>
                <c:pt idx="132">
                  <c:v>0.52800000000000002</c:v>
                </c:pt>
                <c:pt idx="133">
                  <c:v>0.53200000000000003</c:v>
                </c:pt>
                <c:pt idx="134">
                  <c:v>0.53600000000000003</c:v>
                </c:pt>
                <c:pt idx="135">
                  <c:v>0.54</c:v>
                </c:pt>
                <c:pt idx="136">
                  <c:v>0.54400000000000004</c:v>
                </c:pt>
                <c:pt idx="137">
                  <c:v>0.54800000000000004</c:v>
                </c:pt>
                <c:pt idx="138">
                  <c:v>0.55200000000000005</c:v>
                </c:pt>
                <c:pt idx="139">
                  <c:v>0.55600000000000005</c:v>
                </c:pt>
                <c:pt idx="140">
                  <c:v>0.56000000000000005</c:v>
                </c:pt>
                <c:pt idx="141">
                  <c:v>0.56399999999999995</c:v>
                </c:pt>
                <c:pt idx="142">
                  <c:v>0.56799999999999995</c:v>
                </c:pt>
                <c:pt idx="143">
                  <c:v>0.57199999999999995</c:v>
                </c:pt>
                <c:pt idx="144">
                  <c:v>0.57599999999999996</c:v>
                </c:pt>
                <c:pt idx="145">
                  <c:v>0.57999999999999996</c:v>
                </c:pt>
                <c:pt idx="146">
                  <c:v>0.58399999999999996</c:v>
                </c:pt>
                <c:pt idx="147">
                  <c:v>0.58799999999999997</c:v>
                </c:pt>
                <c:pt idx="148">
                  <c:v>0.59199999999999997</c:v>
                </c:pt>
                <c:pt idx="149">
                  <c:v>0.59599999999999997</c:v>
                </c:pt>
                <c:pt idx="150">
                  <c:v>0.6</c:v>
                </c:pt>
                <c:pt idx="151">
                  <c:v>0.60399999999999998</c:v>
                </c:pt>
                <c:pt idx="152">
                  <c:v>0.60799999999999998</c:v>
                </c:pt>
                <c:pt idx="153">
                  <c:v>0.61199999999999999</c:v>
                </c:pt>
                <c:pt idx="154">
                  <c:v>0.61599999999999999</c:v>
                </c:pt>
                <c:pt idx="155">
                  <c:v>0.62</c:v>
                </c:pt>
                <c:pt idx="156">
                  <c:v>0.624</c:v>
                </c:pt>
                <c:pt idx="157">
                  <c:v>0.628</c:v>
                </c:pt>
                <c:pt idx="158">
                  <c:v>0.63200000000000001</c:v>
                </c:pt>
                <c:pt idx="159">
                  <c:v>0.63600000000000001</c:v>
                </c:pt>
                <c:pt idx="160">
                  <c:v>0.64</c:v>
                </c:pt>
                <c:pt idx="161">
                  <c:v>0.64400000000000002</c:v>
                </c:pt>
                <c:pt idx="162">
                  <c:v>0.64800000000000002</c:v>
                </c:pt>
                <c:pt idx="163">
                  <c:v>0.65200000000000002</c:v>
                </c:pt>
                <c:pt idx="164">
                  <c:v>0.65600000000000003</c:v>
                </c:pt>
                <c:pt idx="165">
                  <c:v>0.66</c:v>
                </c:pt>
                <c:pt idx="166">
                  <c:v>0.66400000000000003</c:v>
                </c:pt>
                <c:pt idx="167">
                  <c:v>0.66800000000000004</c:v>
                </c:pt>
                <c:pt idx="168">
                  <c:v>0.67200000000000004</c:v>
                </c:pt>
                <c:pt idx="169">
                  <c:v>0.67600000000000005</c:v>
                </c:pt>
                <c:pt idx="170">
                  <c:v>0.68</c:v>
                </c:pt>
                <c:pt idx="171">
                  <c:v>0.68400000000000005</c:v>
                </c:pt>
                <c:pt idx="172">
                  <c:v>0.68799999999999994</c:v>
                </c:pt>
                <c:pt idx="173">
                  <c:v>0.69199999999999995</c:v>
                </c:pt>
                <c:pt idx="174">
                  <c:v>0.69599999999999995</c:v>
                </c:pt>
                <c:pt idx="175">
                  <c:v>0.7</c:v>
                </c:pt>
                <c:pt idx="176">
                  <c:v>0.70399999999999996</c:v>
                </c:pt>
                <c:pt idx="177">
                  <c:v>0.70799999999999996</c:v>
                </c:pt>
                <c:pt idx="178">
                  <c:v>0.71199999999999997</c:v>
                </c:pt>
                <c:pt idx="179">
                  <c:v>0.71599999999999997</c:v>
                </c:pt>
                <c:pt idx="180">
                  <c:v>0.72</c:v>
                </c:pt>
                <c:pt idx="181">
                  <c:v>0.72399999999999998</c:v>
                </c:pt>
                <c:pt idx="182">
                  <c:v>0.72799999999999998</c:v>
                </c:pt>
                <c:pt idx="183">
                  <c:v>0.73199999999999998</c:v>
                </c:pt>
                <c:pt idx="184">
                  <c:v>0.73599999999999999</c:v>
                </c:pt>
                <c:pt idx="185">
                  <c:v>0.74</c:v>
                </c:pt>
                <c:pt idx="186">
                  <c:v>0.74399999999999999</c:v>
                </c:pt>
                <c:pt idx="187">
                  <c:v>0.748</c:v>
                </c:pt>
                <c:pt idx="188">
                  <c:v>0.752</c:v>
                </c:pt>
                <c:pt idx="189">
                  <c:v>0.75600000000000001</c:v>
                </c:pt>
                <c:pt idx="190">
                  <c:v>0.76</c:v>
                </c:pt>
                <c:pt idx="191">
                  <c:v>0.76400000000000001</c:v>
                </c:pt>
                <c:pt idx="192">
                  <c:v>0.76800000000000002</c:v>
                </c:pt>
                <c:pt idx="193">
                  <c:v>0.77200000000000002</c:v>
                </c:pt>
                <c:pt idx="194">
                  <c:v>0.77600000000000002</c:v>
                </c:pt>
                <c:pt idx="195">
                  <c:v>0.78</c:v>
                </c:pt>
                <c:pt idx="196">
                  <c:v>0.78400000000000003</c:v>
                </c:pt>
                <c:pt idx="197">
                  <c:v>0.78800000000000003</c:v>
                </c:pt>
                <c:pt idx="198">
                  <c:v>0.79200000000000004</c:v>
                </c:pt>
                <c:pt idx="199">
                  <c:v>0.79600000000000004</c:v>
                </c:pt>
                <c:pt idx="200">
                  <c:v>0.8</c:v>
                </c:pt>
                <c:pt idx="201">
                  <c:v>0.80400000000000005</c:v>
                </c:pt>
                <c:pt idx="202">
                  <c:v>0.80800000000000005</c:v>
                </c:pt>
                <c:pt idx="203">
                  <c:v>0.81200000000000006</c:v>
                </c:pt>
                <c:pt idx="204">
                  <c:v>0.81599999999999995</c:v>
                </c:pt>
                <c:pt idx="205">
                  <c:v>0.82</c:v>
                </c:pt>
                <c:pt idx="206">
                  <c:v>0.82399999999999995</c:v>
                </c:pt>
                <c:pt idx="207">
                  <c:v>0.82799999999999996</c:v>
                </c:pt>
                <c:pt idx="208">
                  <c:v>0.83199999999999996</c:v>
                </c:pt>
                <c:pt idx="209">
                  <c:v>0.83599999999999997</c:v>
                </c:pt>
                <c:pt idx="210">
                  <c:v>0.84</c:v>
                </c:pt>
                <c:pt idx="211">
                  <c:v>0.84399999999999997</c:v>
                </c:pt>
                <c:pt idx="212">
                  <c:v>0.84799999999999998</c:v>
                </c:pt>
                <c:pt idx="213">
                  <c:v>0.85199999999999998</c:v>
                </c:pt>
                <c:pt idx="214">
                  <c:v>0.85599999999999998</c:v>
                </c:pt>
                <c:pt idx="215">
                  <c:v>0.86</c:v>
                </c:pt>
                <c:pt idx="216">
                  <c:v>0.86399999999999999</c:v>
                </c:pt>
                <c:pt idx="217">
                  <c:v>0.86799999999999999</c:v>
                </c:pt>
                <c:pt idx="218">
                  <c:v>0.872</c:v>
                </c:pt>
                <c:pt idx="219">
                  <c:v>0.876</c:v>
                </c:pt>
                <c:pt idx="220">
                  <c:v>0.88</c:v>
                </c:pt>
                <c:pt idx="221">
                  <c:v>0.88400000000000001</c:v>
                </c:pt>
                <c:pt idx="222">
                  <c:v>0.88800000000000001</c:v>
                </c:pt>
                <c:pt idx="223">
                  <c:v>0.89200000000000002</c:v>
                </c:pt>
                <c:pt idx="224">
                  <c:v>0.89600000000000002</c:v>
                </c:pt>
                <c:pt idx="225">
                  <c:v>0.9</c:v>
                </c:pt>
                <c:pt idx="226">
                  <c:v>0.90400000000000003</c:v>
                </c:pt>
                <c:pt idx="227">
                  <c:v>0.90800000000000003</c:v>
                </c:pt>
                <c:pt idx="228">
                  <c:v>0.91200000000000003</c:v>
                </c:pt>
                <c:pt idx="229">
                  <c:v>0.91600000000000004</c:v>
                </c:pt>
                <c:pt idx="230">
                  <c:v>0.92</c:v>
                </c:pt>
                <c:pt idx="231">
                  <c:v>0.92400000000000004</c:v>
                </c:pt>
                <c:pt idx="232">
                  <c:v>0.92800000000000005</c:v>
                </c:pt>
                <c:pt idx="233">
                  <c:v>0.93200000000000005</c:v>
                </c:pt>
                <c:pt idx="234">
                  <c:v>0.93600000000000005</c:v>
                </c:pt>
                <c:pt idx="235">
                  <c:v>0.94</c:v>
                </c:pt>
                <c:pt idx="236">
                  <c:v>0.94399999999999995</c:v>
                </c:pt>
                <c:pt idx="237">
                  <c:v>0.94799999999999995</c:v>
                </c:pt>
                <c:pt idx="238">
                  <c:v>0.95199999999999996</c:v>
                </c:pt>
                <c:pt idx="239">
                  <c:v>0.95599999999999996</c:v>
                </c:pt>
                <c:pt idx="240">
                  <c:v>0.96</c:v>
                </c:pt>
                <c:pt idx="241">
                  <c:v>0.96399999999999997</c:v>
                </c:pt>
                <c:pt idx="242">
                  <c:v>0.96799999999999997</c:v>
                </c:pt>
                <c:pt idx="243">
                  <c:v>0.97199999999999998</c:v>
                </c:pt>
                <c:pt idx="244">
                  <c:v>0.97599999999999998</c:v>
                </c:pt>
                <c:pt idx="245">
                  <c:v>0.98</c:v>
                </c:pt>
                <c:pt idx="246">
                  <c:v>0.98399999999999999</c:v>
                </c:pt>
                <c:pt idx="247">
                  <c:v>0.98799999999999999</c:v>
                </c:pt>
                <c:pt idx="248">
                  <c:v>0.99199999999999999</c:v>
                </c:pt>
                <c:pt idx="249">
                  <c:v>0.996</c:v>
                </c:pt>
                <c:pt idx="250">
                  <c:v>1</c:v>
                </c:pt>
                <c:pt idx="251">
                  <c:v>1.004</c:v>
                </c:pt>
                <c:pt idx="252">
                  <c:v>1.008</c:v>
                </c:pt>
                <c:pt idx="253">
                  <c:v>1.012</c:v>
                </c:pt>
                <c:pt idx="254">
                  <c:v>1.016</c:v>
                </c:pt>
                <c:pt idx="255">
                  <c:v>1.02</c:v>
                </c:pt>
                <c:pt idx="256">
                  <c:v>1.024</c:v>
                </c:pt>
                <c:pt idx="257">
                  <c:v>1.028</c:v>
                </c:pt>
                <c:pt idx="258">
                  <c:v>1.032</c:v>
                </c:pt>
                <c:pt idx="259">
                  <c:v>1.036</c:v>
                </c:pt>
                <c:pt idx="260">
                  <c:v>1.04</c:v>
                </c:pt>
                <c:pt idx="261">
                  <c:v>1.044</c:v>
                </c:pt>
                <c:pt idx="262">
                  <c:v>1.048</c:v>
                </c:pt>
                <c:pt idx="263">
                  <c:v>1.052</c:v>
                </c:pt>
                <c:pt idx="264">
                  <c:v>1.056</c:v>
                </c:pt>
                <c:pt idx="265">
                  <c:v>1.06</c:v>
                </c:pt>
                <c:pt idx="266">
                  <c:v>1.0640000000000001</c:v>
                </c:pt>
                <c:pt idx="267">
                  <c:v>1.0680000000000001</c:v>
                </c:pt>
                <c:pt idx="268">
                  <c:v>1.0720000000000001</c:v>
                </c:pt>
                <c:pt idx="269">
                  <c:v>1.0760000000000001</c:v>
                </c:pt>
                <c:pt idx="270">
                  <c:v>1.08</c:v>
                </c:pt>
                <c:pt idx="271">
                  <c:v>1.0840000000000001</c:v>
                </c:pt>
                <c:pt idx="272">
                  <c:v>1.0880000000000001</c:v>
                </c:pt>
                <c:pt idx="273">
                  <c:v>1.0920000000000001</c:v>
                </c:pt>
                <c:pt idx="274">
                  <c:v>1.0960000000000001</c:v>
                </c:pt>
                <c:pt idx="275">
                  <c:v>1.1000000000000001</c:v>
                </c:pt>
                <c:pt idx="276">
                  <c:v>1.1040000000000001</c:v>
                </c:pt>
                <c:pt idx="277">
                  <c:v>1.1080000000000001</c:v>
                </c:pt>
                <c:pt idx="278">
                  <c:v>1.1120000000000001</c:v>
                </c:pt>
                <c:pt idx="279">
                  <c:v>1.1160000000000001</c:v>
                </c:pt>
                <c:pt idx="280">
                  <c:v>1.1200000000000001</c:v>
                </c:pt>
                <c:pt idx="281">
                  <c:v>1.1240000000000001</c:v>
                </c:pt>
                <c:pt idx="282">
                  <c:v>1.1279999999999999</c:v>
                </c:pt>
                <c:pt idx="283">
                  <c:v>1.1319999999999999</c:v>
                </c:pt>
                <c:pt idx="284">
                  <c:v>1.1359999999999999</c:v>
                </c:pt>
                <c:pt idx="285">
                  <c:v>1.1399999999999999</c:v>
                </c:pt>
                <c:pt idx="286">
                  <c:v>1.1439999999999999</c:v>
                </c:pt>
                <c:pt idx="287">
                  <c:v>1.1479999999999999</c:v>
                </c:pt>
                <c:pt idx="288">
                  <c:v>1.1519999999999999</c:v>
                </c:pt>
                <c:pt idx="289">
                  <c:v>1.1559999999999999</c:v>
                </c:pt>
                <c:pt idx="290">
                  <c:v>1.1599999999999999</c:v>
                </c:pt>
                <c:pt idx="291">
                  <c:v>1.1639999999999999</c:v>
                </c:pt>
                <c:pt idx="292">
                  <c:v>1.1679999999999999</c:v>
                </c:pt>
                <c:pt idx="293">
                  <c:v>1.1719999999999999</c:v>
                </c:pt>
                <c:pt idx="294">
                  <c:v>1.1759999999999999</c:v>
                </c:pt>
                <c:pt idx="295">
                  <c:v>1.18</c:v>
                </c:pt>
                <c:pt idx="296">
                  <c:v>1.1839999999999999</c:v>
                </c:pt>
                <c:pt idx="297">
                  <c:v>1.1879999999999999</c:v>
                </c:pt>
                <c:pt idx="298">
                  <c:v>1.1919999999999999</c:v>
                </c:pt>
                <c:pt idx="299">
                  <c:v>1.196</c:v>
                </c:pt>
                <c:pt idx="300">
                  <c:v>1.2</c:v>
                </c:pt>
                <c:pt idx="301">
                  <c:v>1.204</c:v>
                </c:pt>
                <c:pt idx="302">
                  <c:v>1.208</c:v>
                </c:pt>
                <c:pt idx="303">
                  <c:v>1.212</c:v>
                </c:pt>
                <c:pt idx="304">
                  <c:v>1.216</c:v>
                </c:pt>
                <c:pt idx="305">
                  <c:v>1.22</c:v>
                </c:pt>
                <c:pt idx="306">
                  <c:v>1.224</c:v>
                </c:pt>
                <c:pt idx="307">
                  <c:v>1.228</c:v>
                </c:pt>
                <c:pt idx="308">
                  <c:v>1.232</c:v>
                </c:pt>
                <c:pt idx="309">
                  <c:v>1.236</c:v>
                </c:pt>
                <c:pt idx="310">
                  <c:v>1.24</c:v>
                </c:pt>
                <c:pt idx="311">
                  <c:v>1.244</c:v>
                </c:pt>
                <c:pt idx="312">
                  <c:v>1.248</c:v>
                </c:pt>
                <c:pt idx="313">
                  <c:v>1.252</c:v>
                </c:pt>
                <c:pt idx="314">
                  <c:v>1.256</c:v>
                </c:pt>
                <c:pt idx="315">
                  <c:v>1.26</c:v>
                </c:pt>
                <c:pt idx="316">
                  <c:v>1.264</c:v>
                </c:pt>
                <c:pt idx="317">
                  <c:v>1.268</c:v>
                </c:pt>
                <c:pt idx="318">
                  <c:v>1.272</c:v>
                </c:pt>
                <c:pt idx="319">
                  <c:v>1.276</c:v>
                </c:pt>
                <c:pt idx="320">
                  <c:v>1.28</c:v>
                </c:pt>
                <c:pt idx="321">
                  <c:v>1.284</c:v>
                </c:pt>
                <c:pt idx="322">
                  <c:v>1.288</c:v>
                </c:pt>
                <c:pt idx="323">
                  <c:v>1.292</c:v>
                </c:pt>
                <c:pt idx="324">
                  <c:v>1.296</c:v>
                </c:pt>
                <c:pt idx="325">
                  <c:v>1.3</c:v>
                </c:pt>
                <c:pt idx="326">
                  <c:v>1.304</c:v>
                </c:pt>
                <c:pt idx="327">
                  <c:v>1.3080000000000001</c:v>
                </c:pt>
                <c:pt idx="328">
                  <c:v>1.3120000000000001</c:v>
                </c:pt>
                <c:pt idx="329">
                  <c:v>1.3160000000000001</c:v>
                </c:pt>
                <c:pt idx="330">
                  <c:v>1.32</c:v>
                </c:pt>
                <c:pt idx="331">
                  <c:v>1.3240000000000001</c:v>
                </c:pt>
                <c:pt idx="332">
                  <c:v>1.3280000000000001</c:v>
                </c:pt>
                <c:pt idx="333">
                  <c:v>1.3320000000000001</c:v>
                </c:pt>
                <c:pt idx="334">
                  <c:v>1.3360000000000001</c:v>
                </c:pt>
                <c:pt idx="335">
                  <c:v>1.34</c:v>
                </c:pt>
                <c:pt idx="336">
                  <c:v>1.3440000000000001</c:v>
                </c:pt>
                <c:pt idx="337">
                  <c:v>1.3480000000000001</c:v>
                </c:pt>
                <c:pt idx="338">
                  <c:v>1.3520000000000001</c:v>
                </c:pt>
                <c:pt idx="339">
                  <c:v>1.3560000000000001</c:v>
                </c:pt>
                <c:pt idx="340">
                  <c:v>1.36</c:v>
                </c:pt>
                <c:pt idx="341">
                  <c:v>1.3640000000000001</c:v>
                </c:pt>
                <c:pt idx="342">
                  <c:v>1.3680000000000001</c:v>
                </c:pt>
                <c:pt idx="343">
                  <c:v>1.3720000000000001</c:v>
                </c:pt>
                <c:pt idx="344">
                  <c:v>1.3759999999999999</c:v>
                </c:pt>
                <c:pt idx="345">
                  <c:v>1.38</c:v>
                </c:pt>
                <c:pt idx="346">
                  <c:v>1.3839999999999999</c:v>
                </c:pt>
                <c:pt idx="347">
                  <c:v>1.3879999999999999</c:v>
                </c:pt>
                <c:pt idx="348">
                  <c:v>1.3919999999999999</c:v>
                </c:pt>
                <c:pt idx="349">
                  <c:v>1.3959999999999999</c:v>
                </c:pt>
                <c:pt idx="350">
                  <c:v>1.4</c:v>
                </c:pt>
                <c:pt idx="351">
                  <c:v>1.4039999999999999</c:v>
                </c:pt>
                <c:pt idx="352">
                  <c:v>1.4079999999999999</c:v>
                </c:pt>
                <c:pt idx="353">
                  <c:v>1.4119999999999999</c:v>
                </c:pt>
                <c:pt idx="354">
                  <c:v>1.4159999999999999</c:v>
                </c:pt>
                <c:pt idx="355">
                  <c:v>1.42</c:v>
                </c:pt>
                <c:pt idx="356">
                  <c:v>1.4239999999999999</c:v>
                </c:pt>
                <c:pt idx="357">
                  <c:v>1.4279999999999999</c:v>
                </c:pt>
                <c:pt idx="358">
                  <c:v>1.4319999999999999</c:v>
                </c:pt>
                <c:pt idx="359">
                  <c:v>1.4359999999999999</c:v>
                </c:pt>
                <c:pt idx="360">
                  <c:v>1.44</c:v>
                </c:pt>
                <c:pt idx="361">
                  <c:v>1.444</c:v>
                </c:pt>
                <c:pt idx="362">
                  <c:v>1.448</c:v>
                </c:pt>
                <c:pt idx="363">
                  <c:v>1.452</c:v>
                </c:pt>
                <c:pt idx="364">
                  <c:v>1.456</c:v>
                </c:pt>
                <c:pt idx="365">
                  <c:v>1.46</c:v>
                </c:pt>
                <c:pt idx="366">
                  <c:v>1.464</c:v>
                </c:pt>
                <c:pt idx="367">
                  <c:v>1.468</c:v>
                </c:pt>
                <c:pt idx="368">
                  <c:v>1.472</c:v>
                </c:pt>
                <c:pt idx="369">
                  <c:v>1.476</c:v>
                </c:pt>
                <c:pt idx="370">
                  <c:v>1.48</c:v>
                </c:pt>
                <c:pt idx="371">
                  <c:v>1.484</c:v>
                </c:pt>
                <c:pt idx="372">
                  <c:v>1.488</c:v>
                </c:pt>
                <c:pt idx="373">
                  <c:v>1.492</c:v>
                </c:pt>
                <c:pt idx="374">
                  <c:v>1.496</c:v>
                </c:pt>
                <c:pt idx="375">
                  <c:v>1.5</c:v>
                </c:pt>
                <c:pt idx="376">
                  <c:v>1.504</c:v>
                </c:pt>
                <c:pt idx="377">
                  <c:v>1.508</c:v>
                </c:pt>
                <c:pt idx="378">
                  <c:v>1.512</c:v>
                </c:pt>
                <c:pt idx="379">
                  <c:v>1.516</c:v>
                </c:pt>
                <c:pt idx="380">
                  <c:v>1.52</c:v>
                </c:pt>
                <c:pt idx="381">
                  <c:v>1.524</c:v>
                </c:pt>
                <c:pt idx="382">
                  <c:v>1.528</c:v>
                </c:pt>
                <c:pt idx="383">
                  <c:v>1.532</c:v>
                </c:pt>
                <c:pt idx="384">
                  <c:v>1.536</c:v>
                </c:pt>
                <c:pt idx="385">
                  <c:v>1.54</c:v>
                </c:pt>
                <c:pt idx="386">
                  <c:v>1.544</c:v>
                </c:pt>
                <c:pt idx="387">
                  <c:v>1.548</c:v>
                </c:pt>
                <c:pt idx="388">
                  <c:v>1.552</c:v>
                </c:pt>
                <c:pt idx="389">
                  <c:v>1.556</c:v>
                </c:pt>
                <c:pt idx="390">
                  <c:v>1.56</c:v>
                </c:pt>
                <c:pt idx="391">
                  <c:v>1.5640000000000001</c:v>
                </c:pt>
                <c:pt idx="392">
                  <c:v>1.5680000000000001</c:v>
                </c:pt>
                <c:pt idx="393">
                  <c:v>1.5720000000000001</c:v>
                </c:pt>
                <c:pt idx="394">
                  <c:v>1.5760000000000001</c:v>
                </c:pt>
                <c:pt idx="395">
                  <c:v>1.58</c:v>
                </c:pt>
                <c:pt idx="396">
                  <c:v>1.5840000000000001</c:v>
                </c:pt>
                <c:pt idx="397">
                  <c:v>1.5880000000000001</c:v>
                </c:pt>
                <c:pt idx="398">
                  <c:v>1.5920000000000001</c:v>
                </c:pt>
                <c:pt idx="399">
                  <c:v>1.5960000000000001</c:v>
                </c:pt>
                <c:pt idx="400">
                  <c:v>1.6</c:v>
                </c:pt>
              </c:numCache>
            </c:numRef>
          </c:xVal>
          <c:yVal>
            <c:numRef>
              <c:f>vignetting!$B$13:$B$413</c:f>
              <c:numCache>
                <c:formatCode>General</c:formatCode>
                <c:ptCount val="401"/>
                <c:pt idx="0">
                  <c:v>0.77563099999999996</c:v>
                </c:pt>
                <c:pt idx="1">
                  <c:v>0.77518500000000001</c:v>
                </c:pt>
                <c:pt idx="2">
                  <c:v>0.77524899999999997</c:v>
                </c:pt>
                <c:pt idx="3">
                  <c:v>0.77505800000000002</c:v>
                </c:pt>
                <c:pt idx="4">
                  <c:v>0.77486699999999997</c:v>
                </c:pt>
                <c:pt idx="5">
                  <c:v>0.77486699999999997</c:v>
                </c:pt>
                <c:pt idx="6">
                  <c:v>0.77486699999999997</c:v>
                </c:pt>
                <c:pt idx="7">
                  <c:v>0.77480300000000002</c:v>
                </c:pt>
                <c:pt idx="8">
                  <c:v>0.77480300000000002</c:v>
                </c:pt>
                <c:pt idx="9">
                  <c:v>0.77473999999999998</c:v>
                </c:pt>
                <c:pt idx="10">
                  <c:v>0.77480300000000002</c:v>
                </c:pt>
                <c:pt idx="11">
                  <c:v>0.77480300000000002</c:v>
                </c:pt>
                <c:pt idx="12">
                  <c:v>0.77480300000000002</c:v>
                </c:pt>
                <c:pt idx="13">
                  <c:v>0.77473999999999998</c:v>
                </c:pt>
                <c:pt idx="14">
                  <c:v>0.77467600000000003</c:v>
                </c:pt>
                <c:pt idx="15">
                  <c:v>0.77461199999999997</c:v>
                </c:pt>
                <c:pt idx="16">
                  <c:v>0.77467600000000003</c:v>
                </c:pt>
                <c:pt idx="17">
                  <c:v>0.77448499999999998</c:v>
                </c:pt>
                <c:pt idx="18">
                  <c:v>0.77442100000000003</c:v>
                </c:pt>
                <c:pt idx="19">
                  <c:v>0.77448499999999998</c:v>
                </c:pt>
                <c:pt idx="20">
                  <c:v>0.77442100000000003</c:v>
                </c:pt>
                <c:pt idx="21">
                  <c:v>0.77435799999999999</c:v>
                </c:pt>
                <c:pt idx="22">
                  <c:v>0.77461199999999997</c:v>
                </c:pt>
                <c:pt idx="23">
                  <c:v>0.77442100000000003</c:v>
                </c:pt>
                <c:pt idx="24">
                  <c:v>0.774231</c:v>
                </c:pt>
                <c:pt idx="25">
                  <c:v>0.773976</c:v>
                </c:pt>
                <c:pt idx="26">
                  <c:v>0.77391200000000004</c:v>
                </c:pt>
                <c:pt idx="27">
                  <c:v>0.773594</c:v>
                </c:pt>
                <c:pt idx="28">
                  <c:v>0.773594</c:v>
                </c:pt>
                <c:pt idx="29">
                  <c:v>0.773594</c:v>
                </c:pt>
                <c:pt idx="30">
                  <c:v>0.77372099999999999</c:v>
                </c:pt>
                <c:pt idx="31">
                  <c:v>0.77378499999999995</c:v>
                </c:pt>
                <c:pt idx="32">
                  <c:v>0.77378499999999995</c:v>
                </c:pt>
                <c:pt idx="33">
                  <c:v>0.77378499999999995</c:v>
                </c:pt>
                <c:pt idx="34">
                  <c:v>0.77410299999999999</c:v>
                </c:pt>
                <c:pt idx="35">
                  <c:v>0.77410299999999999</c:v>
                </c:pt>
                <c:pt idx="36">
                  <c:v>0.77410299999999999</c:v>
                </c:pt>
                <c:pt idx="37">
                  <c:v>0.77384900000000001</c:v>
                </c:pt>
                <c:pt idx="38">
                  <c:v>0.77381699999999998</c:v>
                </c:pt>
                <c:pt idx="39">
                  <c:v>0.77375300000000002</c:v>
                </c:pt>
                <c:pt idx="40">
                  <c:v>0.77362600000000004</c:v>
                </c:pt>
                <c:pt idx="41">
                  <c:v>0.77356199999999997</c:v>
                </c:pt>
                <c:pt idx="42">
                  <c:v>0.77337100000000003</c:v>
                </c:pt>
                <c:pt idx="43">
                  <c:v>0.77349800000000002</c:v>
                </c:pt>
                <c:pt idx="44">
                  <c:v>0.77349800000000002</c:v>
                </c:pt>
                <c:pt idx="45">
                  <c:v>0.77356199999999997</c:v>
                </c:pt>
                <c:pt idx="46">
                  <c:v>0.77368899999999996</c:v>
                </c:pt>
                <c:pt idx="47">
                  <c:v>0.77356199999999997</c:v>
                </c:pt>
                <c:pt idx="48">
                  <c:v>0.77321200000000001</c:v>
                </c:pt>
                <c:pt idx="49">
                  <c:v>0.77314799999999995</c:v>
                </c:pt>
                <c:pt idx="50">
                  <c:v>0.77314799999999995</c:v>
                </c:pt>
                <c:pt idx="51">
                  <c:v>0.77289399999999997</c:v>
                </c:pt>
                <c:pt idx="52">
                  <c:v>0.77295700000000001</c:v>
                </c:pt>
                <c:pt idx="53">
                  <c:v>0.77302099999999996</c:v>
                </c:pt>
                <c:pt idx="54">
                  <c:v>0.77289399999999997</c:v>
                </c:pt>
                <c:pt idx="55">
                  <c:v>0.77295700000000001</c:v>
                </c:pt>
                <c:pt idx="56">
                  <c:v>0.77289399999999997</c:v>
                </c:pt>
                <c:pt idx="57">
                  <c:v>0.77289399999999997</c:v>
                </c:pt>
                <c:pt idx="58">
                  <c:v>0.77283000000000002</c:v>
                </c:pt>
                <c:pt idx="59">
                  <c:v>0.77283000000000002</c:v>
                </c:pt>
                <c:pt idx="60">
                  <c:v>0.77270300000000003</c:v>
                </c:pt>
                <c:pt idx="61">
                  <c:v>0.77257500000000001</c:v>
                </c:pt>
                <c:pt idx="62">
                  <c:v>0.77254400000000001</c:v>
                </c:pt>
                <c:pt idx="63">
                  <c:v>0.77241599999999999</c:v>
                </c:pt>
                <c:pt idx="64">
                  <c:v>0.77248000000000006</c:v>
                </c:pt>
                <c:pt idx="65">
                  <c:v>0.77241599999999999</c:v>
                </c:pt>
                <c:pt idx="66">
                  <c:v>0.77241599999999999</c:v>
                </c:pt>
                <c:pt idx="67">
                  <c:v>0.77248000000000006</c:v>
                </c:pt>
                <c:pt idx="68">
                  <c:v>0.77279799999999998</c:v>
                </c:pt>
                <c:pt idx="69">
                  <c:v>0.77279799999999998</c:v>
                </c:pt>
                <c:pt idx="70">
                  <c:v>0.77286200000000005</c:v>
                </c:pt>
                <c:pt idx="71">
                  <c:v>0.772671</c:v>
                </c:pt>
                <c:pt idx="72">
                  <c:v>0.77222500000000005</c:v>
                </c:pt>
                <c:pt idx="73">
                  <c:v>0.77222500000000005</c:v>
                </c:pt>
                <c:pt idx="74">
                  <c:v>0.77197099999999996</c:v>
                </c:pt>
                <c:pt idx="75">
                  <c:v>0.77197099999999996</c:v>
                </c:pt>
                <c:pt idx="76">
                  <c:v>0.77190700000000001</c:v>
                </c:pt>
                <c:pt idx="77">
                  <c:v>0.77209799999999995</c:v>
                </c:pt>
                <c:pt idx="78">
                  <c:v>0.772034</c:v>
                </c:pt>
                <c:pt idx="79">
                  <c:v>0.77209799999999995</c:v>
                </c:pt>
                <c:pt idx="80">
                  <c:v>0.772034</c:v>
                </c:pt>
                <c:pt idx="81">
                  <c:v>0.772034</c:v>
                </c:pt>
                <c:pt idx="82">
                  <c:v>0.772034</c:v>
                </c:pt>
                <c:pt idx="83">
                  <c:v>0.77200199999999997</c:v>
                </c:pt>
                <c:pt idx="84">
                  <c:v>0.77193900000000004</c:v>
                </c:pt>
                <c:pt idx="85">
                  <c:v>0.77184299999999995</c:v>
                </c:pt>
                <c:pt idx="86">
                  <c:v>0.77190700000000001</c:v>
                </c:pt>
                <c:pt idx="87">
                  <c:v>0.77178000000000002</c:v>
                </c:pt>
                <c:pt idx="88">
                  <c:v>0.771652</c:v>
                </c:pt>
                <c:pt idx="89">
                  <c:v>0.77152500000000002</c:v>
                </c:pt>
                <c:pt idx="90">
                  <c:v>0.77158899999999997</c:v>
                </c:pt>
                <c:pt idx="91">
                  <c:v>0.771652</c:v>
                </c:pt>
                <c:pt idx="92">
                  <c:v>0.77158899999999997</c:v>
                </c:pt>
                <c:pt idx="93">
                  <c:v>0.77171599999999996</c:v>
                </c:pt>
                <c:pt idx="94">
                  <c:v>0.77152500000000002</c:v>
                </c:pt>
                <c:pt idx="95">
                  <c:v>0.77107899999999996</c:v>
                </c:pt>
                <c:pt idx="96">
                  <c:v>0.77101600000000003</c:v>
                </c:pt>
                <c:pt idx="97">
                  <c:v>0.77088800000000002</c:v>
                </c:pt>
                <c:pt idx="98">
                  <c:v>0.77082499999999998</c:v>
                </c:pt>
                <c:pt idx="99">
                  <c:v>0.77088800000000002</c:v>
                </c:pt>
                <c:pt idx="100">
                  <c:v>0.77095199999999997</c:v>
                </c:pt>
                <c:pt idx="101">
                  <c:v>0.77101600000000003</c:v>
                </c:pt>
                <c:pt idx="102">
                  <c:v>0.77133399999999996</c:v>
                </c:pt>
                <c:pt idx="103">
                  <c:v>0.77114300000000002</c:v>
                </c:pt>
                <c:pt idx="104">
                  <c:v>0.77127000000000001</c:v>
                </c:pt>
                <c:pt idx="105">
                  <c:v>0.77120699999999998</c:v>
                </c:pt>
                <c:pt idx="106">
                  <c:v>0.77107899999999996</c:v>
                </c:pt>
                <c:pt idx="107">
                  <c:v>0.77107899999999996</c:v>
                </c:pt>
                <c:pt idx="108">
                  <c:v>0.77095199999999997</c:v>
                </c:pt>
                <c:pt idx="109">
                  <c:v>0.77092000000000005</c:v>
                </c:pt>
                <c:pt idx="110">
                  <c:v>0.770729</c:v>
                </c:pt>
                <c:pt idx="111">
                  <c:v>0.77079299999999995</c:v>
                </c:pt>
                <c:pt idx="112">
                  <c:v>0.77066599999999996</c:v>
                </c:pt>
                <c:pt idx="113">
                  <c:v>0.770729</c:v>
                </c:pt>
                <c:pt idx="114">
                  <c:v>0.77079299999999995</c:v>
                </c:pt>
                <c:pt idx="115">
                  <c:v>0.77079299999999995</c:v>
                </c:pt>
                <c:pt idx="116">
                  <c:v>0.77079299999999995</c:v>
                </c:pt>
                <c:pt idx="117">
                  <c:v>0.77069699999999997</c:v>
                </c:pt>
                <c:pt idx="118">
                  <c:v>0.77082499999999998</c:v>
                </c:pt>
                <c:pt idx="119">
                  <c:v>0.77031499999999997</c:v>
                </c:pt>
                <c:pt idx="120">
                  <c:v>0.77037900000000004</c:v>
                </c:pt>
                <c:pt idx="121">
                  <c:v>0.77018799999999998</c:v>
                </c:pt>
                <c:pt idx="122">
                  <c:v>0.770061</c:v>
                </c:pt>
                <c:pt idx="123">
                  <c:v>0.770061</c:v>
                </c:pt>
                <c:pt idx="124">
                  <c:v>0.77018799999999998</c:v>
                </c:pt>
                <c:pt idx="125">
                  <c:v>0.77018799999999998</c:v>
                </c:pt>
                <c:pt idx="126">
                  <c:v>0.77018799999999998</c:v>
                </c:pt>
                <c:pt idx="127">
                  <c:v>0.76999700000000004</c:v>
                </c:pt>
                <c:pt idx="128">
                  <c:v>0.76999700000000004</c:v>
                </c:pt>
                <c:pt idx="129">
                  <c:v>0.76993299999999998</c:v>
                </c:pt>
                <c:pt idx="130">
                  <c:v>0.76987000000000005</c:v>
                </c:pt>
                <c:pt idx="131">
                  <c:v>0.769679</c:v>
                </c:pt>
                <c:pt idx="132">
                  <c:v>0.76977399999999996</c:v>
                </c:pt>
                <c:pt idx="133">
                  <c:v>0.76983800000000002</c:v>
                </c:pt>
                <c:pt idx="134">
                  <c:v>0.76971100000000003</c:v>
                </c:pt>
                <c:pt idx="135">
                  <c:v>0.76971100000000003</c:v>
                </c:pt>
                <c:pt idx="136">
                  <c:v>0.76990199999999998</c:v>
                </c:pt>
                <c:pt idx="137">
                  <c:v>0.76990199999999998</c:v>
                </c:pt>
                <c:pt idx="138">
                  <c:v>0.77002899999999996</c:v>
                </c:pt>
                <c:pt idx="139">
                  <c:v>0.76996500000000001</c:v>
                </c:pt>
                <c:pt idx="140">
                  <c:v>0.76996500000000001</c:v>
                </c:pt>
                <c:pt idx="141">
                  <c:v>0.76983800000000002</c:v>
                </c:pt>
                <c:pt idx="142">
                  <c:v>0.76951999999999998</c:v>
                </c:pt>
                <c:pt idx="143">
                  <c:v>0.76939199999999996</c:v>
                </c:pt>
                <c:pt idx="144">
                  <c:v>0.76920100000000002</c:v>
                </c:pt>
                <c:pt idx="145">
                  <c:v>0.76907400000000004</c:v>
                </c:pt>
                <c:pt idx="146">
                  <c:v>0.76913799999999999</c:v>
                </c:pt>
                <c:pt idx="147">
                  <c:v>0.76926499999999998</c:v>
                </c:pt>
                <c:pt idx="148">
                  <c:v>0.76926499999999998</c:v>
                </c:pt>
                <c:pt idx="149">
                  <c:v>0.76932900000000004</c:v>
                </c:pt>
                <c:pt idx="150">
                  <c:v>0.76920100000000002</c:v>
                </c:pt>
                <c:pt idx="151">
                  <c:v>0.76910599999999996</c:v>
                </c:pt>
                <c:pt idx="152">
                  <c:v>0.76923299999999994</c:v>
                </c:pt>
                <c:pt idx="153">
                  <c:v>0.76917000000000002</c:v>
                </c:pt>
                <c:pt idx="154">
                  <c:v>0.76923299999999994</c:v>
                </c:pt>
                <c:pt idx="155">
                  <c:v>0.76910599999999996</c:v>
                </c:pt>
                <c:pt idx="156">
                  <c:v>0.76900999999999997</c:v>
                </c:pt>
                <c:pt idx="157">
                  <c:v>0.76888299999999998</c:v>
                </c:pt>
                <c:pt idx="158">
                  <c:v>0.76881900000000003</c:v>
                </c:pt>
                <c:pt idx="159">
                  <c:v>0.76881900000000003</c:v>
                </c:pt>
                <c:pt idx="160">
                  <c:v>0.76875599999999999</c:v>
                </c:pt>
                <c:pt idx="161">
                  <c:v>0.76875599999999999</c:v>
                </c:pt>
                <c:pt idx="162">
                  <c:v>0.76875599999999999</c:v>
                </c:pt>
                <c:pt idx="163">
                  <c:v>0.76869200000000004</c:v>
                </c:pt>
                <c:pt idx="164">
                  <c:v>0.76862799999999998</c:v>
                </c:pt>
                <c:pt idx="165">
                  <c:v>0.76850099999999999</c:v>
                </c:pt>
                <c:pt idx="166">
                  <c:v>0.76824599999999998</c:v>
                </c:pt>
                <c:pt idx="167">
                  <c:v>0.76831000000000005</c:v>
                </c:pt>
                <c:pt idx="168">
                  <c:v>0.768119</c:v>
                </c:pt>
                <c:pt idx="169">
                  <c:v>0.76805599999999996</c:v>
                </c:pt>
                <c:pt idx="170">
                  <c:v>0.76843700000000004</c:v>
                </c:pt>
                <c:pt idx="171">
                  <c:v>0.76850099999999999</c:v>
                </c:pt>
                <c:pt idx="172">
                  <c:v>0.76856500000000005</c:v>
                </c:pt>
                <c:pt idx="173">
                  <c:v>0.76856500000000005</c:v>
                </c:pt>
                <c:pt idx="174">
                  <c:v>0.76831000000000005</c:v>
                </c:pt>
                <c:pt idx="175">
                  <c:v>0.76831000000000005</c:v>
                </c:pt>
                <c:pt idx="176">
                  <c:v>0.76831000000000005</c:v>
                </c:pt>
                <c:pt idx="177">
                  <c:v>0.76824599999999998</c:v>
                </c:pt>
                <c:pt idx="178">
                  <c:v>0.76805599999999996</c:v>
                </c:pt>
                <c:pt idx="179">
                  <c:v>0.76795999999999998</c:v>
                </c:pt>
                <c:pt idx="180">
                  <c:v>0.76808699999999996</c:v>
                </c:pt>
                <c:pt idx="181">
                  <c:v>0.76795999999999998</c:v>
                </c:pt>
                <c:pt idx="182">
                  <c:v>0.76789600000000002</c:v>
                </c:pt>
                <c:pt idx="183">
                  <c:v>0.76789600000000002</c:v>
                </c:pt>
                <c:pt idx="184">
                  <c:v>0.76789600000000002</c:v>
                </c:pt>
                <c:pt idx="185">
                  <c:v>0.76786500000000002</c:v>
                </c:pt>
                <c:pt idx="186">
                  <c:v>0.76799200000000001</c:v>
                </c:pt>
                <c:pt idx="187">
                  <c:v>0.76805599999999996</c:v>
                </c:pt>
                <c:pt idx="188">
                  <c:v>0.76799200000000001</c:v>
                </c:pt>
                <c:pt idx="189">
                  <c:v>0.76767399999999997</c:v>
                </c:pt>
                <c:pt idx="190">
                  <c:v>0.76748300000000003</c:v>
                </c:pt>
                <c:pt idx="191">
                  <c:v>0.76741899999999996</c:v>
                </c:pt>
                <c:pt idx="192">
                  <c:v>0.76716399999999996</c:v>
                </c:pt>
                <c:pt idx="193">
                  <c:v>0.76735500000000001</c:v>
                </c:pt>
                <c:pt idx="194">
                  <c:v>0.76729199999999997</c:v>
                </c:pt>
                <c:pt idx="195">
                  <c:v>0.76729199999999997</c:v>
                </c:pt>
                <c:pt idx="196">
                  <c:v>0.76729199999999997</c:v>
                </c:pt>
                <c:pt idx="197">
                  <c:v>0.76710100000000003</c:v>
                </c:pt>
                <c:pt idx="198">
                  <c:v>0.76703699999999997</c:v>
                </c:pt>
                <c:pt idx="199">
                  <c:v>0.76697300000000002</c:v>
                </c:pt>
                <c:pt idx="200">
                  <c:v>0.76710100000000003</c:v>
                </c:pt>
                <c:pt idx="201">
                  <c:v>0.76716399999999996</c:v>
                </c:pt>
                <c:pt idx="202">
                  <c:v>0.76703699999999997</c:v>
                </c:pt>
                <c:pt idx="203">
                  <c:v>0.76700500000000005</c:v>
                </c:pt>
                <c:pt idx="204">
                  <c:v>0.76719599999999999</c:v>
                </c:pt>
                <c:pt idx="205">
                  <c:v>0.76719599999999999</c:v>
                </c:pt>
                <c:pt idx="206">
                  <c:v>0.76719599999999999</c:v>
                </c:pt>
                <c:pt idx="207">
                  <c:v>0.76713200000000004</c:v>
                </c:pt>
                <c:pt idx="208">
                  <c:v>0.767069</c:v>
                </c:pt>
                <c:pt idx="209">
                  <c:v>0.767069</c:v>
                </c:pt>
                <c:pt idx="210">
                  <c:v>0.767069</c:v>
                </c:pt>
                <c:pt idx="211">
                  <c:v>0.76694099999999998</c:v>
                </c:pt>
                <c:pt idx="212">
                  <c:v>0.76687799999999995</c:v>
                </c:pt>
                <c:pt idx="213">
                  <c:v>0.766432</c:v>
                </c:pt>
                <c:pt idx="214">
                  <c:v>0.76649599999999996</c:v>
                </c:pt>
                <c:pt idx="215">
                  <c:v>0.766432</c:v>
                </c:pt>
                <c:pt idx="216">
                  <c:v>0.76630500000000001</c:v>
                </c:pt>
                <c:pt idx="217">
                  <c:v>0.766432</c:v>
                </c:pt>
                <c:pt idx="218">
                  <c:v>0.766432</c:v>
                </c:pt>
                <c:pt idx="219">
                  <c:v>0.76639999999999997</c:v>
                </c:pt>
                <c:pt idx="220">
                  <c:v>0.76659100000000002</c:v>
                </c:pt>
                <c:pt idx="221">
                  <c:v>0.76639999999999997</c:v>
                </c:pt>
                <c:pt idx="222">
                  <c:v>0.76646400000000003</c:v>
                </c:pt>
                <c:pt idx="223">
                  <c:v>0.76639999999999997</c:v>
                </c:pt>
                <c:pt idx="224">
                  <c:v>0.76633700000000005</c:v>
                </c:pt>
                <c:pt idx="225">
                  <c:v>0.76620900000000003</c:v>
                </c:pt>
                <c:pt idx="226">
                  <c:v>0.76617800000000003</c:v>
                </c:pt>
                <c:pt idx="227">
                  <c:v>0.76624099999999995</c:v>
                </c:pt>
                <c:pt idx="228">
                  <c:v>0.76605000000000001</c:v>
                </c:pt>
                <c:pt idx="229">
                  <c:v>0.76598699999999997</c:v>
                </c:pt>
                <c:pt idx="230">
                  <c:v>0.76585899999999996</c:v>
                </c:pt>
                <c:pt idx="231">
                  <c:v>0.76579600000000003</c:v>
                </c:pt>
                <c:pt idx="232">
                  <c:v>0.76579600000000003</c:v>
                </c:pt>
                <c:pt idx="233">
                  <c:v>0.76573199999999997</c:v>
                </c:pt>
                <c:pt idx="234">
                  <c:v>0.76592300000000002</c:v>
                </c:pt>
                <c:pt idx="235">
                  <c:v>0.76592300000000002</c:v>
                </c:pt>
                <c:pt idx="236">
                  <c:v>0.76566800000000002</c:v>
                </c:pt>
                <c:pt idx="237">
                  <c:v>0.76547699999999996</c:v>
                </c:pt>
                <c:pt idx="238">
                  <c:v>0.76573199999999997</c:v>
                </c:pt>
                <c:pt idx="239">
                  <c:v>0.76554100000000003</c:v>
                </c:pt>
                <c:pt idx="240">
                  <c:v>0.76573199999999997</c:v>
                </c:pt>
                <c:pt idx="241">
                  <c:v>0.76566800000000002</c:v>
                </c:pt>
                <c:pt idx="242">
                  <c:v>0.76560499999999998</c:v>
                </c:pt>
                <c:pt idx="243">
                  <c:v>0.76560499999999998</c:v>
                </c:pt>
                <c:pt idx="244">
                  <c:v>0.76547699999999996</c:v>
                </c:pt>
                <c:pt idx="245">
                  <c:v>0.76534999999999997</c:v>
                </c:pt>
                <c:pt idx="246">
                  <c:v>0.76541400000000004</c:v>
                </c:pt>
                <c:pt idx="247">
                  <c:v>0.76541400000000004</c:v>
                </c:pt>
                <c:pt idx="248">
                  <c:v>0.76541400000000004</c:v>
                </c:pt>
                <c:pt idx="249">
                  <c:v>0.76528600000000002</c:v>
                </c:pt>
                <c:pt idx="250">
                  <c:v>0.76525399999999999</c:v>
                </c:pt>
                <c:pt idx="251">
                  <c:v>0.76519099999999995</c:v>
                </c:pt>
                <c:pt idx="252">
                  <c:v>0.765127</c:v>
                </c:pt>
                <c:pt idx="253">
                  <c:v>0.76503200000000005</c:v>
                </c:pt>
                <c:pt idx="254">
                  <c:v>0.76509499999999997</c:v>
                </c:pt>
                <c:pt idx="255">
                  <c:v>0.76515900000000003</c:v>
                </c:pt>
                <c:pt idx="256">
                  <c:v>0.76522299999999999</c:v>
                </c:pt>
                <c:pt idx="257">
                  <c:v>0.76515900000000003</c:v>
                </c:pt>
                <c:pt idx="258">
                  <c:v>0.76522299999999999</c:v>
                </c:pt>
                <c:pt idx="259">
                  <c:v>0.76509499999999997</c:v>
                </c:pt>
                <c:pt idx="260">
                  <c:v>0.76458599999999999</c:v>
                </c:pt>
                <c:pt idx="261">
                  <c:v>0.76471299999999998</c:v>
                </c:pt>
                <c:pt idx="262">
                  <c:v>0.76452200000000003</c:v>
                </c:pt>
                <c:pt idx="263">
                  <c:v>0.76439500000000005</c:v>
                </c:pt>
                <c:pt idx="264">
                  <c:v>0.76439500000000005</c:v>
                </c:pt>
                <c:pt idx="265">
                  <c:v>0.76439500000000005</c:v>
                </c:pt>
                <c:pt idx="266">
                  <c:v>0.76433099999999998</c:v>
                </c:pt>
                <c:pt idx="267">
                  <c:v>0.76433099999999998</c:v>
                </c:pt>
                <c:pt idx="268">
                  <c:v>0.76420399999999999</c:v>
                </c:pt>
                <c:pt idx="269">
                  <c:v>0.76439500000000005</c:v>
                </c:pt>
                <c:pt idx="270">
                  <c:v>0.76439500000000005</c:v>
                </c:pt>
                <c:pt idx="271">
                  <c:v>0.76426799999999995</c:v>
                </c:pt>
                <c:pt idx="272">
                  <c:v>0.764459</c:v>
                </c:pt>
                <c:pt idx="273">
                  <c:v>0.76455399999999996</c:v>
                </c:pt>
                <c:pt idx="274">
                  <c:v>0.76461800000000002</c:v>
                </c:pt>
                <c:pt idx="275">
                  <c:v>0.76449100000000003</c:v>
                </c:pt>
                <c:pt idx="276">
                  <c:v>0.76429999999999998</c:v>
                </c:pt>
                <c:pt idx="277">
                  <c:v>0.76417199999999996</c:v>
                </c:pt>
                <c:pt idx="278">
                  <c:v>0.76417199999999996</c:v>
                </c:pt>
                <c:pt idx="279">
                  <c:v>0.76417199999999996</c:v>
                </c:pt>
                <c:pt idx="280">
                  <c:v>0.76410900000000004</c:v>
                </c:pt>
                <c:pt idx="281">
                  <c:v>0.76417199999999996</c:v>
                </c:pt>
                <c:pt idx="282">
                  <c:v>0.76410900000000004</c:v>
                </c:pt>
                <c:pt idx="283">
                  <c:v>0.76391799999999999</c:v>
                </c:pt>
                <c:pt idx="284">
                  <c:v>0.76372700000000004</c:v>
                </c:pt>
                <c:pt idx="285">
                  <c:v>0.76378999999999997</c:v>
                </c:pt>
                <c:pt idx="286">
                  <c:v>0.76353599999999999</c:v>
                </c:pt>
                <c:pt idx="287">
                  <c:v>0.763567</c:v>
                </c:pt>
                <c:pt idx="288">
                  <c:v>0.76363099999999995</c:v>
                </c:pt>
                <c:pt idx="289">
                  <c:v>0.76369500000000001</c:v>
                </c:pt>
                <c:pt idx="290">
                  <c:v>0.76375800000000005</c:v>
                </c:pt>
                <c:pt idx="291">
                  <c:v>0.763567</c:v>
                </c:pt>
                <c:pt idx="292">
                  <c:v>0.763567</c:v>
                </c:pt>
                <c:pt idx="293">
                  <c:v>0.763567</c:v>
                </c:pt>
                <c:pt idx="294">
                  <c:v>0.763567</c:v>
                </c:pt>
                <c:pt idx="295">
                  <c:v>0.76363099999999995</c:v>
                </c:pt>
                <c:pt idx="296">
                  <c:v>0.76337699999999997</c:v>
                </c:pt>
                <c:pt idx="297">
                  <c:v>0.76334500000000005</c:v>
                </c:pt>
                <c:pt idx="298">
                  <c:v>0.76321700000000003</c:v>
                </c:pt>
                <c:pt idx="299">
                  <c:v>0.763154</c:v>
                </c:pt>
                <c:pt idx="300">
                  <c:v>0.76296299999999995</c:v>
                </c:pt>
                <c:pt idx="301">
                  <c:v>0.76289899999999999</c:v>
                </c:pt>
                <c:pt idx="302">
                  <c:v>0.76296299999999995</c:v>
                </c:pt>
                <c:pt idx="303">
                  <c:v>0.763154</c:v>
                </c:pt>
                <c:pt idx="304">
                  <c:v>0.763154</c:v>
                </c:pt>
                <c:pt idx="305">
                  <c:v>0.763154</c:v>
                </c:pt>
                <c:pt idx="306">
                  <c:v>0.76334500000000005</c:v>
                </c:pt>
                <c:pt idx="307">
                  <c:v>0.76302599999999998</c:v>
                </c:pt>
                <c:pt idx="308">
                  <c:v>0.76302599999999998</c:v>
                </c:pt>
                <c:pt idx="309">
                  <c:v>0.76296299999999995</c:v>
                </c:pt>
                <c:pt idx="310">
                  <c:v>0.76270800000000005</c:v>
                </c:pt>
                <c:pt idx="311">
                  <c:v>0.76270800000000005</c:v>
                </c:pt>
                <c:pt idx="312">
                  <c:v>0.76277200000000001</c:v>
                </c:pt>
                <c:pt idx="313">
                  <c:v>0.76264399999999999</c:v>
                </c:pt>
                <c:pt idx="314">
                  <c:v>0.76270800000000005</c:v>
                </c:pt>
                <c:pt idx="315">
                  <c:v>0.762517</c:v>
                </c:pt>
                <c:pt idx="316">
                  <c:v>0.76258099999999995</c:v>
                </c:pt>
                <c:pt idx="317">
                  <c:v>0.76264399999999999</c:v>
                </c:pt>
                <c:pt idx="318">
                  <c:v>0.76258099999999995</c:v>
                </c:pt>
                <c:pt idx="319">
                  <c:v>0.762517</c:v>
                </c:pt>
                <c:pt idx="320">
                  <c:v>0.76248499999999997</c:v>
                </c:pt>
                <c:pt idx="321">
                  <c:v>0.76245300000000005</c:v>
                </c:pt>
                <c:pt idx="322">
                  <c:v>0.76245300000000005</c:v>
                </c:pt>
                <c:pt idx="323">
                  <c:v>0.76239000000000001</c:v>
                </c:pt>
                <c:pt idx="324">
                  <c:v>0.76232599999999995</c:v>
                </c:pt>
                <c:pt idx="325">
                  <c:v>0.762262</c:v>
                </c:pt>
                <c:pt idx="326">
                  <c:v>0.76232599999999995</c:v>
                </c:pt>
                <c:pt idx="327">
                  <c:v>0.762262</c:v>
                </c:pt>
                <c:pt idx="328">
                  <c:v>0.762262</c:v>
                </c:pt>
                <c:pt idx="329">
                  <c:v>0.76232599999999995</c:v>
                </c:pt>
                <c:pt idx="330">
                  <c:v>0.76207100000000005</c:v>
                </c:pt>
                <c:pt idx="331">
                  <c:v>0.76181699999999997</c:v>
                </c:pt>
                <c:pt idx="332">
                  <c:v>0.76181699999999997</c:v>
                </c:pt>
                <c:pt idx="333">
                  <c:v>0.76149900000000004</c:v>
                </c:pt>
                <c:pt idx="334">
                  <c:v>0.76149900000000004</c:v>
                </c:pt>
                <c:pt idx="335">
                  <c:v>0.76143499999999997</c:v>
                </c:pt>
                <c:pt idx="336">
                  <c:v>0.76149900000000004</c:v>
                </c:pt>
                <c:pt idx="337">
                  <c:v>0.76162600000000003</c:v>
                </c:pt>
                <c:pt idx="338">
                  <c:v>0.76156199999999996</c:v>
                </c:pt>
                <c:pt idx="339">
                  <c:v>0.76149900000000004</c:v>
                </c:pt>
                <c:pt idx="340">
                  <c:v>0.76175300000000001</c:v>
                </c:pt>
                <c:pt idx="341">
                  <c:v>0.76194399999999995</c:v>
                </c:pt>
                <c:pt idx="342">
                  <c:v>0.76188100000000003</c:v>
                </c:pt>
                <c:pt idx="343">
                  <c:v>0.76175300000000001</c:v>
                </c:pt>
                <c:pt idx="344">
                  <c:v>0.76165799999999995</c:v>
                </c:pt>
                <c:pt idx="345">
                  <c:v>0.76153000000000004</c:v>
                </c:pt>
                <c:pt idx="346">
                  <c:v>0.76153000000000004</c:v>
                </c:pt>
                <c:pt idx="347">
                  <c:v>0.76127599999999995</c:v>
                </c:pt>
                <c:pt idx="348">
                  <c:v>0.76127599999999995</c:v>
                </c:pt>
                <c:pt idx="349">
                  <c:v>0.76127599999999995</c:v>
                </c:pt>
                <c:pt idx="350">
                  <c:v>0.76133899999999999</c:v>
                </c:pt>
                <c:pt idx="351">
                  <c:v>0.76140300000000005</c:v>
                </c:pt>
                <c:pt idx="352">
                  <c:v>0.761467</c:v>
                </c:pt>
                <c:pt idx="353">
                  <c:v>0.76140300000000005</c:v>
                </c:pt>
                <c:pt idx="354">
                  <c:v>0.76095699999999999</c:v>
                </c:pt>
                <c:pt idx="355">
                  <c:v>0.76098900000000003</c:v>
                </c:pt>
                <c:pt idx="356">
                  <c:v>0.76092599999999999</c:v>
                </c:pt>
                <c:pt idx="357">
                  <c:v>0.76079799999999997</c:v>
                </c:pt>
                <c:pt idx="358">
                  <c:v>0.76086200000000004</c:v>
                </c:pt>
                <c:pt idx="359">
                  <c:v>0.76086200000000004</c:v>
                </c:pt>
                <c:pt idx="360">
                  <c:v>0.76076600000000005</c:v>
                </c:pt>
                <c:pt idx="361">
                  <c:v>0.76083000000000001</c:v>
                </c:pt>
                <c:pt idx="362">
                  <c:v>0.760575</c:v>
                </c:pt>
                <c:pt idx="363">
                  <c:v>0.76063899999999995</c:v>
                </c:pt>
                <c:pt idx="364">
                  <c:v>0.76038499999999998</c:v>
                </c:pt>
                <c:pt idx="365">
                  <c:v>0.75993900000000003</c:v>
                </c:pt>
                <c:pt idx="366">
                  <c:v>0.75952500000000001</c:v>
                </c:pt>
                <c:pt idx="367">
                  <c:v>0.75917500000000004</c:v>
                </c:pt>
                <c:pt idx="368">
                  <c:v>0.758857</c:v>
                </c:pt>
                <c:pt idx="369">
                  <c:v>0.75841099999999995</c:v>
                </c:pt>
                <c:pt idx="370">
                  <c:v>0.75790199999999996</c:v>
                </c:pt>
                <c:pt idx="371">
                  <c:v>0.75736099999999995</c:v>
                </c:pt>
                <c:pt idx="372">
                  <c:v>0.75723300000000004</c:v>
                </c:pt>
                <c:pt idx="373">
                  <c:v>0.75685100000000005</c:v>
                </c:pt>
                <c:pt idx="374">
                  <c:v>0.75666</c:v>
                </c:pt>
                <c:pt idx="375">
                  <c:v>0.75659699999999996</c:v>
                </c:pt>
                <c:pt idx="376">
                  <c:v>0.75583299999999998</c:v>
                </c:pt>
                <c:pt idx="377">
                  <c:v>0.75516399999999995</c:v>
                </c:pt>
                <c:pt idx="378">
                  <c:v>0.75452799999999998</c:v>
                </c:pt>
                <c:pt idx="379">
                  <c:v>0.75414599999999998</c:v>
                </c:pt>
                <c:pt idx="380">
                  <c:v>0.753382</c:v>
                </c:pt>
                <c:pt idx="381">
                  <c:v>0.75277700000000003</c:v>
                </c:pt>
                <c:pt idx="382">
                  <c:v>0.75214099999999995</c:v>
                </c:pt>
                <c:pt idx="383">
                  <c:v>0.751695</c:v>
                </c:pt>
                <c:pt idx="384">
                  <c:v>0.75137699999999996</c:v>
                </c:pt>
                <c:pt idx="385">
                  <c:v>0.75073999999999996</c:v>
                </c:pt>
                <c:pt idx="386">
                  <c:v>0.75023099999999998</c:v>
                </c:pt>
                <c:pt idx="387">
                  <c:v>0.74949900000000003</c:v>
                </c:pt>
                <c:pt idx="388">
                  <c:v>0.74905299999999997</c:v>
                </c:pt>
                <c:pt idx="389">
                  <c:v>0.74851199999999996</c:v>
                </c:pt>
                <c:pt idx="390">
                  <c:v>0.74768400000000002</c:v>
                </c:pt>
                <c:pt idx="391">
                  <c:v>0.74672899999999998</c:v>
                </c:pt>
                <c:pt idx="392">
                  <c:v>0.74571100000000001</c:v>
                </c:pt>
                <c:pt idx="393">
                  <c:v>0.74440600000000001</c:v>
                </c:pt>
                <c:pt idx="394">
                  <c:v>0.74357799999999996</c:v>
                </c:pt>
                <c:pt idx="395">
                  <c:v>0.74233700000000002</c:v>
                </c:pt>
                <c:pt idx="396">
                  <c:v>0.74093600000000004</c:v>
                </c:pt>
                <c:pt idx="397">
                  <c:v>0.74017299999999997</c:v>
                </c:pt>
                <c:pt idx="398">
                  <c:v>0.73705299999999996</c:v>
                </c:pt>
                <c:pt idx="399">
                  <c:v>0.73145099999999996</c:v>
                </c:pt>
                <c:pt idx="400">
                  <c:v>0.72330300000000003</c:v>
                </c:pt>
              </c:numCache>
            </c:numRef>
          </c:yVal>
          <c:smooth val="0"/>
          <c:extLst>
            <c:ext xmlns:c16="http://schemas.microsoft.com/office/drawing/2014/chart" uri="{C3380CC4-5D6E-409C-BE32-E72D297353CC}">
              <c16:uniqueId val="{00000000-3D67-4A8E-9759-637320F5C7D1}"/>
            </c:ext>
          </c:extLst>
        </c:ser>
        <c:dLbls>
          <c:showLegendKey val="0"/>
          <c:showVal val="0"/>
          <c:showCatName val="0"/>
          <c:showSerName val="0"/>
          <c:showPercent val="0"/>
          <c:showBubbleSize val="0"/>
        </c:dLbls>
        <c:axId val="-732413456"/>
        <c:axId val="-732412368"/>
      </c:scatterChart>
      <c:valAx>
        <c:axId val="-732413456"/>
        <c:scaling>
          <c:orientation val="minMax"/>
          <c:max val="1.6"/>
          <c:min val="1.4"/>
        </c:scaling>
        <c:delete val="0"/>
        <c:axPos val="b"/>
        <c:majorGridlines/>
        <c:title>
          <c:tx>
            <c:rich>
              <a:bodyPr/>
              <a:lstStyle/>
              <a:p>
                <a:pPr>
                  <a:defRPr/>
                </a:pPr>
                <a:r>
                  <a:rPr lang="en-US"/>
                  <a:t>Angular Radius (°)</a:t>
                </a:r>
              </a:p>
            </c:rich>
          </c:tx>
          <c:overlay val="0"/>
        </c:title>
        <c:numFmt formatCode="General" sourceLinked="1"/>
        <c:majorTickMark val="out"/>
        <c:minorTickMark val="none"/>
        <c:tickLblPos val="nextTo"/>
        <c:crossAx val="-732412368"/>
        <c:crosses val="autoZero"/>
        <c:crossBetween val="midCat"/>
      </c:valAx>
      <c:valAx>
        <c:axId val="-732412368"/>
        <c:scaling>
          <c:orientation val="minMax"/>
        </c:scaling>
        <c:delete val="0"/>
        <c:axPos val="l"/>
        <c:majorGridlines/>
        <c:title>
          <c:tx>
            <c:rich>
              <a:bodyPr rot="-5400000" vert="horz"/>
              <a:lstStyle/>
              <a:p>
                <a:pPr>
                  <a:defRPr/>
                </a:pPr>
                <a:r>
                  <a:rPr lang="en-US"/>
                  <a:t>Throughput</a:t>
                </a:r>
              </a:p>
            </c:rich>
          </c:tx>
          <c:overlay val="0"/>
        </c:title>
        <c:numFmt formatCode="General" sourceLinked="1"/>
        <c:majorTickMark val="out"/>
        <c:minorTickMark val="none"/>
        <c:tickLblPos val="nextTo"/>
        <c:crossAx val="-732413456"/>
        <c:crosses val="autoZero"/>
        <c:crossBetween val="midCat"/>
      </c:valAx>
    </c:plotArea>
    <c:plotVisOnly val="1"/>
    <c:dispBlanksAs val="gap"/>
    <c:showDLblsOverMax val="0"/>
  </c:chart>
  <c:spPr>
    <a:ln>
      <a:noFill/>
    </a:ln>
  </c:spPr>
  <c:printSettings>
    <c:headerFooter/>
    <c:pageMargins b="0.75000000000000111" l="0.70000000000000095" r="0.70000000000000095" t="0.750000000000001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Aberations</c:v>
          </c:tx>
          <c:spPr>
            <a:ln w="28575">
              <a:solidFill>
                <a:srgbClr val="FF0000"/>
              </a:solidFill>
            </a:ln>
          </c:spPr>
          <c:marker>
            <c:symbol val="none"/>
          </c:marker>
          <c:xVal>
            <c:numRef>
              <c:f>Jacoby_seeing!$E$40:$E$140</c:f>
              <c:numCache>
                <c:formatCode>General</c:formatCode>
                <c:ptCount val="101"/>
                <c:pt idx="0">
                  <c:v>0</c:v>
                </c:pt>
                <c:pt idx="1">
                  <c:v>4.3E-3</c:v>
                </c:pt>
                <c:pt idx="2">
                  <c:v>8.6E-3</c:v>
                </c:pt>
                <c:pt idx="3">
                  <c:v>1.29E-2</c:v>
                </c:pt>
                <c:pt idx="4">
                  <c:v>1.72E-2</c:v>
                </c:pt>
                <c:pt idx="5">
                  <c:v>2.1499999999999998E-2</c:v>
                </c:pt>
                <c:pt idx="6">
                  <c:v>2.5799999999999997E-2</c:v>
                </c:pt>
                <c:pt idx="7">
                  <c:v>3.0099999999999995E-2</c:v>
                </c:pt>
                <c:pt idx="8">
                  <c:v>3.4399999999999993E-2</c:v>
                </c:pt>
                <c:pt idx="9">
                  <c:v>3.8699999999999991E-2</c:v>
                </c:pt>
                <c:pt idx="10">
                  <c:v>4.299999999999999E-2</c:v>
                </c:pt>
                <c:pt idx="11">
                  <c:v>4.7299999999999988E-2</c:v>
                </c:pt>
                <c:pt idx="12">
                  <c:v>5.1599999999999986E-2</c:v>
                </c:pt>
                <c:pt idx="13">
                  <c:v>5.5899999999999984E-2</c:v>
                </c:pt>
                <c:pt idx="14">
                  <c:v>6.0199999999999983E-2</c:v>
                </c:pt>
                <c:pt idx="15">
                  <c:v>6.4499999999999988E-2</c:v>
                </c:pt>
                <c:pt idx="16">
                  <c:v>6.8799999999999986E-2</c:v>
                </c:pt>
                <c:pt idx="17">
                  <c:v>7.3099999999999984E-2</c:v>
                </c:pt>
                <c:pt idx="18">
                  <c:v>7.7399999999999983E-2</c:v>
                </c:pt>
                <c:pt idx="19">
                  <c:v>8.1699999999999981E-2</c:v>
                </c:pt>
                <c:pt idx="20">
                  <c:v>8.5999999999999979E-2</c:v>
                </c:pt>
                <c:pt idx="21">
                  <c:v>9.0299999999999978E-2</c:v>
                </c:pt>
                <c:pt idx="22">
                  <c:v>9.4599999999999976E-2</c:v>
                </c:pt>
                <c:pt idx="23">
                  <c:v>9.8899999999999974E-2</c:v>
                </c:pt>
                <c:pt idx="24">
                  <c:v>0.10319999999999997</c:v>
                </c:pt>
                <c:pt idx="25">
                  <c:v>0.10749999999999997</c:v>
                </c:pt>
                <c:pt idx="26">
                  <c:v>0.11179999999999997</c:v>
                </c:pt>
                <c:pt idx="27">
                  <c:v>0.11609999999999997</c:v>
                </c:pt>
                <c:pt idx="28">
                  <c:v>0.12039999999999997</c:v>
                </c:pt>
                <c:pt idx="29">
                  <c:v>0.12469999999999996</c:v>
                </c:pt>
                <c:pt idx="30">
                  <c:v>0.12899999999999998</c:v>
                </c:pt>
                <c:pt idx="31">
                  <c:v>0.13329999999999997</c:v>
                </c:pt>
                <c:pt idx="32">
                  <c:v>0.13759999999999997</c:v>
                </c:pt>
                <c:pt idx="33">
                  <c:v>0.14189999999999997</c:v>
                </c:pt>
                <c:pt idx="34">
                  <c:v>0.14619999999999997</c:v>
                </c:pt>
                <c:pt idx="35">
                  <c:v>0.15049999999999997</c:v>
                </c:pt>
                <c:pt idx="36">
                  <c:v>0.15479999999999997</c:v>
                </c:pt>
                <c:pt idx="37">
                  <c:v>0.15909999999999996</c:v>
                </c:pt>
                <c:pt idx="38">
                  <c:v>0.16339999999999996</c:v>
                </c:pt>
                <c:pt idx="39">
                  <c:v>0.16769999999999996</c:v>
                </c:pt>
                <c:pt idx="40">
                  <c:v>0.17199999999999996</c:v>
                </c:pt>
                <c:pt idx="41">
                  <c:v>0.17629999999999996</c:v>
                </c:pt>
                <c:pt idx="42">
                  <c:v>0.18059999999999996</c:v>
                </c:pt>
                <c:pt idx="43">
                  <c:v>0.18489999999999995</c:v>
                </c:pt>
                <c:pt idx="44">
                  <c:v>0.18919999999999995</c:v>
                </c:pt>
                <c:pt idx="45">
                  <c:v>0.19349999999999995</c:v>
                </c:pt>
                <c:pt idx="46">
                  <c:v>0.19779999999999995</c:v>
                </c:pt>
                <c:pt idx="47">
                  <c:v>0.20209999999999995</c:v>
                </c:pt>
                <c:pt idx="48">
                  <c:v>0.20639999999999994</c:v>
                </c:pt>
                <c:pt idx="49">
                  <c:v>0.21069999999999994</c:v>
                </c:pt>
                <c:pt idx="50">
                  <c:v>0.21499999999999994</c:v>
                </c:pt>
                <c:pt idx="51">
                  <c:v>0.21929999999999994</c:v>
                </c:pt>
                <c:pt idx="52">
                  <c:v>0.22359999999999994</c:v>
                </c:pt>
                <c:pt idx="53">
                  <c:v>0.22789999999999994</c:v>
                </c:pt>
                <c:pt idx="54">
                  <c:v>0.23219999999999993</c:v>
                </c:pt>
                <c:pt idx="55">
                  <c:v>0.23649999999999993</c:v>
                </c:pt>
                <c:pt idx="56">
                  <c:v>0.24079999999999993</c:v>
                </c:pt>
                <c:pt idx="57">
                  <c:v>0.24509999999999993</c:v>
                </c:pt>
                <c:pt idx="58">
                  <c:v>0.24939999999999993</c:v>
                </c:pt>
                <c:pt idx="59">
                  <c:v>0.25369999999999993</c:v>
                </c:pt>
                <c:pt idx="60">
                  <c:v>0.25799999999999995</c:v>
                </c:pt>
                <c:pt idx="61">
                  <c:v>0.26229999999999998</c:v>
                </c:pt>
                <c:pt idx="62">
                  <c:v>0.2666</c:v>
                </c:pt>
                <c:pt idx="63">
                  <c:v>0.27090000000000003</c:v>
                </c:pt>
                <c:pt idx="64">
                  <c:v>0.27520000000000006</c:v>
                </c:pt>
                <c:pt idx="65">
                  <c:v>0.27950000000000008</c:v>
                </c:pt>
                <c:pt idx="66">
                  <c:v>0.28380000000000011</c:v>
                </c:pt>
                <c:pt idx="67">
                  <c:v>0.28810000000000013</c:v>
                </c:pt>
                <c:pt idx="68">
                  <c:v>0.29240000000000016</c:v>
                </c:pt>
                <c:pt idx="69">
                  <c:v>0.29670000000000019</c:v>
                </c:pt>
                <c:pt idx="70">
                  <c:v>0.30100000000000021</c:v>
                </c:pt>
                <c:pt idx="71">
                  <c:v>0.30530000000000024</c:v>
                </c:pt>
                <c:pt idx="72">
                  <c:v>0.30960000000000026</c:v>
                </c:pt>
                <c:pt idx="73">
                  <c:v>0.31390000000000029</c:v>
                </c:pt>
                <c:pt idx="74">
                  <c:v>0.31820000000000032</c:v>
                </c:pt>
                <c:pt idx="75">
                  <c:v>0.32250000000000034</c:v>
                </c:pt>
                <c:pt idx="76">
                  <c:v>0.32680000000000037</c:v>
                </c:pt>
                <c:pt idx="77">
                  <c:v>0.33110000000000039</c:v>
                </c:pt>
                <c:pt idx="78">
                  <c:v>0.33540000000000042</c:v>
                </c:pt>
                <c:pt idx="79">
                  <c:v>0.33970000000000045</c:v>
                </c:pt>
                <c:pt idx="80">
                  <c:v>0.34400000000000047</c:v>
                </c:pt>
                <c:pt idx="81">
                  <c:v>0.3483000000000005</c:v>
                </c:pt>
                <c:pt idx="82">
                  <c:v>0.35260000000000052</c:v>
                </c:pt>
                <c:pt idx="83">
                  <c:v>0.35690000000000055</c:v>
                </c:pt>
                <c:pt idx="84">
                  <c:v>0.36120000000000058</c:v>
                </c:pt>
                <c:pt idx="85">
                  <c:v>0.3655000000000006</c:v>
                </c:pt>
                <c:pt idx="86">
                  <c:v>0.36980000000000063</c:v>
                </c:pt>
                <c:pt idx="87">
                  <c:v>0.37410000000000065</c:v>
                </c:pt>
                <c:pt idx="88">
                  <c:v>0.37840000000000068</c:v>
                </c:pt>
                <c:pt idx="89">
                  <c:v>0.38270000000000071</c:v>
                </c:pt>
                <c:pt idx="90">
                  <c:v>0.38700000000000073</c:v>
                </c:pt>
                <c:pt idx="91">
                  <c:v>0.39130000000000076</c:v>
                </c:pt>
                <c:pt idx="92">
                  <c:v>0.39560000000000078</c:v>
                </c:pt>
                <c:pt idx="93">
                  <c:v>0.39990000000000081</c:v>
                </c:pt>
                <c:pt idx="94">
                  <c:v>0.40420000000000084</c:v>
                </c:pt>
                <c:pt idx="95">
                  <c:v>0.40850000000000086</c:v>
                </c:pt>
                <c:pt idx="96">
                  <c:v>0.41280000000000089</c:v>
                </c:pt>
                <c:pt idx="97">
                  <c:v>0.41710000000000091</c:v>
                </c:pt>
                <c:pt idx="98">
                  <c:v>0.42140000000000094</c:v>
                </c:pt>
                <c:pt idx="99">
                  <c:v>0.42570000000000097</c:v>
                </c:pt>
                <c:pt idx="100">
                  <c:v>0.43000000000000099</c:v>
                </c:pt>
              </c:numCache>
            </c:numRef>
          </c:xVal>
          <c:yVal>
            <c:numRef>
              <c:f>Jacoby_seeing!$F$40:$F$140</c:f>
              <c:numCache>
                <c:formatCode>General</c:formatCode>
                <c:ptCount val="101"/>
                <c:pt idx="0">
                  <c:v>1.18E-2</c:v>
                </c:pt>
                <c:pt idx="1">
                  <c:v>1.1784248370343661E-2</c:v>
                </c:pt>
                <c:pt idx="2">
                  <c:v>1.1766939041393039E-2</c:v>
                </c:pt>
                <c:pt idx="3">
                  <c:v>1.1746514313853864E-2</c:v>
                </c:pt>
                <c:pt idx="4">
                  <c:v>1.1721416488431847E-2</c:v>
                </c:pt>
                <c:pt idx="5">
                  <c:v>1.1690087865832715E-2</c:v>
                </c:pt>
                <c:pt idx="6">
                  <c:v>1.1650970746762187E-2</c:v>
                </c:pt>
                <c:pt idx="7">
                  <c:v>1.1602507431925983E-2</c:v>
                </c:pt>
                <c:pt idx="8">
                  <c:v>1.1543581138584188E-2</c:v>
                </c:pt>
                <c:pt idx="9">
                  <c:v>1.1475103193949778E-2</c:v>
                </c:pt>
                <c:pt idx="10">
                  <c:v>1.1398567685376858E-2</c:v>
                </c:pt>
                <c:pt idx="11">
                  <c:v>1.1315468751398891E-2</c:v>
                </c:pt>
                <c:pt idx="12">
                  <c:v>1.1227300530549334E-2</c:v>
                </c:pt>
                <c:pt idx="13">
                  <c:v>1.1135557161361651E-2</c:v>
                </c:pt>
                <c:pt idx="14">
                  <c:v>1.1041732782369298E-2</c:v>
                </c:pt>
                <c:pt idx="15">
                  <c:v>1.0947256394958969E-2</c:v>
                </c:pt>
                <c:pt idx="16">
                  <c:v>1.0852400387380296E-2</c:v>
                </c:pt>
                <c:pt idx="17">
                  <c:v>1.075644344829112E-2</c:v>
                </c:pt>
                <c:pt idx="18">
                  <c:v>1.0658631947505989E-2</c:v>
                </c:pt>
                <c:pt idx="19">
                  <c:v>1.0558212254839444E-2</c:v>
                </c:pt>
                <c:pt idx="20">
                  <c:v>1.0454430740106031E-2</c:v>
                </c:pt>
                <c:pt idx="21">
                  <c:v>1.0346533773120298E-2</c:v>
                </c:pt>
                <c:pt idx="22">
                  <c:v>1.0233767723696786E-2</c:v>
                </c:pt>
                <c:pt idx="23">
                  <c:v>1.0115378961650044E-2</c:v>
                </c:pt>
                <c:pt idx="24">
                  <c:v>9.9906138567946133E-3</c:v>
                </c:pt>
                <c:pt idx="25">
                  <c:v>9.8587555695102674E-3</c:v>
                </c:pt>
                <c:pt idx="26">
                  <c:v>9.719809428099118E-3</c:v>
                </c:pt>
                <c:pt idx="27">
                  <c:v>9.5744400912138438E-3</c:v>
                </c:pt>
                <c:pt idx="28">
                  <c:v>9.4233364079009622E-3</c:v>
                </c:pt>
                <c:pt idx="29">
                  <c:v>9.2671872272069855E-3</c:v>
                </c:pt>
                <c:pt idx="30">
                  <c:v>9.1066813981784261E-3</c:v>
                </c:pt>
                <c:pt idx="31">
                  <c:v>8.9426041111669522E-3</c:v>
                </c:pt>
                <c:pt idx="32">
                  <c:v>8.7764742373311212E-3</c:v>
                </c:pt>
                <c:pt idx="33">
                  <c:v>8.610148156148972E-3</c:v>
                </c:pt>
                <c:pt idx="34">
                  <c:v>8.445484034011113E-3</c:v>
                </c:pt>
                <c:pt idx="35">
                  <c:v>8.284340037308149E-3</c:v>
                </c:pt>
                <c:pt idx="36">
                  <c:v>8.1285743324306849E-3</c:v>
                </c:pt>
                <c:pt idx="37">
                  <c:v>7.9800450857693273E-3</c:v>
                </c:pt>
                <c:pt idx="38">
                  <c:v>7.8406104637146826E-3</c:v>
                </c:pt>
                <c:pt idx="39">
                  <c:v>7.7121286326573566E-3</c:v>
                </c:pt>
                <c:pt idx="40">
                  <c:v>7.596416251047327E-3</c:v>
                </c:pt>
                <c:pt idx="41">
                  <c:v>7.4938405231794337E-3</c:v>
                </c:pt>
                <c:pt idx="42">
                  <c:v>7.4029755843330255E-3</c:v>
                </c:pt>
                <c:pt idx="43">
                  <c:v>7.3222843623847915E-3</c:v>
                </c:pt>
                <c:pt idx="44">
                  <c:v>7.2502297852114197E-3</c:v>
                </c:pt>
                <c:pt idx="45">
                  <c:v>7.1852747806895991E-3</c:v>
                </c:pt>
                <c:pt idx="46">
                  <c:v>7.1258822766960168E-3</c:v>
                </c:pt>
                <c:pt idx="47">
                  <c:v>7.0705152011073637E-3</c:v>
                </c:pt>
                <c:pt idx="48">
                  <c:v>7.0176364818003252E-3</c:v>
                </c:pt>
                <c:pt idx="49">
                  <c:v>6.9660763361661191E-3</c:v>
                </c:pt>
                <c:pt idx="50">
                  <c:v>6.9188168033532758E-3</c:v>
                </c:pt>
                <c:pt idx="51">
                  <c:v>6.8814635674876749E-3</c:v>
                </c:pt>
                <c:pt idx="52">
                  <c:v>6.8596636363422395E-3</c:v>
                </c:pt>
                <c:pt idx="53">
                  <c:v>6.8590634832891599E-3</c:v>
                </c:pt>
                <c:pt idx="54">
                  <c:v>6.8833851848487098E-3</c:v>
                </c:pt>
                <c:pt idx="55">
                  <c:v>6.9301005654669274E-3</c:v>
                </c:pt>
                <c:pt idx="56">
                  <c:v>6.9954147219134294E-3</c:v>
                </c:pt>
                <c:pt idx="57">
                  <c:v>7.07553275095784E-3</c:v>
                </c:pt>
                <c:pt idx="58">
                  <c:v>7.1666597493697812E-3</c:v>
                </c:pt>
                <c:pt idx="59">
                  <c:v>7.2650008139188739E-3</c:v>
                </c:pt>
                <c:pt idx="60">
                  <c:v>7.3671705626741201E-3</c:v>
                </c:pt>
                <c:pt idx="61">
                  <c:v>7.4731478943671596E-3</c:v>
                </c:pt>
                <c:pt idx="62">
                  <c:v>7.5845626584848521E-3</c:v>
                </c:pt>
                <c:pt idx="63">
                  <c:v>7.7030561000478873E-3</c:v>
                </c:pt>
                <c:pt idx="64">
                  <c:v>7.83026946407696E-3</c:v>
                </c:pt>
                <c:pt idx="65">
                  <c:v>7.9678439955927615E-3</c:v>
                </c:pt>
                <c:pt idx="66">
                  <c:v>8.1170152243869621E-3</c:v>
                </c:pt>
                <c:pt idx="67">
                  <c:v>8.2754181185524748E-3</c:v>
                </c:pt>
                <c:pt idx="68">
                  <c:v>8.4388039329576347E-3</c:v>
                </c:pt>
                <c:pt idx="69">
                  <c:v>8.602907442765876E-3</c:v>
                </c:pt>
                <c:pt idx="70">
                  <c:v>8.763463423140638E-3</c:v>
                </c:pt>
                <c:pt idx="71">
                  <c:v>8.9171561371556261E-3</c:v>
                </c:pt>
                <c:pt idx="72">
                  <c:v>9.0673810831074075E-3</c:v>
                </c:pt>
                <c:pt idx="73">
                  <c:v>9.2204260268037783E-3</c:v>
                </c:pt>
                <c:pt idx="74">
                  <c:v>9.3825900725437311E-3</c:v>
                </c:pt>
                <c:pt idx="75">
                  <c:v>9.5601252360315477E-3</c:v>
                </c:pt>
                <c:pt idx="76">
                  <c:v>9.7549381113403565E-3</c:v>
                </c:pt>
                <c:pt idx="77">
                  <c:v>9.9611400590922192E-3</c:v>
                </c:pt>
                <c:pt idx="78">
                  <c:v>1.0172030624906259E-2</c:v>
                </c:pt>
                <c:pt idx="79">
                  <c:v>1.0380909354401604E-2</c:v>
                </c:pt>
                <c:pt idx="80">
                  <c:v>1.0582336450190084E-2</c:v>
                </c:pt>
                <c:pt idx="81">
                  <c:v>1.0777547248924131E-2</c:v>
                </c:pt>
                <c:pt idx="82">
                  <c:v>1.0969978109909349E-2</c:v>
                </c:pt>
                <c:pt idx="83">
                  <c:v>1.1163066752589703E-2</c:v>
                </c:pt>
                <c:pt idx="84">
                  <c:v>1.1360243483318258E-2</c:v>
                </c:pt>
                <c:pt idx="85">
                  <c:v>1.1564375699422346E-2</c:v>
                </c:pt>
                <c:pt idx="86">
                  <c:v>1.1777382594056827E-2</c:v>
                </c:pt>
                <c:pt idx="87">
                  <c:v>1.2001092257302171E-2</c:v>
                </c:pt>
                <c:pt idx="88">
                  <c:v>1.2237332779238851E-2</c:v>
                </c:pt>
                <c:pt idx="89">
                  <c:v>1.2488374656381931E-2</c:v>
                </c:pt>
                <c:pt idx="90">
                  <c:v>1.2760414566838256E-2</c:v>
                </c:pt>
                <c:pt idx="91">
                  <c:v>1.3061703257164365E-2</c:v>
                </c:pt>
                <c:pt idx="92">
                  <c:v>1.340050944397796E-2</c:v>
                </c:pt>
                <c:pt idx="93">
                  <c:v>1.3784797852085638E-2</c:v>
                </c:pt>
                <c:pt idx="94">
                  <c:v>1.421424764348952E-2</c:v>
                </c:pt>
                <c:pt idx="95">
                  <c:v>1.4679462760658919E-2</c:v>
                </c:pt>
                <c:pt idx="96">
                  <c:v>1.5170584812517447E-2</c:v>
                </c:pt>
                <c:pt idx="97">
                  <c:v>1.5677755407988703E-2</c:v>
                </c:pt>
                <c:pt idx="98">
                  <c:v>1.6191116155996305E-2</c:v>
                </c:pt>
                <c:pt idx="99">
                  <c:v>1.6700808665463845E-2</c:v>
                </c:pt>
                <c:pt idx="100">
                  <c:v>1.7196974545314939E-2</c:v>
                </c:pt>
              </c:numCache>
            </c:numRef>
          </c:yVal>
          <c:smooth val="0"/>
          <c:extLst>
            <c:ext xmlns:c16="http://schemas.microsoft.com/office/drawing/2014/chart" uri="{C3380CC4-5D6E-409C-BE32-E72D297353CC}">
              <c16:uniqueId val="{00000000-6CA3-4012-B262-9A81B1AAE384}"/>
            </c:ext>
          </c:extLst>
        </c:ser>
        <c:ser>
          <c:idx val="2"/>
          <c:order val="1"/>
          <c:tx>
            <c:v>Total</c:v>
          </c:tx>
          <c:spPr>
            <a:ln w="28575">
              <a:solidFill>
                <a:srgbClr val="0000FF"/>
              </a:solidFill>
            </a:ln>
          </c:spPr>
          <c:marker>
            <c:symbol val="none"/>
          </c:marker>
          <c:xVal>
            <c:numRef>
              <c:f>Jacoby_seeing!$E$40:$E$140</c:f>
              <c:numCache>
                <c:formatCode>General</c:formatCode>
                <c:ptCount val="101"/>
                <c:pt idx="0">
                  <c:v>0</c:v>
                </c:pt>
                <c:pt idx="1">
                  <c:v>4.3E-3</c:v>
                </c:pt>
                <c:pt idx="2">
                  <c:v>8.6E-3</c:v>
                </c:pt>
                <c:pt idx="3">
                  <c:v>1.29E-2</c:v>
                </c:pt>
                <c:pt idx="4">
                  <c:v>1.72E-2</c:v>
                </c:pt>
                <c:pt idx="5">
                  <c:v>2.1499999999999998E-2</c:v>
                </c:pt>
                <c:pt idx="6">
                  <c:v>2.5799999999999997E-2</c:v>
                </c:pt>
                <c:pt idx="7">
                  <c:v>3.0099999999999995E-2</c:v>
                </c:pt>
                <c:pt idx="8">
                  <c:v>3.4399999999999993E-2</c:v>
                </c:pt>
                <c:pt idx="9">
                  <c:v>3.8699999999999991E-2</c:v>
                </c:pt>
                <c:pt idx="10">
                  <c:v>4.299999999999999E-2</c:v>
                </c:pt>
                <c:pt idx="11">
                  <c:v>4.7299999999999988E-2</c:v>
                </c:pt>
                <c:pt idx="12">
                  <c:v>5.1599999999999986E-2</c:v>
                </c:pt>
                <c:pt idx="13">
                  <c:v>5.5899999999999984E-2</c:v>
                </c:pt>
                <c:pt idx="14">
                  <c:v>6.0199999999999983E-2</c:v>
                </c:pt>
                <c:pt idx="15">
                  <c:v>6.4499999999999988E-2</c:v>
                </c:pt>
                <c:pt idx="16">
                  <c:v>6.8799999999999986E-2</c:v>
                </c:pt>
                <c:pt idx="17">
                  <c:v>7.3099999999999984E-2</c:v>
                </c:pt>
                <c:pt idx="18">
                  <c:v>7.7399999999999983E-2</c:v>
                </c:pt>
                <c:pt idx="19">
                  <c:v>8.1699999999999981E-2</c:v>
                </c:pt>
                <c:pt idx="20">
                  <c:v>8.5999999999999979E-2</c:v>
                </c:pt>
                <c:pt idx="21">
                  <c:v>9.0299999999999978E-2</c:v>
                </c:pt>
                <c:pt idx="22">
                  <c:v>9.4599999999999976E-2</c:v>
                </c:pt>
                <c:pt idx="23">
                  <c:v>9.8899999999999974E-2</c:v>
                </c:pt>
                <c:pt idx="24">
                  <c:v>0.10319999999999997</c:v>
                </c:pt>
                <c:pt idx="25">
                  <c:v>0.10749999999999997</c:v>
                </c:pt>
                <c:pt idx="26">
                  <c:v>0.11179999999999997</c:v>
                </c:pt>
                <c:pt idx="27">
                  <c:v>0.11609999999999997</c:v>
                </c:pt>
                <c:pt idx="28">
                  <c:v>0.12039999999999997</c:v>
                </c:pt>
                <c:pt idx="29">
                  <c:v>0.12469999999999996</c:v>
                </c:pt>
                <c:pt idx="30">
                  <c:v>0.12899999999999998</c:v>
                </c:pt>
                <c:pt idx="31">
                  <c:v>0.13329999999999997</c:v>
                </c:pt>
                <c:pt idx="32">
                  <c:v>0.13759999999999997</c:v>
                </c:pt>
                <c:pt idx="33">
                  <c:v>0.14189999999999997</c:v>
                </c:pt>
                <c:pt idx="34">
                  <c:v>0.14619999999999997</c:v>
                </c:pt>
                <c:pt idx="35">
                  <c:v>0.15049999999999997</c:v>
                </c:pt>
                <c:pt idx="36">
                  <c:v>0.15479999999999997</c:v>
                </c:pt>
                <c:pt idx="37">
                  <c:v>0.15909999999999996</c:v>
                </c:pt>
                <c:pt idx="38">
                  <c:v>0.16339999999999996</c:v>
                </c:pt>
                <c:pt idx="39">
                  <c:v>0.16769999999999996</c:v>
                </c:pt>
                <c:pt idx="40">
                  <c:v>0.17199999999999996</c:v>
                </c:pt>
                <c:pt idx="41">
                  <c:v>0.17629999999999996</c:v>
                </c:pt>
                <c:pt idx="42">
                  <c:v>0.18059999999999996</c:v>
                </c:pt>
                <c:pt idx="43">
                  <c:v>0.18489999999999995</c:v>
                </c:pt>
                <c:pt idx="44">
                  <c:v>0.18919999999999995</c:v>
                </c:pt>
                <c:pt idx="45">
                  <c:v>0.19349999999999995</c:v>
                </c:pt>
                <c:pt idx="46">
                  <c:v>0.19779999999999995</c:v>
                </c:pt>
                <c:pt idx="47">
                  <c:v>0.20209999999999995</c:v>
                </c:pt>
                <c:pt idx="48">
                  <c:v>0.20639999999999994</c:v>
                </c:pt>
                <c:pt idx="49">
                  <c:v>0.21069999999999994</c:v>
                </c:pt>
                <c:pt idx="50">
                  <c:v>0.21499999999999994</c:v>
                </c:pt>
                <c:pt idx="51">
                  <c:v>0.21929999999999994</c:v>
                </c:pt>
                <c:pt idx="52">
                  <c:v>0.22359999999999994</c:v>
                </c:pt>
                <c:pt idx="53">
                  <c:v>0.22789999999999994</c:v>
                </c:pt>
                <c:pt idx="54">
                  <c:v>0.23219999999999993</c:v>
                </c:pt>
                <c:pt idx="55">
                  <c:v>0.23649999999999993</c:v>
                </c:pt>
                <c:pt idx="56">
                  <c:v>0.24079999999999993</c:v>
                </c:pt>
                <c:pt idx="57">
                  <c:v>0.24509999999999993</c:v>
                </c:pt>
                <c:pt idx="58">
                  <c:v>0.24939999999999993</c:v>
                </c:pt>
                <c:pt idx="59">
                  <c:v>0.25369999999999993</c:v>
                </c:pt>
                <c:pt idx="60">
                  <c:v>0.25799999999999995</c:v>
                </c:pt>
                <c:pt idx="61">
                  <c:v>0.26229999999999998</c:v>
                </c:pt>
                <c:pt idx="62">
                  <c:v>0.2666</c:v>
                </c:pt>
                <c:pt idx="63">
                  <c:v>0.27090000000000003</c:v>
                </c:pt>
                <c:pt idx="64">
                  <c:v>0.27520000000000006</c:v>
                </c:pt>
                <c:pt idx="65">
                  <c:v>0.27950000000000008</c:v>
                </c:pt>
                <c:pt idx="66">
                  <c:v>0.28380000000000011</c:v>
                </c:pt>
                <c:pt idx="67">
                  <c:v>0.28810000000000013</c:v>
                </c:pt>
                <c:pt idx="68">
                  <c:v>0.29240000000000016</c:v>
                </c:pt>
                <c:pt idx="69">
                  <c:v>0.29670000000000019</c:v>
                </c:pt>
                <c:pt idx="70">
                  <c:v>0.30100000000000021</c:v>
                </c:pt>
                <c:pt idx="71">
                  <c:v>0.30530000000000024</c:v>
                </c:pt>
                <c:pt idx="72">
                  <c:v>0.30960000000000026</c:v>
                </c:pt>
                <c:pt idx="73">
                  <c:v>0.31390000000000029</c:v>
                </c:pt>
                <c:pt idx="74">
                  <c:v>0.31820000000000032</c:v>
                </c:pt>
                <c:pt idx="75">
                  <c:v>0.32250000000000034</c:v>
                </c:pt>
                <c:pt idx="76">
                  <c:v>0.32680000000000037</c:v>
                </c:pt>
                <c:pt idx="77">
                  <c:v>0.33110000000000039</c:v>
                </c:pt>
                <c:pt idx="78">
                  <c:v>0.33540000000000042</c:v>
                </c:pt>
                <c:pt idx="79">
                  <c:v>0.33970000000000045</c:v>
                </c:pt>
                <c:pt idx="80">
                  <c:v>0.34400000000000047</c:v>
                </c:pt>
                <c:pt idx="81">
                  <c:v>0.3483000000000005</c:v>
                </c:pt>
                <c:pt idx="82">
                  <c:v>0.35260000000000052</c:v>
                </c:pt>
                <c:pt idx="83">
                  <c:v>0.35690000000000055</c:v>
                </c:pt>
                <c:pt idx="84">
                  <c:v>0.36120000000000058</c:v>
                </c:pt>
                <c:pt idx="85">
                  <c:v>0.3655000000000006</c:v>
                </c:pt>
                <c:pt idx="86">
                  <c:v>0.36980000000000063</c:v>
                </c:pt>
                <c:pt idx="87">
                  <c:v>0.37410000000000065</c:v>
                </c:pt>
                <c:pt idx="88">
                  <c:v>0.37840000000000068</c:v>
                </c:pt>
                <c:pt idx="89">
                  <c:v>0.38270000000000071</c:v>
                </c:pt>
                <c:pt idx="90">
                  <c:v>0.38700000000000073</c:v>
                </c:pt>
                <c:pt idx="91">
                  <c:v>0.39130000000000076</c:v>
                </c:pt>
                <c:pt idx="92">
                  <c:v>0.39560000000000078</c:v>
                </c:pt>
                <c:pt idx="93">
                  <c:v>0.39990000000000081</c:v>
                </c:pt>
                <c:pt idx="94">
                  <c:v>0.40420000000000084</c:v>
                </c:pt>
                <c:pt idx="95">
                  <c:v>0.40850000000000086</c:v>
                </c:pt>
                <c:pt idx="96">
                  <c:v>0.41280000000000089</c:v>
                </c:pt>
                <c:pt idx="97">
                  <c:v>0.41710000000000091</c:v>
                </c:pt>
                <c:pt idx="98">
                  <c:v>0.42140000000000094</c:v>
                </c:pt>
                <c:pt idx="99">
                  <c:v>0.42570000000000097</c:v>
                </c:pt>
                <c:pt idx="100">
                  <c:v>0.43000000000000099</c:v>
                </c:pt>
              </c:numCache>
            </c:numRef>
          </c:xVal>
          <c:yVal>
            <c:numRef>
              <c:f>Jacoby_seeing!$J$40:$J$140</c:f>
              <c:numCache>
                <c:formatCode>General</c:formatCode>
                <c:ptCount val="101"/>
                <c:pt idx="0">
                  <c:v>1.4798273547951464E-2</c:v>
                </c:pt>
                <c:pt idx="1">
                  <c:v>1.4785716406517043E-2</c:v>
                </c:pt>
                <c:pt idx="2">
                  <c:v>1.4771924532837951E-2</c:v>
                </c:pt>
                <c:pt idx="3">
                  <c:v>1.4755659881061698E-2</c:v>
                </c:pt>
                <c:pt idx="4">
                  <c:v>1.4735688124254055E-2</c:v>
                </c:pt>
                <c:pt idx="5">
                  <c:v>1.4710780207415557E-2</c:v>
                </c:pt>
                <c:pt idx="6">
                  <c:v>1.4679714552466892E-2</c:v>
                </c:pt>
                <c:pt idx="7">
                  <c:v>1.4641279954563319E-2</c:v>
                </c:pt>
                <c:pt idx="8">
                  <c:v>1.4594627967271952E-2</c:v>
                </c:pt>
                <c:pt idx="9">
                  <c:v>1.4540525895296787E-2</c:v>
                </c:pt>
                <c:pt idx="10">
                  <c:v>1.4480201838307281E-2</c:v>
                </c:pt>
                <c:pt idx="11">
                  <c:v>1.4414878877877705E-2</c:v>
                </c:pt>
                <c:pt idx="12">
                  <c:v>1.4345772102026205E-2</c:v>
                </c:pt>
                <c:pt idx="13">
                  <c:v>1.4274086075611031E-2</c:v>
                </c:pt>
                <c:pt idx="14">
                  <c:v>1.4201012739845312E-2</c:v>
                </c:pt>
                <c:pt idx="15">
                  <c:v>1.4127679306134113E-2</c:v>
                </c:pt>
                <c:pt idx="16">
                  <c:v>1.4054305182683776E-2</c:v>
                </c:pt>
                <c:pt idx="17">
                  <c:v>1.3980342472782452E-2</c:v>
                </c:pt>
                <c:pt idx="18">
                  <c:v>1.3905226894675085E-2</c:v>
                </c:pt>
                <c:pt idx="19">
                  <c:v>1.3828403596158228E-2</c:v>
                </c:pt>
                <c:pt idx="20">
                  <c:v>1.3749328059933473E-2</c:v>
                </c:pt>
                <c:pt idx="21">
                  <c:v>1.3667467253237484E-2</c:v>
                </c:pt>
                <c:pt idx="22">
                  <c:v>1.3582301050358812E-2</c:v>
                </c:pt>
                <c:pt idx="23">
                  <c:v>1.3493323961789115E-2</c:v>
                </c:pt>
                <c:pt idx="24">
                  <c:v>1.3400047210199542E-2</c:v>
                </c:pt>
                <c:pt idx="25">
                  <c:v>1.3302028468596424E-2</c:v>
                </c:pt>
                <c:pt idx="26">
                  <c:v>1.3199378595925057E-2</c:v>
                </c:pt>
                <c:pt idx="27">
                  <c:v>1.3092700373117952E-2</c:v>
                </c:pt>
                <c:pt idx="28">
                  <c:v>1.2982610255895068E-2</c:v>
                </c:pt>
                <c:pt idx="29">
                  <c:v>1.286971868783884E-2</c:v>
                </c:pt>
                <c:pt idx="30">
                  <c:v>1.2754628418261702E-2</c:v>
                </c:pt>
                <c:pt idx="31">
                  <c:v>1.2638000960953442E-2</c:v>
                </c:pt>
                <c:pt idx="32">
                  <c:v>1.2520998364289363E-2</c:v>
                </c:pt>
                <c:pt idx="33">
                  <c:v>1.2404980905702174E-2</c:v>
                </c:pt>
                <c:pt idx="34">
                  <c:v>1.2291261146389195E-2</c:v>
                </c:pt>
                <c:pt idx="35">
                  <c:v>1.2181099698046429E-2</c:v>
                </c:pt>
                <c:pt idx="36">
                  <c:v>1.2075703734269526E-2</c:v>
                </c:pt>
                <c:pt idx="37">
                  <c:v>1.1976227267838199E-2</c:v>
                </c:pt>
                <c:pt idx="38">
                  <c:v>1.1883773493453676E-2</c:v>
                </c:pt>
                <c:pt idx="39">
                  <c:v>1.1799399478221485E-2</c:v>
                </c:pt>
                <c:pt idx="40">
                  <c:v>1.1724096547673766E-2</c:v>
                </c:pt>
                <c:pt idx="41">
                  <c:v>1.1657896284786815E-2</c:v>
                </c:pt>
                <c:pt idx="42">
                  <c:v>1.1599696009043984E-2</c:v>
                </c:pt>
                <c:pt idx="43">
                  <c:v>1.1548365610926287E-2</c:v>
                </c:pt>
                <c:pt idx="44">
                  <c:v>1.150281408779464E-2</c:v>
                </c:pt>
                <c:pt idx="45">
                  <c:v>1.1461983845478668E-2</c:v>
                </c:pt>
                <c:pt idx="46">
                  <c:v>1.142484565415789E-2</c:v>
                </c:pt>
                <c:pt idx="47">
                  <c:v>1.1390394427283469E-2</c:v>
                </c:pt>
                <c:pt idx="48">
                  <c:v>1.1357645961672465E-2</c:v>
                </c:pt>
                <c:pt idx="49">
                  <c:v>1.1325860652563831E-2</c:v>
                </c:pt>
                <c:pt idx="50">
                  <c:v>1.1296854693159669E-2</c:v>
                </c:pt>
                <c:pt idx="51">
                  <c:v>1.1274016180166685E-2</c:v>
                </c:pt>
                <c:pt idx="52">
                  <c:v>1.1260723120819376E-2</c:v>
                </c:pt>
                <c:pt idx="53">
                  <c:v>1.1260357537298309E-2</c:v>
                </c:pt>
                <c:pt idx="54">
                  <c:v>1.1275189204753715E-2</c:v>
                </c:pt>
                <c:pt idx="55">
                  <c:v>1.1303769010709881E-2</c:v>
                </c:pt>
                <c:pt idx="56">
                  <c:v>1.1343929087029907E-2</c:v>
                </c:pt>
                <c:pt idx="57">
                  <c:v>1.1393509718689717E-2</c:v>
                </c:pt>
                <c:pt idx="58">
                  <c:v>1.1450323661942353E-2</c:v>
                </c:pt>
                <c:pt idx="59">
                  <c:v>1.1512129986507358E-2</c:v>
                </c:pt>
                <c:pt idx="60">
                  <c:v>1.1576877908120658E-2</c:v>
                </c:pt>
                <c:pt idx="61">
                  <c:v>1.1644605594483838E-2</c:v>
                </c:pt>
                <c:pt idx="62">
                  <c:v>1.1716419705715684E-2</c:v>
                </c:pt>
                <c:pt idx="63">
                  <c:v>1.1793471638176987E-2</c:v>
                </c:pt>
                <c:pt idx="64">
                  <c:v>1.187695330798501E-2</c:v>
                </c:pt>
                <c:pt idx="65">
                  <c:v>1.196810084926191E-2</c:v>
                </c:pt>
                <c:pt idx="66">
                  <c:v>1.20679259258967E-2</c:v>
                </c:pt>
                <c:pt idx="67">
                  <c:v>1.2175033677032134E-2</c:v>
                </c:pt>
                <c:pt idx="68">
                  <c:v>1.2286672121404609E-2</c:v>
                </c:pt>
                <c:pt idx="69">
                  <c:v>1.2399956309148695E-2</c:v>
                </c:pt>
                <c:pt idx="70">
                  <c:v>1.2511881999472495E-2</c:v>
                </c:pt>
                <c:pt idx="71">
                  <c:v>1.2620006876955822E-2</c:v>
                </c:pt>
                <c:pt idx="72">
                  <c:v>1.2726598119933468E-2</c:v>
                </c:pt>
                <c:pt idx="73">
                  <c:v>1.2836088037862646E-2</c:v>
                </c:pt>
                <c:pt idx="74">
                  <c:v>1.2953065138004833E-2</c:v>
                </c:pt>
                <c:pt idx="75">
                  <c:v>1.3082235838288778E-2</c:v>
                </c:pt>
                <c:pt idx="76">
                  <c:v>1.3225268146849824E-2</c:v>
                </c:pt>
                <c:pt idx="77">
                  <c:v>1.3378086981211169E-2</c:v>
                </c:pt>
                <c:pt idx="78">
                  <c:v>1.3535845264852535E-2</c:v>
                </c:pt>
                <c:pt idx="79">
                  <c:v>1.369350864549706E-2</c:v>
                </c:pt>
                <c:pt idx="80">
                  <c:v>1.3846831577838364E-2</c:v>
                </c:pt>
                <c:pt idx="81">
                  <c:v>1.3996586180308116E-2</c:v>
                </c:pt>
                <c:pt idx="82">
                  <c:v>1.414529320063357E-2</c:v>
                </c:pt>
                <c:pt idx="83">
                  <c:v>1.4295557328162258E-2</c:v>
                </c:pt>
                <c:pt idx="84">
                  <c:v>1.4450053010292901E-2</c:v>
                </c:pt>
                <c:pt idx="85">
                  <c:v>1.4611080908590921E-2</c:v>
                </c:pt>
                <c:pt idx="86">
                  <c:v>1.4780244949485538E-2</c:v>
                </c:pt>
                <c:pt idx="87">
                  <c:v>1.4959114792268897E-2</c:v>
                </c:pt>
                <c:pt idx="88">
                  <c:v>1.5149297460603039E-2</c:v>
                </c:pt>
                <c:pt idx="89">
                  <c:v>1.5352797841376097E-2</c:v>
                </c:pt>
                <c:pt idx="90">
                  <c:v>1.5574886192764877E-2</c:v>
                </c:pt>
                <c:pt idx="91">
                  <c:v>1.5822673351182415E-2</c:v>
                </c:pt>
                <c:pt idx="92">
                  <c:v>1.6103495066542E-2</c:v>
                </c:pt>
                <c:pt idx="93">
                  <c:v>1.6424662913523212E-2</c:v>
                </c:pt>
                <c:pt idx="94">
                  <c:v>1.6786713081197502E-2</c:v>
                </c:pt>
                <c:pt idx="95">
                  <c:v>1.7182419123673243E-2</c:v>
                </c:pt>
                <c:pt idx="96">
                  <c:v>1.7603850247993619E-2</c:v>
                </c:pt>
                <c:pt idx="97">
                  <c:v>1.8042752412886429E-2</c:v>
                </c:pt>
                <c:pt idx="98">
                  <c:v>1.8490569011714177E-2</c:v>
                </c:pt>
                <c:pt idx="99">
                  <c:v>1.8938476973622571E-2</c:v>
                </c:pt>
                <c:pt idx="100">
                  <c:v>1.937743103489753E-2</c:v>
                </c:pt>
              </c:numCache>
            </c:numRef>
          </c:yVal>
          <c:smooth val="0"/>
          <c:extLst>
            <c:ext xmlns:c16="http://schemas.microsoft.com/office/drawing/2014/chart" uri="{C3380CC4-5D6E-409C-BE32-E72D297353CC}">
              <c16:uniqueId val="{00000001-6CA3-4012-B262-9A81B1AAE384}"/>
            </c:ext>
          </c:extLst>
        </c:ser>
        <c:ser>
          <c:idx val="0"/>
          <c:order val="2"/>
          <c:tx>
            <c:v>Pixel Sampling</c:v>
          </c:tx>
          <c:spPr>
            <a:ln>
              <a:solidFill>
                <a:srgbClr val="7030A0"/>
              </a:solidFill>
            </a:ln>
          </c:spPr>
          <c:marker>
            <c:symbol val="none"/>
          </c:marker>
          <c:xVal>
            <c:numRef>
              <c:f>Jacoby_seeing!$E$40:$E$140</c:f>
              <c:numCache>
                <c:formatCode>General</c:formatCode>
                <c:ptCount val="101"/>
                <c:pt idx="0">
                  <c:v>0</c:v>
                </c:pt>
                <c:pt idx="1">
                  <c:v>4.3E-3</c:v>
                </c:pt>
                <c:pt idx="2">
                  <c:v>8.6E-3</c:v>
                </c:pt>
                <c:pt idx="3">
                  <c:v>1.29E-2</c:v>
                </c:pt>
                <c:pt idx="4">
                  <c:v>1.72E-2</c:v>
                </c:pt>
                <c:pt idx="5">
                  <c:v>2.1499999999999998E-2</c:v>
                </c:pt>
                <c:pt idx="6">
                  <c:v>2.5799999999999997E-2</c:v>
                </c:pt>
                <c:pt idx="7">
                  <c:v>3.0099999999999995E-2</c:v>
                </c:pt>
                <c:pt idx="8">
                  <c:v>3.4399999999999993E-2</c:v>
                </c:pt>
                <c:pt idx="9">
                  <c:v>3.8699999999999991E-2</c:v>
                </c:pt>
                <c:pt idx="10">
                  <c:v>4.299999999999999E-2</c:v>
                </c:pt>
                <c:pt idx="11">
                  <c:v>4.7299999999999988E-2</c:v>
                </c:pt>
                <c:pt idx="12">
                  <c:v>5.1599999999999986E-2</c:v>
                </c:pt>
                <c:pt idx="13">
                  <c:v>5.5899999999999984E-2</c:v>
                </c:pt>
                <c:pt idx="14">
                  <c:v>6.0199999999999983E-2</c:v>
                </c:pt>
                <c:pt idx="15">
                  <c:v>6.4499999999999988E-2</c:v>
                </c:pt>
                <c:pt idx="16">
                  <c:v>6.8799999999999986E-2</c:v>
                </c:pt>
                <c:pt idx="17">
                  <c:v>7.3099999999999984E-2</c:v>
                </c:pt>
                <c:pt idx="18">
                  <c:v>7.7399999999999983E-2</c:v>
                </c:pt>
                <c:pt idx="19">
                  <c:v>8.1699999999999981E-2</c:v>
                </c:pt>
                <c:pt idx="20">
                  <c:v>8.5999999999999979E-2</c:v>
                </c:pt>
                <c:pt idx="21">
                  <c:v>9.0299999999999978E-2</c:v>
                </c:pt>
                <c:pt idx="22">
                  <c:v>9.4599999999999976E-2</c:v>
                </c:pt>
                <c:pt idx="23">
                  <c:v>9.8899999999999974E-2</c:v>
                </c:pt>
                <c:pt idx="24">
                  <c:v>0.10319999999999997</c:v>
                </c:pt>
                <c:pt idx="25">
                  <c:v>0.10749999999999997</c:v>
                </c:pt>
                <c:pt idx="26">
                  <c:v>0.11179999999999997</c:v>
                </c:pt>
                <c:pt idx="27">
                  <c:v>0.11609999999999997</c:v>
                </c:pt>
                <c:pt idx="28">
                  <c:v>0.12039999999999997</c:v>
                </c:pt>
                <c:pt idx="29">
                  <c:v>0.12469999999999996</c:v>
                </c:pt>
                <c:pt idx="30">
                  <c:v>0.12899999999999998</c:v>
                </c:pt>
                <c:pt idx="31">
                  <c:v>0.13329999999999997</c:v>
                </c:pt>
                <c:pt idx="32">
                  <c:v>0.13759999999999997</c:v>
                </c:pt>
                <c:pt idx="33">
                  <c:v>0.14189999999999997</c:v>
                </c:pt>
                <c:pt idx="34">
                  <c:v>0.14619999999999997</c:v>
                </c:pt>
                <c:pt idx="35">
                  <c:v>0.15049999999999997</c:v>
                </c:pt>
                <c:pt idx="36">
                  <c:v>0.15479999999999997</c:v>
                </c:pt>
                <c:pt idx="37">
                  <c:v>0.15909999999999996</c:v>
                </c:pt>
                <c:pt idx="38">
                  <c:v>0.16339999999999996</c:v>
                </c:pt>
                <c:pt idx="39">
                  <c:v>0.16769999999999996</c:v>
                </c:pt>
                <c:pt idx="40">
                  <c:v>0.17199999999999996</c:v>
                </c:pt>
                <c:pt idx="41">
                  <c:v>0.17629999999999996</c:v>
                </c:pt>
                <c:pt idx="42">
                  <c:v>0.18059999999999996</c:v>
                </c:pt>
                <c:pt idx="43">
                  <c:v>0.18489999999999995</c:v>
                </c:pt>
                <c:pt idx="44">
                  <c:v>0.18919999999999995</c:v>
                </c:pt>
                <c:pt idx="45">
                  <c:v>0.19349999999999995</c:v>
                </c:pt>
                <c:pt idx="46">
                  <c:v>0.19779999999999995</c:v>
                </c:pt>
                <c:pt idx="47">
                  <c:v>0.20209999999999995</c:v>
                </c:pt>
                <c:pt idx="48">
                  <c:v>0.20639999999999994</c:v>
                </c:pt>
                <c:pt idx="49">
                  <c:v>0.21069999999999994</c:v>
                </c:pt>
                <c:pt idx="50">
                  <c:v>0.21499999999999994</c:v>
                </c:pt>
                <c:pt idx="51">
                  <c:v>0.21929999999999994</c:v>
                </c:pt>
                <c:pt idx="52">
                  <c:v>0.22359999999999994</c:v>
                </c:pt>
                <c:pt idx="53">
                  <c:v>0.22789999999999994</c:v>
                </c:pt>
                <c:pt idx="54">
                  <c:v>0.23219999999999993</c:v>
                </c:pt>
                <c:pt idx="55">
                  <c:v>0.23649999999999993</c:v>
                </c:pt>
                <c:pt idx="56">
                  <c:v>0.24079999999999993</c:v>
                </c:pt>
                <c:pt idx="57">
                  <c:v>0.24509999999999993</c:v>
                </c:pt>
                <c:pt idx="58">
                  <c:v>0.24939999999999993</c:v>
                </c:pt>
                <c:pt idx="59">
                  <c:v>0.25369999999999993</c:v>
                </c:pt>
                <c:pt idx="60">
                  <c:v>0.25799999999999995</c:v>
                </c:pt>
                <c:pt idx="61">
                  <c:v>0.26229999999999998</c:v>
                </c:pt>
                <c:pt idx="62">
                  <c:v>0.2666</c:v>
                </c:pt>
                <c:pt idx="63">
                  <c:v>0.27090000000000003</c:v>
                </c:pt>
                <c:pt idx="64">
                  <c:v>0.27520000000000006</c:v>
                </c:pt>
                <c:pt idx="65">
                  <c:v>0.27950000000000008</c:v>
                </c:pt>
                <c:pt idx="66">
                  <c:v>0.28380000000000011</c:v>
                </c:pt>
                <c:pt idx="67">
                  <c:v>0.28810000000000013</c:v>
                </c:pt>
                <c:pt idx="68">
                  <c:v>0.29240000000000016</c:v>
                </c:pt>
                <c:pt idx="69">
                  <c:v>0.29670000000000019</c:v>
                </c:pt>
                <c:pt idx="70">
                  <c:v>0.30100000000000021</c:v>
                </c:pt>
                <c:pt idx="71">
                  <c:v>0.30530000000000024</c:v>
                </c:pt>
                <c:pt idx="72">
                  <c:v>0.30960000000000026</c:v>
                </c:pt>
                <c:pt idx="73">
                  <c:v>0.31390000000000029</c:v>
                </c:pt>
                <c:pt idx="74">
                  <c:v>0.31820000000000032</c:v>
                </c:pt>
                <c:pt idx="75">
                  <c:v>0.32250000000000034</c:v>
                </c:pt>
                <c:pt idx="76">
                  <c:v>0.32680000000000037</c:v>
                </c:pt>
                <c:pt idx="77">
                  <c:v>0.33110000000000039</c:v>
                </c:pt>
                <c:pt idx="78">
                  <c:v>0.33540000000000042</c:v>
                </c:pt>
                <c:pt idx="79">
                  <c:v>0.33970000000000045</c:v>
                </c:pt>
                <c:pt idx="80">
                  <c:v>0.34400000000000047</c:v>
                </c:pt>
                <c:pt idx="81">
                  <c:v>0.3483000000000005</c:v>
                </c:pt>
                <c:pt idx="82">
                  <c:v>0.35260000000000052</c:v>
                </c:pt>
                <c:pt idx="83">
                  <c:v>0.35690000000000055</c:v>
                </c:pt>
                <c:pt idx="84">
                  <c:v>0.36120000000000058</c:v>
                </c:pt>
                <c:pt idx="85">
                  <c:v>0.3655000000000006</c:v>
                </c:pt>
                <c:pt idx="86">
                  <c:v>0.36980000000000063</c:v>
                </c:pt>
                <c:pt idx="87">
                  <c:v>0.37410000000000065</c:v>
                </c:pt>
                <c:pt idx="88">
                  <c:v>0.37840000000000068</c:v>
                </c:pt>
                <c:pt idx="89">
                  <c:v>0.38270000000000071</c:v>
                </c:pt>
                <c:pt idx="90">
                  <c:v>0.38700000000000073</c:v>
                </c:pt>
                <c:pt idx="91">
                  <c:v>0.39130000000000076</c:v>
                </c:pt>
                <c:pt idx="92">
                  <c:v>0.39560000000000078</c:v>
                </c:pt>
                <c:pt idx="93">
                  <c:v>0.39990000000000081</c:v>
                </c:pt>
                <c:pt idx="94">
                  <c:v>0.40420000000000084</c:v>
                </c:pt>
                <c:pt idx="95">
                  <c:v>0.40850000000000086</c:v>
                </c:pt>
                <c:pt idx="96">
                  <c:v>0.41280000000000089</c:v>
                </c:pt>
                <c:pt idx="97">
                  <c:v>0.41710000000000091</c:v>
                </c:pt>
                <c:pt idx="98">
                  <c:v>0.42140000000000094</c:v>
                </c:pt>
                <c:pt idx="99">
                  <c:v>0.42570000000000097</c:v>
                </c:pt>
                <c:pt idx="100">
                  <c:v>0.43000000000000099</c:v>
                </c:pt>
              </c:numCache>
            </c:numRef>
          </c:xVal>
          <c:yVal>
            <c:numRef>
              <c:f>Jacoby_seeing!$H$40:$H$140</c:f>
              <c:numCache>
                <c:formatCode>General</c:formatCode>
                <c:ptCount val="101"/>
                <c:pt idx="0">
                  <c:v>4.3299999999999996E-3</c:v>
                </c:pt>
                <c:pt idx="1">
                  <c:v>4.3299999999999996E-3</c:v>
                </c:pt>
                <c:pt idx="2">
                  <c:v>4.3299999999999996E-3</c:v>
                </c:pt>
                <c:pt idx="3">
                  <c:v>4.3299999999999996E-3</c:v>
                </c:pt>
                <c:pt idx="4">
                  <c:v>4.3299999999999996E-3</c:v>
                </c:pt>
                <c:pt idx="5">
                  <c:v>4.3299999999999996E-3</c:v>
                </c:pt>
                <c:pt idx="6">
                  <c:v>4.3299999999999996E-3</c:v>
                </c:pt>
                <c:pt idx="7">
                  <c:v>4.3299999999999996E-3</c:v>
                </c:pt>
                <c:pt idx="8">
                  <c:v>4.3299999999999996E-3</c:v>
                </c:pt>
                <c:pt idx="9">
                  <c:v>4.3299999999999996E-3</c:v>
                </c:pt>
                <c:pt idx="10">
                  <c:v>4.3299999999999996E-3</c:v>
                </c:pt>
                <c:pt idx="11">
                  <c:v>4.3299999999999996E-3</c:v>
                </c:pt>
                <c:pt idx="12">
                  <c:v>4.3299999999999996E-3</c:v>
                </c:pt>
                <c:pt idx="13">
                  <c:v>4.3299999999999996E-3</c:v>
                </c:pt>
                <c:pt idx="14">
                  <c:v>4.3299999999999996E-3</c:v>
                </c:pt>
                <c:pt idx="15">
                  <c:v>4.3299999999999996E-3</c:v>
                </c:pt>
                <c:pt idx="16">
                  <c:v>4.3299999999999996E-3</c:v>
                </c:pt>
                <c:pt idx="17">
                  <c:v>4.3299999999999996E-3</c:v>
                </c:pt>
                <c:pt idx="18">
                  <c:v>4.3299999999999996E-3</c:v>
                </c:pt>
                <c:pt idx="19">
                  <c:v>4.3299999999999996E-3</c:v>
                </c:pt>
                <c:pt idx="20">
                  <c:v>4.3299999999999996E-3</c:v>
                </c:pt>
                <c:pt idx="21">
                  <c:v>4.3299999999999996E-3</c:v>
                </c:pt>
                <c:pt idx="22">
                  <c:v>4.3299999999999996E-3</c:v>
                </c:pt>
                <c:pt idx="23">
                  <c:v>4.3299999999999996E-3</c:v>
                </c:pt>
                <c:pt idx="24">
                  <c:v>4.3299999999999996E-3</c:v>
                </c:pt>
                <c:pt idx="25">
                  <c:v>4.3299999999999996E-3</c:v>
                </c:pt>
                <c:pt idx="26">
                  <c:v>4.3299999999999996E-3</c:v>
                </c:pt>
                <c:pt idx="27">
                  <c:v>4.3299999999999996E-3</c:v>
                </c:pt>
                <c:pt idx="28">
                  <c:v>4.3299999999999996E-3</c:v>
                </c:pt>
                <c:pt idx="29">
                  <c:v>4.3299999999999996E-3</c:v>
                </c:pt>
                <c:pt idx="30">
                  <c:v>4.3299999999999996E-3</c:v>
                </c:pt>
                <c:pt idx="31">
                  <c:v>4.3299999999999996E-3</c:v>
                </c:pt>
                <c:pt idx="32">
                  <c:v>4.3299999999999996E-3</c:v>
                </c:pt>
                <c:pt idx="33">
                  <c:v>4.3299999999999996E-3</c:v>
                </c:pt>
                <c:pt idx="34">
                  <c:v>4.3299999999999996E-3</c:v>
                </c:pt>
                <c:pt idx="35">
                  <c:v>4.3299999999999996E-3</c:v>
                </c:pt>
                <c:pt idx="36">
                  <c:v>4.3299999999999996E-3</c:v>
                </c:pt>
                <c:pt idx="37">
                  <c:v>4.3299999999999996E-3</c:v>
                </c:pt>
                <c:pt idx="38">
                  <c:v>4.3299999999999996E-3</c:v>
                </c:pt>
                <c:pt idx="39">
                  <c:v>4.3299999999999996E-3</c:v>
                </c:pt>
                <c:pt idx="40">
                  <c:v>4.3299999999999996E-3</c:v>
                </c:pt>
                <c:pt idx="41">
                  <c:v>4.3299999999999996E-3</c:v>
                </c:pt>
                <c:pt idx="42">
                  <c:v>4.3299999999999996E-3</c:v>
                </c:pt>
                <c:pt idx="43">
                  <c:v>4.3299999999999996E-3</c:v>
                </c:pt>
                <c:pt idx="44">
                  <c:v>4.3299999999999996E-3</c:v>
                </c:pt>
                <c:pt idx="45">
                  <c:v>4.3299999999999996E-3</c:v>
                </c:pt>
                <c:pt idx="46">
                  <c:v>4.3299999999999996E-3</c:v>
                </c:pt>
                <c:pt idx="47">
                  <c:v>4.3299999999999996E-3</c:v>
                </c:pt>
                <c:pt idx="48">
                  <c:v>4.3299999999999996E-3</c:v>
                </c:pt>
                <c:pt idx="49">
                  <c:v>4.3299999999999996E-3</c:v>
                </c:pt>
                <c:pt idx="50">
                  <c:v>4.3299999999999996E-3</c:v>
                </c:pt>
                <c:pt idx="51">
                  <c:v>4.3299999999999996E-3</c:v>
                </c:pt>
                <c:pt idx="52">
                  <c:v>4.3299999999999996E-3</c:v>
                </c:pt>
                <c:pt idx="53">
                  <c:v>4.3299999999999996E-3</c:v>
                </c:pt>
                <c:pt idx="54">
                  <c:v>4.3299999999999996E-3</c:v>
                </c:pt>
                <c:pt idx="55">
                  <c:v>4.3299999999999996E-3</c:v>
                </c:pt>
                <c:pt idx="56">
                  <c:v>4.3299999999999996E-3</c:v>
                </c:pt>
                <c:pt idx="57">
                  <c:v>4.3299999999999996E-3</c:v>
                </c:pt>
                <c:pt idx="58">
                  <c:v>4.3299999999999996E-3</c:v>
                </c:pt>
                <c:pt idx="59">
                  <c:v>4.3299999999999996E-3</c:v>
                </c:pt>
                <c:pt idx="60">
                  <c:v>4.3299999999999996E-3</c:v>
                </c:pt>
                <c:pt idx="61">
                  <c:v>4.3299999999999996E-3</c:v>
                </c:pt>
                <c:pt idx="62">
                  <c:v>4.3299999999999996E-3</c:v>
                </c:pt>
                <c:pt idx="63">
                  <c:v>4.3299999999999996E-3</c:v>
                </c:pt>
                <c:pt idx="64">
                  <c:v>4.3299999999999996E-3</c:v>
                </c:pt>
                <c:pt idx="65">
                  <c:v>4.3299999999999996E-3</c:v>
                </c:pt>
                <c:pt idx="66">
                  <c:v>4.3299999999999996E-3</c:v>
                </c:pt>
                <c:pt idx="67">
                  <c:v>4.3299999999999996E-3</c:v>
                </c:pt>
                <c:pt idx="68">
                  <c:v>4.3299999999999996E-3</c:v>
                </c:pt>
                <c:pt idx="69">
                  <c:v>4.3299999999999996E-3</c:v>
                </c:pt>
                <c:pt idx="70">
                  <c:v>4.3299999999999996E-3</c:v>
                </c:pt>
                <c:pt idx="71">
                  <c:v>4.3299999999999996E-3</c:v>
                </c:pt>
                <c:pt idx="72">
                  <c:v>4.3299999999999996E-3</c:v>
                </c:pt>
                <c:pt idx="73">
                  <c:v>4.3299999999999996E-3</c:v>
                </c:pt>
                <c:pt idx="74">
                  <c:v>4.3299999999999996E-3</c:v>
                </c:pt>
                <c:pt idx="75">
                  <c:v>4.3299999999999996E-3</c:v>
                </c:pt>
                <c:pt idx="76">
                  <c:v>4.3299999999999996E-3</c:v>
                </c:pt>
                <c:pt idx="77">
                  <c:v>4.3299999999999996E-3</c:v>
                </c:pt>
                <c:pt idx="78">
                  <c:v>4.3299999999999996E-3</c:v>
                </c:pt>
                <c:pt idx="79">
                  <c:v>4.3299999999999996E-3</c:v>
                </c:pt>
                <c:pt idx="80">
                  <c:v>4.3299999999999996E-3</c:v>
                </c:pt>
                <c:pt idx="81">
                  <c:v>4.3299999999999996E-3</c:v>
                </c:pt>
                <c:pt idx="82">
                  <c:v>4.3299999999999996E-3</c:v>
                </c:pt>
                <c:pt idx="83">
                  <c:v>4.3299999999999996E-3</c:v>
                </c:pt>
                <c:pt idx="84">
                  <c:v>4.3299999999999996E-3</c:v>
                </c:pt>
                <c:pt idx="85">
                  <c:v>4.3299999999999996E-3</c:v>
                </c:pt>
                <c:pt idx="86">
                  <c:v>4.3299999999999996E-3</c:v>
                </c:pt>
                <c:pt idx="87">
                  <c:v>4.3299999999999996E-3</c:v>
                </c:pt>
                <c:pt idx="88">
                  <c:v>4.3299999999999996E-3</c:v>
                </c:pt>
                <c:pt idx="89">
                  <c:v>4.3299999999999996E-3</c:v>
                </c:pt>
                <c:pt idx="90">
                  <c:v>4.3299999999999996E-3</c:v>
                </c:pt>
                <c:pt idx="91">
                  <c:v>4.3299999999999996E-3</c:v>
                </c:pt>
                <c:pt idx="92">
                  <c:v>4.3299999999999996E-3</c:v>
                </c:pt>
                <c:pt idx="93">
                  <c:v>4.3299999999999996E-3</c:v>
                </c:pt>
                <c:pt idx="94">
                  <c:v>4.3299999999999996E-3</c:v>
                </c:pt>
                <c:pt idx="95">
                  <c:v>4.3299999999999996E-3</c:v>
                </c:pt>
                <c:pt idx="96">
                  <c:v>4.3299999999999996E-3</c:v>
                </c:pt>
                <c:pt idx="97">
                  <c:v>4.3299999999999996E-3</c:v>
                </c:pt>
                <c:pt idx="98">
                  <c:v>4.3299999999999996E-3</c:v>
                </c:pt>
                <c:pt idx="99">
                  <c:v>4.3299999999999996E-3</c:v>
                </c:pt>
                <c:pt idx="100">
                  <c:v>4.3299999999999996E-3</c:v>
                </c:pt>
              </c:numCache>
            </c:numRef>
          </c:yVal>
          <c:smooth val="0"/>
          <c:extLst>
            <c:ext xmlns:c16="http://schemas.microsoft.com/office/drawing/2014/chart" uri="{C3380CC4-5D6E-409C-BE32-E72D297353CC}">
              <c16:uniqueId val="{00000002-6CA3-4012-B262-9A81B1AAE384}"/>
            </c:ext>
          </c:extLst>
        </c:ser>
        <c:ser>
          <c:idx val="3"/>
          <c:order val="3"/>
          <c:tx>
            <c:v>All Else</c:v>
          </c:tx>
          <c:spPr>
            <a:ln>
              <a:solidFill>
                <a:srgbClr val="00B050"/>
              </a:solidFill>
            </a:ln>
          </c:spPr>
          <c:marker>
            <c:symbol val="none"/>
          </c:marker>
          <c:xVal>
            <c:numRef>
              <c:f>Jacoby_seeing!$E$40:$E$140</c:f>
              <c:numCache>
                <c:formatCode>General</c:formatCode>
                <c:ptCount val="101"/>
                <c:pt idx="0">
                  <c:v>0</c:v>
                </c:pt>
                <c:pt idx="1">
                  <c:v>4.3E-3</c:v>
                </c:pt>
                <c:pt idx="2">
                  <c:v>8.6E-3</c:v>
                </c:pt>
                <c:pt idx="3">
                  <c:v>1.29E-2</c:v>
                </c:pt>
                <c:pt idx="4">
                  <c:v>1.72E-2</c:v>
                </c:pt>
                <c:pt idx="5">
                  <c:v>2.1499999999999998E-2</c:v>
                </c:pt>
                <c:pt idx="6">
                  <c:v>2.5799999999999997E-2</c:v>
                </c:pt>
                <c:pt idx="7">
                  <c:v>3.0099999999999995E-2</c:v>
                </c:pt>
                <c:pt idx="8">
                  <c:v>3.4399999999999993E-2</c:v>
                </c:pt>
                <c:pt idx="9">
                  <c:v>3.8699999999999991E-2</c:v>
                </c:pt>
                <c:pt idx="10">
                  <c:v>4.299999999999999E-2</c:v>
                </c:pt>
                <c:pt idx="11">
                  <c:v>4.7299999999999988E-2</c:v>
                </c:pt>
                <c:pt idx="12">
                  <c:v>5.1599999999999986E-2</c:v>
                </c:pt>
                <c:pt idx="13">
                  <c:v>5.5899999999999984E-2</c:v>
                </c:pt>
                <c:pt idx="14">
                  <c:v>6.0199999999999983E-2</c:v>
                </c:pt>
                <c:pt idx="15">
                  <c:v>6.4499999999999988E-2</c:v>
                </c:pt>
                <c:pt idx="16">
                  <c:v>6.8799999999999986E-2</c:v>
                </c:pt>
                <c:pt idx="17">
                  <c:v>7.3099999999999984E-2</c:v>
                </c:pt>
                <c:pt idx="18">
                  <c:v>7.7399999999999983E-2</c:v>
                </c:pt>
                <c:pt idx="19">
                  <c:v>8.1699999999999981E-2</c:v>
                </c:pt>
                <c:pt idx="20">
                  <c:v>8.5999999999999979E-2</c:v>
                </c:pt>
                <c:pt idx="21">
                  <c:v>9.0299999999999978E-2</c:v>
                </c:pt>
                <c:pt idx="22">
                  <c:v>9.4599999999999976E-2</c:v>
                </c:pt>
                <c:pt idx="23">
                  <c:v>9.8899999999999974E-2</c:v>
                </c:pt>
                <c:pt idx="24">
                  <c:v>0.10319999999999997</c:v>
                </c:pt>
                <c:pt idx="25">
                  <c:v>0.10749999999999997</c:v>
                </c:pt>
                <c:pt idx="26">
                  <c:v>0.11179999999999997</c:v>
                </c:pt>
                <c:pt idx="27">
                  <c:v>0.11609999999999997</c:v>
                </c:pt>
                <c:pt idx="28">
                  <c:v>0.12039999999999997</c:v>
                </c:pt>
                <c:pt idx="29">
                  <c:v>0.12469999999999996</c:v>
                </c:pt>
                <c:pt idx="30">
                  <c:v>0.12899999999999998</c:v>
                </c:pt>
                <c:pt idx="31">
                  <c:v>0.13329999999999997</c:v>
                </c:pt>
                <c:pt idx="32">
                  <c:v>0.13759999999999997</c:v>
                </c:pt>
                <c:pt idx="33">
                  <c:v>0.14189999999999997</c:v>
                </c:pt>
                <c:pt idx="34">
                  <c:v>0.14619999999999997</c:v>
                </c:pt>
                <c:pt idx="35">
                  <c:v>0.15049999999999997</c:v>
                </c:pt>
                <c:pt idx="36">
                  <c:v>0.15479999999999997</c:v>
                </c:pt>
                <c:pt idx="37">
                  <c:v>0.15909999999999996</c:v>
                </c:pt>
                <c:pt idx="38">
                  <c:v>0.16339999999999996</c:v>
                </c:pt>
                <c:pt idx="39">
                  <c:v>0.16769999999999996</c:v>
                </c:pt>
                <c:pt idx="40">
                  <c:v>0.17199999999999996</c:v>
                </c:pt>
                <c:pt idx="41">
                  <c:v>0.17629999999999996</c:v>
                </c:pt>
                <c:pt idx="42">
                  <c:v>0.18059999999999996</c:v>
                </c:pt>
                <c:pt idx="43">
                  <c:v>0.18489999999999995</c:v>
                </c:pt>
                <c:pt idx="44">
                  <c:v>0.18919999999999995</c:v>
                </c:pt>
                <c:pt idx="45">
                  <c:v>0.19349999999999995</c:v>
                </c:pt>
                <c:pt idx="46">
                  <c:v>0.19779999999999995</c:v>
                </c:pt>
                <c:pt idx="47">
                  <c:v>0.20209999999999995</c:v>
                </c:pt>
                <c:pt idx="48">
                  <c:v>0.20639999999999994</c:v>
                </c:pt>
                <c:pt idx="49">
                  <c:v>0.21069999999999994</c:v>
                </c:pt>
                <c:pt idx="50">
                  <c:v>0.21499999999999994</c:v>
                </c:pt>
                <c:pt idx="51">
                  <c:v>0.21929999999999994</c:v>
                </c:pt>
                <c:pt idx="52">
                  <c:v>0.22359999999999994</c:v>
                </c:pt>
                <c:pt idx="53">
                  <c:v>0.22789999999999994</c:v>
                </c:pt>
                <c:pt idx="54">
                  <c:v>0.23219999999999993</c:v>
                </c:pt>
                <c:pt idx="55">
                  <c:v>0.23649999999999993</c:v>
                </c:pt>
                <c:pt idx="56">
                  <c:v>0.24079999999999993</c:v>
                </c:pt>
                <c:pt idx="57">
                  <c:v>0.24509999999999993</c:v>
                </c:pt>
                <c:pt idx="58">
                  <c:v>0.24939999999999993</c:v>
                </c:pt>
                <c:pt idx="59">
                  <c:v>0.25369999999999993</c:v>
                </c:pt>
                <c:pt idx="60">
                  <c:v>0.25799999999999995</c:v>
                </c:pt>
                <c:pt idx="61">
                  <c:v>0.26229999999999998</c:v>
                </c:pt>
                <c:pt idx="62">
                  <c:v>0.2666</c:v>
                </c:pt>
                <c:pt idx="63">
                  <c:v>0.27090000000000003</c:v>
                </c:pt>
                <c:pt idx="64">
                  <c:v>0.27520000000000006</c:v>
                </c:pt>
                <c:pt idx="65">
                  <c:v>0.27950000000000008</c:v>
                </c:pt>
                <c:pt idx="66">
                  <c:v>0.28380000000000011</c:v>
                </c:pt>
                <c:pt idx="67">
                  <c:v>0.28810000000000013</c:v>
                </c:pt>
                <c:pt idx="68">
                  <c:v>0.29240000000000016</c:v>
                </c:pt>
                <c:pt idx="69">
                  <c:v>0.29670000000000019</c:v>
                </c:pt>
                <c:pt idx="70">
                  <c:v>0.30100000000000021</c:v>
                </c:pt>
                <c:pt idx="71">
                  <c:v>0.30530000000000024</c:v>
                </c:pt>
                <c:pt idx="72">
                  <c:v>0.30960000000000026</c:v>
                </c:pt>
                <c:pt idx="73">
                  <c:v>0.31390000000000029</c:v>
                </c:pt>
                <c:pt idx="74">
                  <c:v>0.31820000000000032</c:v>
                </c:pt>
                <c:pt idx="75">
                  <c:v>0.32250000000000034</c:v>
                </c:pt>
                <c:pt idx="76">
                  <c:v>0.32680000000000037</c:v>
                </c:pt>
                <c:pt idx="77">
                  <c:v>0.33110000000000039</c:v>
                </c:pt>
                <c:pt idx="78">
                  <c:v>0.33540000000000042</c:v>
                </c:pt>
                <c:pt idx="79">
                  <c:v>0.33970000000000045</c:v>
                </c:pt>
                <c:pt idx="80">
                  <c:v>0.34400000000000047</c:v>
                </c:pt>
                <c:pt idx="81">
                  <c:v>0.3483000000000005</c:v>
                </c:pt>
                <c:pt idx="82">
                  <c:v>0.35260000000000052</c:v>
                </c:pt>
                <c:pt idx="83">
                  <c:v>0.35690000000000055</c:v>
                </c:pt>
                <c:pt idx="84">
                  <c:v>0.36120000000000058</c:v>
                </c:pt>
                <c:pt idx="85">
                  <c:v>0.3655000000000006</c:v>
                </c:pt>
                <c:pt idx="86">
                  <c:v>0.36980000000000063</c:v>
                </c:pt>
                <c:pt idx="87">
                  <c:v>0.37410000000000065</c:v>
                </c:pt>
                <c:pt idx="88">
                  <c:v>0.37840000000000068</c:v>
                </c:pt>
                <c:pt idx="89">
                  <c:v>0.38270000000000071</c:v>
                </c:pt>
                <c:pt idx="90">
                  <c:v>0.38700000000000073</c:v>
                </c:pt>
                <c:pt idx="91">
                  <c:v>0.39130000000000076</c:v>
                </c:pt>
                <c:pt idx="92">
                  <c:v>0.39560000000000078</c:v>
                </c:pt>
                <c:pt idx="93">
                  <c:v>0.39990000000000081</c:v>
                </c:pt>
                <c:pt idx="94">
                  <c:v>0.40420000000000084</c:v>
                </c:pt>
                <c:pt idx="95">
                  <c:v>0.40850000000000086</c:v>
                </c:pt>
                <c:pt idx="96">
                  <c:v>0.41280000000000089</c:v>
                </c:pt>
                <c:pt idx="97">
                  <c:v>0.41710000000000091</c:v>
                </c:pt>
                <c:pt idx="98">
                  <c:v>0.42140000000000094</c:v>
                </c:pt>
                <c:pt idx="99">
                  <c:v>0.42570000000000097</c:v>
                </c:pt>
                <c:pt idx="100">
                  <c:v>0.43000000000000099</c:v>
                </c:pt>
              </c:numCache>
            </c:numRef>
          </c:xVal>
          <c:yVal>
            <c:numRef>
              <c:f>Jacoby_seeing!$G$40:$G$140</c:f>
              <c:numCache>
                <c:formatCode>General</c:formatCode>
                <c:ptCount val="101"/>
                <c:pt idx="0">
                  <c:v>6.0000000000000001E-3</c:v>
                </c:pt>
                <c:pt idx="1">
                  <c:v>6.0000000000000001E-3</c:v>
                </c:pt>
                <c:pt idx="2">
                  <c:v>6.0000000000000001E-3</c:v>
                </c:pt>
                <c:pt idx="3">
                  <c:v>6.0000000000000001E-3</c:v>
                </c:pt>
                <c:pt idx="4">
                  <c:v>6.0000000000000001E-3</c:v>
                </c:pt>
                <c:pt idx="5">
                  <c:v>6.0000000000000001E-3</c:v>
                </c:pt>
                <c:pt idx="6">
                  <c:v>6.0000000000000001E-3</c:v>
                </c:pt>
                <c:pt idx="7">
                  <c:v>6.0000000000000001E-3</c:v>
                </c:pt>
                <c:pt idx="8">
                  <c:v>6.0000000000000001E-3</c:v>
                </c:pt>
                <c:pt idx="9">
                  <c:v>6.0000000000000001E-3</c:v>
                </c:pt>
                <c:pt idx="10">
                  <c:v>6.0000000000000001E-3</c:v>
                </c:pt>
                <c:pt idx="11">
                  <c:v>6.0000000000000001E-3</c:v>
                </c:pt>
                <c:pt idx="12">
                  <c:v>6.0000000000000001E-3</c:v>
                </c:pt>
                <c:pt idx="13">
                  <c:v>6.0000000000000001E-3</c:v>
                </c:pt>
                <c:pt idx="14">
                  <c:v>6.0000000000000001E-3</c:v>
                </c:pt>
                <c:pt idx="15">
                  <c:v>6.0000000000000001E-3</c:v>
                </c:pt>
                <c:pt idx="16">
                  <c:v>6.0000000000000001E-3</c:v>
                </c:pt>
                <c:pt idx="17">
                  <c:v>6.0000000000000001E-3</c:v>
                </c:pt>
                <c:pt idx="18">
                  <c:v>6.0000000000000001E-3</c:v>
                </c:pt>
                <c:pt idx="19">
                  <c:v>6.0000000000000001E-3</c:v>
                </c:pt>
                <c:pt idx="20">
                  <c:v>6.0000000000000001E-3</c:v>
                </c:pt>
                <c:pt idx="21">
                  <c:v>6.0000000000000001E-3</c:v>
                </c:pt>
                <c:pt idx="22">
                  <c:v>6.0000000000000001E-3</c:v>
                </c:pt>
                <c:pt idx="23">
                  <c:v>6.0000000000000001E-3</c:v>
                </c:pt>
                <c:pt idx="24">
                  <c:v>6.0000000000000001E-3</c:v>
                </c:pt>
                <c:pt idx="25">
                  <c:v>6.0000000000000001E-3</c:v>
                </c:pt>
                <c:pt idx="26">
                  <c:v>6.0000000000000001E-3</c:v>
                </c:pt>
                <c:pt idx="27">
                  <c:v>6.0000000000000001E-3</c:v>
                </c:pt>
                <c:pt idx="28">
                  <c:v>6.0000000000000001E-3</c:v>
                </c:pt>
                <c:pt idx="29">
                  <c:v>6.0000000000000001E-3</c:v>
                </c:pt>
                <c:pt idx="30">
                  <c:v>6.0000000000000001E-3</c:v>
                </c:pt>
                <c:pt idx="31">
                  <c:v>6.0000000000000001E-3</c:v>
                </c:pt>
                <c:pt idx="32">
                  <c:v>6.0000000000000001E-3</c:v>
                </c:pt>
                <c:pt idx="33">
                  <c:v>6.0000000000000001E-3</c:v>
                </c:pt>
                <c:pt idx="34">
                  <c:v>6.0000000000000001E-3</c:v>
                </c:pt>
                <c:pt idx="35">
                  <c:v>6.0000000000000001E-3</c:v>
                </c:pt>
                <c:pt idx="36">
                  <c:v>6.0000000000000001E-3</c:v>
                </c:pt>
                <c:pt idx="37">
                  <c:v>6.0000000000000001E-3</c:v>
                </c:pt>
                <c:pt idx="38">
                  <c:v>6.0000000000000001E-3</c:v>
                </c:pt>
                <c:pt idx="39">
                  <c:v>6.0000000000000001E-3</c:v>
                </c:pt>
                <c:pt idx="40">
                  <c:v>6.0000000000000001E-3</c:v>
                </c:pt>
                <c:pt idx="41">
                  <c:v>6.0000000000000001E-3</c:v>
                </c:pt>
                <c:pt idx="42">
                  <c:v>6.0000000000000001E-3</c:v>
                </c:pt>
                <c:pt idx="43">
                  <c:v>6.0000000000000001E-3</c:v>
                </c:pt>
                <c:pt idx="44">
                  <c:v>6.0000000000000001E-3</c:v>
                </c:pt>
                <c:pt idx="45">
                  <c:v>6.0000000000000001E-3</c:v>
                </c:pt>
                <c:pt idx="46">
                  <c:v>6.0000000000000001E-3</c:v>
                </c:pt>
                <c:pt idx="47">
                  <c:v>6.0000000000000001E-3</c:v>
                </c:pt>
                <c:pt idx="48">
                  <c:v>6.0000000000000001E-3</c:v>
                </c:pt>
                <c:pt idx="49">
                  <c:v>6.0000000000000001E-3</c:v>
                </c:pt>
                <c:pt idx="50">
                  <c:v>6.0000000000000001E-3</c:v>
                </c:pt>
                <c:pt idx="51">
                  <c:v>6.0000000000000001E-3</c:v>
                </c:pt>
                <c:pt idx="52">
                  <c:v>6.0000000000000001E-3</c:v>
                </c:pt>
                <c:pt idx="53">
                  <c:v>6.0000000000000001E-3</c:v>
                </c:pt>
                <c:pt idx="54">
                  <c:v>6.0000000000000001E-3</c:v>
                </c:pt>
                <c:pt idx="55">
                  <c:v>6.0000000000000001E-3</c:v>
                </c:pt>
                <c:pt idx="56">
                  <c:v>6.0000000000000001E-3</c:v>
                </c:pt>
                <c:pt idx="57">
                  <c:v>6.0000000000000001E-3</c:v>
                </c:pt>
                <c:pt idx="58">
                  <c:v>6.0000000000000001E-3</c:v>
                </c:pt>
                <c:pt idx="59">
                  <c:v>6.0000000000000001E-3</c:v>
                </c:pt>
                <c:pt idx="60">
                  <c:v>6.0000000000000001E-3</c:v>
                </c:pt>
                <c:pt idx="61">
                  <c:v>6.0000000000000001E-3</c:v>
                </c:pt>
                <c:pt idx="62">
                  <c:v>6.0000000000000001E-3</c:v>
                </c:pt>
                <c:pt idx="63">
                  <c:v>6.0000000000000001E-3</c:v>
                </c:pt>
                <c:pt idx="64">
                  <c:v>6.0000000000000001E-3</c:v>
                </c:pt>
                <c:pt idx="65">
                  <c:v>6.0000000000000001E-3</c:v>
                </c:pt>
                <c:pt idx="66">
                  <c:v>6.0000000000000001E-3</c:v>
                </c:pt>
                <c:pt idx="67">
                  <c:v>6.0000000000000001E-3</c:v>
                </c:pt>
                <c:pt idx="68">
                  <c:v>6.0000000000000001E-3</c:v>
                </c:pt>
                <c:pt idx="69">
                  <c:v>6.0000000000000001E-3</c:v>
                </c:pt>
                <c:pt idx="70">
                  <c:v>6.0000000000000001E-3</c:v>
                </c:pt>
                <c:pt idx="71">
                  <c:v>6.0000000000000001E-3</c:v>
                </c:pt>
                <c:pt idx="72">
                  <c:v>6.0000000000000001E-3</c:v>
                </c:pt>
                <c:pt idx="73">
                  <c:v>6.0000000000000001E-3</c:v>
                </c:pt>
                <c:pt idx="74">
                  <c:v>6.0000000000000001E-3</c:v>
                </c:pt>
                <c:pt idx="75">
                  <c:v>6.0000000000000001E-3</c:v>
                </c:pt>
                <c:pt idx="76">
                  <c:v>6.0000000000000001E-3</c:v>
                </c:pt>
                <c:pt idx="77">
                  <c:v>6.0000000000000001E-3</c:v>
                </c:pt>
                <c:pt idx="78">
                  <c:v>6.0000000000000001E-3</c:v>
                </c:pt>
                <c:pt idx="79">
                  <c:v>6.0000000000000001E-3</c:v>
                </c:pt>
                <c:pt idx="80">
                  <c:v>6.0000000000000001E-3</c:v>
                </c:pt>
                <c:pt idx="81">
                  <c:v>6.0000000000000001E-3</c:v>
                </c:pt>
                <c:pt idx="82">
                  <c:v>6.0000000000000001E-3</c:v>
                </c:pt>
                <c:pt idx="83">
                  <c:v>6.0000000000000001E-3</c:v>
                </c:pt>
                <c:pt idx="84">
                  <c:v>6.0000000000000001E-3</c:v>
                </c:pt>
                <c:pt idx="85">
                  <c:v>6.0000000000000001E-3</c:v>
                </c:pt>
                <c:pt idx="86">
                  <c:v>6.0000000000000001E-3</c:v>
                </c:pt>
                <c:pt idx="87">
                  <c:v>6.0000000000000001E-3</c:v>
                </c:pt>
                <c:pt idx="88">
                  <c:v>6.0000000000000001E-3</c:v>
                </c:pt>
                <c:pt idx="89">
                  <c:v>6.0000000000000001E-3</c:v>
                </c:pt>
                <c:pt idx="90">
                  <c:v>6.0000000000000001E-3</c:v>
                </c:pt>
                <c:pt idx="91">
                  <c:v>6.0000000000000001E-3</c:v>
                </c:pt>
                <c:pt idx="92">
                  <c:v>6.0000000000000001E-3</c:v>
                </c:pt>
                <c:pt idx="93">
                  <c:v>6.0000000000000001E-3</c:v>
                </c:pt>
                <c:pt idx="94">
                  <c:v>6.0000000000000001E-3</c:v>
                </c:pt>
                <c:pt idx="95">
                  <c:v>6.0000000000000001E-3</c:v>
                </c:pt>
                <c:pt idx="96">
                  <c:v>6.0000000000000001E-3</c:v>
                </c:pt>
                <c:pt idx="97">
                  <c:v>6.0000000000000001E-3</c:v>
                </c:pt>
                <c:pt idx="98">
                  <c:v>6.0000000000000001E-3</c:v>
                </c:pt>
                <c:pt idx="99">
                  <c:v>6.0000000000000001E-3</c:v>
                </c:pt>
                <c:pt idx="100">
                  <c:v>6.0000000000000001E-3</c:v>
                </c:pt>
              </c:numCache>
            </c:numRef>
          </c:yVal>
          <c:smooth val="0"/>
          <c:extLst>
            <c:ext xmlns:c16="http://schemas.microsoft.com/office/drawing/2014/chart" uri="{C3380CC4-5D6E-409C-BE32-E72D297353CC}">
              <c16:uniqueId val="{00000003-6CA3-4012-B262-9A81B1AAE384}"/>
            </c:ext>
          </c:extLst>
        </c:ser>
        <c:dLbls>
          <c:showLegendKey val="0"/>
          <c:showVal val="0"/>
          <c:showCatName val="0"/>
          <c:showSerName val="0"/>
          <c:showPercent val="0"/>
          <c:showBubbleSize val="0"/>
        </c:dLbls>
        <c:axId val="-732403120"/>
        <c:axId val="-732411824"/>
      </c:scatterChart>
      <c:valAx>
        <c:axId val="-732403120"/>
        <c:scaling>
          <c:orientation val="minMax"/>
        </c:scaling>
        <c:delete val="0"/>
        <c:axPos val="b"/>
        <c:numFmt formatCode="General" sourceLinked="1"/>
        <c:majorTickMark val="out"/>
        <c:minorTickMark val="none"/>
        <c:tickLblPos val="nextTo"/>
        <c:crossAx val="-732411824"/>
        <c:crosses val="autoZero"/>
        <c:crossBetween val="midCat"/>
      </c:valAx>
      <c:valAx>
        <c:axId val="-732411824"/>
        <c:scaling>
          <c:orientation val="minMax"/>
        </c:scaling>
        <c:delete val="0"/>
        <c:axPos val="l"/>
        <c:majorGridlines/>
        <c:numFmt formatCode="General" sourceLinked="1"/>
        <c:majorTickMark val="out"/>
        <c:minorTickMark val="none"/>
        <c:tickLblPos val="nextTo"/>
        <c:crossAx val="-732403120"/>
        <c:crosses val="autoZero"/>
        <c:crossBetween val="midCat"/>
      </c:valAx>
    </c:plotArea>
    <c:legend>
      <c:legendPos val="r"/>
      <c:overlay val="0"/>
    </c:legend>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trendlineType val="poly"/>
            <c:order val="6"/>
            <c:dispRSqr val="0"/>
            <c:dispEq val="1"/>
            <c:trendlineLbl>
              <c:numFmt formatCode="General" sourceLinked="0"/>
            </c:trendlineLbl>
          </c:trendline>
          <c:xVal>
            <c:numLit>
              <c:formatCode>General</c:formatCode>
              <c:ptCount val="21"/>
              <c:pt idx="0">
                <c:v>0</c:v>
              </c:pt>
              <c:pt idx="1">
                <c:v>0.05</c:v>
              </c:pt>
              <c:pt idx="2">
                <c:v>0.1</c:v>
              </c:pt>
              <c:pt idx="3">
                <c:v>0.15000000000000002</c:v>
              </c:pt>
              <c:pt idx="4">
                <c:v>0.2</c:v>
              </c:pt>
              <c:pt idx="5">
                <c:v>0.25</c:v>
              </c:pt>
              <c:pt idx="6">
                <c:v>0.30000000000000004</c:v>
              </c:pt>
              <c:pt idx="7">
                <c:v>0.35000000000000003</c:v>
              </c:pt>
              <c:pt idx="8">
                <c:v>0.4</c:v>
              </c:pt>
              <c:pt idx="9">
                <c:v>0.45</c:v>
              </c:pt>
              <c:pt idx="10">
                <c:v>0.5</c:v>
              </c:pt>
              <c:pt idx="11">
                <c:v>0.55000000000000004</c:v>
              </c:pt>
              <c:pt idx="12">
                <c:v>0.60000000000000009</c:v>
              </c:pt>
              <c:pt idx="13">
                <c:v>0.65000000000000113</c:v>
              </c:pt>
              <c:pt idx="14">
                <c:v>0.70000000000000007</c:v>
              </c:pt>
              <c:pt idx="15">
                <c:v>0.75000000000000011</c:v>
              </c:pt>
              <c:pt idx="16">
                <c:v>0.8</c:v>
              </c:pt>
              <c:pt idx="17">
                <c:v>0.85000000000000009</c:v>
              </c:pt>
              <c:pt idx="18">
                <c:v>0.9</c:v>
              </c:pt>
              <c:pt idx="19">
                <c:v>0.95000000000000007</c:v>
              </c:pt>
              <c:pt idx="20">
                <c:v>1</c:v>
              </c:pt>
            </c:numLit>
          </c:xVal>
          <c:yVal>
            <c:numLit>
              <c:formatCode>General</c:formatCode>
              <c:ptCount val="21"/>
              <c:pt idx="0">
                <c:v>1</c:v>
              </c:pt>
              <c:pt idx="1">
                <c:v>0.99995000000000001</c:v>
              </c:pt>
              <c:pt idx="2">
                <c:v>0.99975000000000003</c:v>
              </c:pt>
              <c:pt idx="3">
                <c:v>0.99944999999999884</c:v>
              </c:pt>
              <c:pt idx="4">
                <c:v>0.999</c:v>
              </c:pt>
              <c:pt idx="5">
                <c:v>0.99844999999999984</c:v>
              </c:pt>
              <c:pt idx="6">
                <c:v>0.99775000000000003</c:v>
              </c:pt>
              <c:pt idx="7">
                <c:v>0.99690000000000001</c:v>
              </c:pt>
              <c:pt idx="8">
                <c:v>0.99595</c:v>
              </c:pt>
              <c:pt idx="9">
                <c:v>0.99490000000000001</c:v>
              </c:pt>
              <c:pt idx="10">
                <c:v>0.99365000000000003</c:v>
              </c:pt>
              <c:pt idx="11">
                <c:v>0.99224999999999997</c:v>
              </c:pt>
              <c:pt idx="12">
                <c:v>0.99070000000000003</c:v>
              </c:pt>
              <c:pt idx="13">
                <c:v>0.98895</c:v>
              </c:pt>
              <c:pt idx="14">
                <c:v>0.98704999999999998</c:v>
              </c:pt>
              <c:pt idx="15">
                <c:v>0.98499999999999999</c:v>
              </c:pt>
              <c:pt idx="16">
                <c:v>0.98275000000000001</c:v>
              </c:pt>
              <c:pt idx="17">
                <c:v>0.98029999999999884</c:v>
              </c:pt>
              <c:pt idx="18">
                <c:v>0.97760000000000113</c:v>
              </c:pt>
              <c:pt idx="19">
                <c:v>0.97465000000000113</c:v>
              </c:pt>
              <c:pt idx="20">
                <c:v>0.97150000000000003</c:v>
              </c:pt>
            </c:numLit>
          </c:yVal>
          <c:smooth val="1"/>
          <c:extLst>
            <c:ext xmlns:c16="http://schemas.microsoft.com/office/drawing/2014/chart" uri="{C3380CC4-5D6E-409C-BE32-E72D297353CC}">
              <c16:uniqueId val="{00000000-8617-4818-949A-BACF01C995E6}"/>
            </c:ext>
          </c:extLst>
        </c:ser>
        <c:dLbls>
          <c:showLegendKey val="0"/>
          <c:showVal val="0"/>
          <c:showCatName val="0"/>
          <c:showSerName val="0"/>
          <c:showPercent val="0"/>
          <c:showBubbleSize val="0"/>
        </c:dLbls>
        <c:axId val="-732408016"/>
        <c:axId val="-732415088"/>
      </c:scatterChart>
      <c:valAx>
        <c:axId val="-73240801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Fiber</a:t>
                </a:r>
                <a:r>
                  <a:rPr lang="en-US" baseline="0"/>
                  <a:t> pointing error (deg)</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15088"/>
        <c:crosses val="autoZero"/>
        <c:crossBetween val="midCat"/>
      </c:valAx>
      <c:valAx>
        <c:axId val="-732415088"/>
        <c:scaling>
          <c:orientation val="minMax"/>
          <c:max val="1"/>
          <c:min val="0.960000000000001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a:t>
                </a:r>
                <a:r>
                  <a:rPr lang="en-US" baseline="0"/>
                  <a:t> transmission loss</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08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11" l="0.70000000000000095" r="0.70000000000000095" t="0.750000000000001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'Lateral offset throughput est'!$C$7:$C$56</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'Lateral offset throughput est'!$D$7:$D$56</c:f>
              <c:numCache>
                <c:formatCode>General</c:formatCode>
                <c:ptCount val="50"/>
                <c:pt idx="0">
                  <c:v>0.44340000000000002</c:v>
                </c:pt>
                <c:pt idx="1">
                  <c:v>0.44330000000000003</c:v>
                </c:pt>
                <c:pt idx="2">
                  <c:v>0.443</c:v>
                </c:pt>
                <c:pt idx="3">
                  <c:v>0.4425</c:v>
                </c:pt>
                <c:pt idx="4">
                  <c:v>0.44190000000000002</c:v>
                </c:pt>
                <c:pt idx="5">
                  <c:v>0.44109999999999999</c:v>
                </c:pt>
                <c:pt idx="6">
                  <c:v>0.44019999999999998</c:v>
                </c:pt>
                <c:pt idx="7">
                  <c:v>0.43919999999999998</c:v>
                </c:pt>
                <c:pt idx="8">
                  <c:v>0.43790000000000001</c:v>
                </c:pt>
                <c:pt idx="9">
                  <c:v>0.43659999999999999</c:v>
                </c:pt>
                <c:pt idx="10">
                  <c:v>0.43509999999999999</c:v>
                </c:pt>
                <c:pt idx="11">
                  <c:v>0.43340000000000001</c:v>
                </c:pt>
                <c:pt idx="12">
                  <c:v>0.43159999999999998</c:v>
                </c:pt>
                <c:pt idx="13">
                  <c:v>0.42970000000000003</c:v>
                </c:pt>
                <c:pt idx="14">
                  <c:v>0.42759999999999998</c:v>
                </c:pt>
                <c:pt idx="15">
                  <c:v>0.4254</c:v>
                </c:pt>
                <c:pt idx="16">
                  <c:v>0.42309999999999998</c:v>
                </c:pt>
                <c:pt idx="17">
                  <c:v>0.42059999999999997</c:v>
                </c:pt>
                <c:pt idx="18">
                  <c:v>0.41799999999999998</c:v>
                </c:pt>
                <c:pt idx="19">
                  <c:v>0.41520000000000001</c:v>
                </c:pt>
                <c:pt idx="20">
                  <c:v>0.4123</c:v>
                </c:pt>
                <c:pt idx="21">
                  <c:v>0.4093</c:v>
                </c:pt>
                <c:pt idx="22">
                  <c:v>0.40620000000000001</c:v>
                </c:pt>
                <c:pt idx="23">
                  <c:v>0.40300000000000002</c:v>
                </c:pt>
                <c:pt idx="24">
                  <c:v>0.39960000000000001</c:v>
                </c:pt>
                <c:pt idx="25">
                  <c:v>0.3962</c:v>
                </c:pt>
                <c:pt idx="26">
                  <c:v>0.3926</c:v>
                </c:pt>
                <c:pt idx="27">
                  <c:v>0.38890000000000002</c:v>
                </c:pt>
                <c:pt idx="28">
                  <c:v>0.3851</c:v>
                </c:pt>
                <c:pt idx="29">
                  <c:v>0.38119999999999998</c:v>
                </c:pt>
                <c:pt idx="30">
                  <c:v>0.37719999999999998</c:v>
                </c:pt>
                <c:pt idx="31">
                  <c:v>0.37319999999999998</c:v>
                </c:pt>
                <c:pt idx="32">
                  <c:v>0.36899999999999999</c:v>
                </c:pt>
                <c:pt idx="33">
                  <c:v>0.36480000000000001</c:v>
                </c:pt>
                <c:pt idx="34">
                  <c:v>0.36049999999999999</c:v>
                </c:pt>
                <c:pt idx="35">
                  <c:v>0.35610000000000003</c:v>
                </c:pt>
                <c:pt idx="36">
                  <c:v>0.35160000000000002</c:v>
                </c:pt>
                <c:pt idx="37">
                  <c:v>0.34699999999999998</c:v>
                </c:pt>
                <c:pt idx="38">
                  <c:v>0.34239999999999998</c:v>
                </c:pt>
                <c:pt idx="39">
                  <c:v>0.33779999999999999</c:v>
                </c:pt>
                <c:pt idx="40">
                  <c:v>0.33310000000000001</c:v>
                </c:pt>
                <c:pt idx="41">
                  <c:v>0.32829999999999998</c:v>
                </c:pt>
                <c:pt idx="42">
                  <c:v>0.32350000000000001</c:v>
                </c:pt>
                <c:pt idx="43">
                  <c:v>0.31859999999999999</c:v>
                </c:pt>
                <c:pt idx="44">
                  <c:v>0.31369999999999998</c:v>
                </c:pt>
                <c:pt idx="45">
                  <c:v>0.30880000000000002</c:v>
                </c:pt>
                <c:pt idx="46">
                  <c:v>0.30380000000000001</c:v>
                </c:pt>
                <c:pt idx="47">
                  <c:v>0.29880000000000001</c:v>
                </c:pt>
                <c:pt idx="48">
                  <c:v>0.29380000000000001</c:v>
                </c:pt>
                <c:pt idx="49">
                  <c:v>0.2888</c:v>
                </c:pt>
              </c:numCache>
            </c:numRef>
          </c:yVal>
          <c:smooth val="0"/>
          <c:extLst>
            <c:ext xmlns:c16="http://schemas.microsoft.com/office/drawing/2014/chart" uri="{C3380CC4-5D6E-409C-BE32-E72D297353CC}">
              <c16:uniqueId val="{00000000-5A40-44B2-9588-8F4300E7EEBF}"/>
            </c:ext>
          </c:extLst>
        </c:ser>
        <c:ser>
          <c:idx val="1"/>
          <c:order val="1"/>
          <c:marker>
            <c:symbol val="none"/>
          </c:marker>
          <c:xVal>
            <c:numRef>
              <c:f>'Lateral offset throughput est'!$C$7:$C$56</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'Lateral offset throughput est'!$E$7:$E$56</c:f>
              <c:numCache>
                <c:formatCode>0.000</c:formatCode>
                <c:ptCount val="50"/>
                <c:pt idx="0">
                  <c:v>1</c:v>
                </c:pt>
                <c:pt idx="1">
                  <c:v>0.99977447000451058</c:v>
                </c:pt>
                <c:pt idx="2">
                  <c:v>0.99909788001804234</c:v>
                </c:pt>
                <c:pt idx="3">
                  <c:v>0.99797023004059537</c:v>
                </c:pt>
                <c:pt idx="4">
                  <c:v>0.99661705006765899</c:v>
                </c:pt>
                <c:pt idx="5">
                  <c:v>0.99481281010374378</c:v>
                </c:pt>
                <c:pt idx="6">
                  <c:v>0.99278304014433916</c:v>
                </c:pt>
                <c:pt idx="7">
                  <c:v>0.99052774018944512</c:v>
                </c:pt>
                <c:pt idx="8">
                  <c:v>0.98759585024808294</c:v>
                </c:pt>
                <c:pt idx="9">
                  <c:v>0.98466396030672076</c:v>
                </c:pt>
                <c:pt idx="10">
                  <c:v>0.98128101037437976</c:v>
                </c:pt>
                <c:pt idx="11">
                  <c:v>0.97744700045105992</c:v>
                </c:pt>
                <c:pt idx="12">
                  <c:v>0.97338746053225067</c:v>
                </c:pt>
                <c:pt idx="13">
                  <c:v>0.96910239061795223</c:v>
                </c:pt>
                <c:pt idx="14">
                  <c:v>0.96436626071267473</c:v>
                </c:pt>
                <c:pt idx="15">
                  <c:v>0.95940460081190793</c:v>
                </c:pt>
                <c:pt idx="16">
                  <c:v>0.95421741091565171</c:v>
                </c:pt>
                <c:pt idx="17">
                  <c:v>0.94857916102841666</c:v>
                </c:pt>
                <c:pt idx="18">
                  <c:v>0.94271538114569231</c:v>
                </c:pt>
                <c:pt idx="19">
                  <c:v>0.93640054127198913</c:v>
                </c:pt>
                <c:pt idx="20">
                  <c:v>0.92986017140279653</c:v>
                </c:pt>
                <c:pt idx="21">
                  <c:v>0.92309427153811452</c:v>
                </c:pt>
                <c:pt idx="22">
                  <c:v>0.91610284167794309</c:v>
                </c:pt>
                <c:pt idx="23">
                  <c:v>0.90888588182228236</c:v>
                </c:pt>
                <c:pt idx="24">
                  <c:v>0.9012178619756428</c:v>
                </c:pt>
                <c:pt idx="25">
                  <c:v>0.89354984212900312</c:v>
                </c:pt>
                <c:pt idx="26">
                  <c:v>0.88543076229138473</c:v>
                </c:pt>
                <c:pt idx="27">
                  <c:v>0.87708615245827692</c:v>
                </c:pt>
                <c:pt idx="28">
                  <c:v>0.8685160126296797</c:v>
                </c:pt>
                <c:pt idx="29">
                  <c:v>0.85972034280559306</c:v>
                </c:pt>
                <c:pt idx="30">
                  <c:v>0.85069914298601701</c:v>
                </c:pt>
                <c:pt idx="31">
                  <c:v>0.84167794316644107</c:v>
                </c:pt>
                <c:pt idx="32">
                  <c:v>0.83220568335588629</c:v>
                </c:pt>
                <c:pt idx="33">
                  <c:v>0.82273342354533152</c:v>
                </c:pt>
                <c:pt idx="34">
                  <c:v>0.81303563373928722</c:v>
                </c:pt>
                <c:pt idx="35">
                  <c:v>0.80311231393775373</c:v>
                </c:pt>
                <c:pt idx="36">
                  <c:v>0.79296346414073071</c:v>
                </c:pt>
                <c:pt idx="37">
                  <c:v>0.78258908434821828</c:v>
                </c:pt>
                <c:pt idx="38">
                  <c:v>0.77221470455570584</c:v>
                </c:pt>
                <c:pt idx="39">
                  <c:v>0.76184032476319341</c:v>
                </c:pt>
                <c:pt idx="40">
                  <c:v>0.75124041497519167</c:v>
                </c:pt>
                <c:pt idx="41">
                  <c:v>0.74041497519170041</c:v>
                </c:pt>
                <c:pt idx="42">
                  <c:v>0.72958953540820926</c:v>
                </c:pt>
                <c:pt idx="43">
                  <c:v>0.71853856562922869</c:v>
                </c:pt>
                <c:pt idx="44">
                  <c:v>0.70748759585024801</c:v>
                </c:pt>
                <c:pt idx="45">
                  <c:v>0.69643662607126755</c:v>
                </c:pt>
                <c:pt idx="46">
                  <c:v>0.68516012629679746</c:v>
                </c:pt>
                <c:pt idx="47">
                  <c:v>0.67388362652232747</c:v>
                </c:pt>
                <c:pt idx="48">
                  <c:v>0.66260712674785749</c:v>
                </c:pt>
                <c:pt idx="49">
                  <c:v>0.65133062697338739</c:v>
                </c:pt>
              </c:numCache>
            </c:numRef>
          </c:yVal>
          <c:smooth val="0"/>
          <c:extLst>
            <c:ext xmlns:c16="http://schemas.microsoft.com/office/drawing/2014/chart" uri="{C3380CC4-5D6E-409C-BE32-E72D297353CC}">
              <c16:uniqueId val="{00000001-5A40-44B2-9588-8F4300E7EEBF}"/>
            </c:ext>
          </c:extLst>
        </c:ser>
        <c:dLbls>
          <c:showLegendKey val="0"/>
          <c:showVal val="0"/>
          <c:showCatName val="0"/>
          <c:showSerName val="0"/>
          <c:showPercent val="0"/>
          <c:showBubbleSize val="0"/>
        </c:dLbls>
        <c:axId val="-732410736"/>
        <c:axId val="-732409648"/>
      </c:scatterChart>
      <c:valAx>
        <c:axId val="-732410736"/>
        <c:scaling>
          <c:orientation val="minMax"/>
        </c:scaling>
        <c:delete val="0"/>
        <c:axPos val="b"/>
        <c:numFmt formatCode="General" sourceLinked="1"/>
        <c:majorTickMark val="out"/>
        <c:minorTickMark val="none"/>
        <c:tickLblPos val="nextTo"/>
        <c:crossAx val="-732409648"/>
        <c:crosses val="autoZero"/>
        <c:crossBetween val="midCat"/>
      </c:valAx>
      <c:valAx>
        <c:axId val="-732409648"/>
        <c:scaling>
          <c:orientation val="minMax"/>
        </c:scaling>
        <c:delete val="0"/>
        <c:axPos val="l"/>
        <c:majorGridlines/>
        <c:numFmt formatCode="General" sourceLinked="1"/>
        <c:majorTickMark val="out"/>
        <c:minorTickMark val="none"/>
        <c:tickLblPos val="nextTo"/>
        <c:crossAx val="-732410736"/>
        <c:crosses val="autoZero"/>
        <c:crossBetween val="midCat"/>
      </c:valAx>
    </c:plotArea>
    <c:legend>
      <c:legendPos val="r"/>
      <c:overlay val="0"/>
    </c:legend>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'Blur throughput estimate'!$B$4</c:f>
              <c:strCache>
                <c:ptCount val="1"/>
                <c:pt idx="0">
                  <c:v>Signal</c:v>
                </c:pt>
              </c:strCache>
            </c:strRef>
          </c:tx>
          <c:marker>
            <c:symbol val="none"/>
          </c:marker>
          <c:xVal>
            <c:numRef>
              <c:f>'Blur throughput estimate'!$A$5:$A$55</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'Blur throughput estimate'!$B$5:$B$55</c:f>
              <c:numCache>
                <c:formatCode>General</c:formatCode>
                <c:ptCount val="51"/>
                <c:pt idx="0">
                  <c:v>0.44359999999999999</c:v>
                </c:pt>
                <c:pt idx="1">
                  <c:v>0.44330000000000003</c:v>
                </c:pt>
                <c:pt idx="2">
                  <c:v>0.44280000000000003</c:v>
                </c:pt>
                <c:pt idx="3">
                  <c:v>0.44209999999999999</c:v>
                </c:pt>
                <c:pt idx="4">
                  <c:v>0.441</c:v>
                </c:pt>
                <c:pt idx="5">
                  <c:v>0.43969999999999998</c:v>
                </c:pt>
                <c:pt idx="6">
                  <c:v>0.438</c:v>
                </c:pt>
                <c:pt idx="7">
                  <c:v>0.43609999999999999</c:v>
                </c:pt>
                <c:pt idx="8">
                  <c:v>0.43390000000000001</c:v>
                </c:pt>
                <c:pt idx="9">
                  <c:v>0.43140000000000001</c:v>
                </c:pt>
                <c:pt idx="10">
                  <c:v>0.42859999999999998</c:v>
                </c:pt>
                <c:pt idx="11">
                  <c:v>0.42559999999999998</c:v>
                </c:pt>
                <c:pt idx="12">
                  <c:v>0.4224</c:v>
                </c:pt>
                <c:pt idx="13">
                  <c:v>0.41889999999999999</c:v>
                </c:pt>
                <c:pt idx="14">
                  <c:v>0.41520000000000001</c:v>
                </c:pt>
                <c:pt idx="15">
                  <c:v>0.4113</c:v>
                </c:pt>
                <c:pt idx="16">
                  <c:v>0.4073</c:v>
                </c:pt>
                <c:pt idx="17">
                  <c:v>0.40300000000000002</c:v>
                </c:pt>
                <c:pt idx="18">
                  <c:v>0.39860000000000001</c:v>
                </c:pt>
                <c:pt idx="19">
                  <c:v>0.39400000000000002</c:v>
                </c:pt>
                <c:pt idx="20">
                  <c:v>0.38929999999999998</c:v>
                </c:pt>
                <c:pt idx="21">
                  <c:v>0.38440000000000002</c:v>
                </c:pt>
                <c:pt idx="22">
                  <c:v>0.3795</c:v>
                </c:pt>
                <c:pt idx="23">
                  <c:v>0.37440000000000001</c:v>
                </c:pt>
                <c:pt idx="24">
                  <c:v>0.36930000000000002</c:v>
                </c:pt>
                <c:pt idx="25">
                  <c:v>0.36409999999999998</c:v>
                </c:pt>
                <c:pt idx="26">
                  <c:v>0.3589</c:v>
                </c:pt>
                <c:pt idx="27">
                  <c:v>0.35360000000000003</c:v>
                </c:pt>
                <c:pt idx="28">
                  <c:v>0.34820000000000001</c:v>
                </c:pt>
                <c:pt idx="29">
                  <c:v>0.34289999999999998</c:v>
                </c:pt>
                <c:pt idx="30">
                  <c:v>0.33750000000000002</c:v>
                </c:pt>
                <c:pt idx="31">
                  <c:v>0.33210000000000001</c:v>
                </c:pt>
                <c:pt idx="32">
                  <c:v>0.32679999999999998</c:v>
                </c:pt>
                <c:pt idx="33">
                  <c:v>0.32140000000000002</c:v>
                </c:pt>
                <c:pt idx="34">
                  <c:v>0.31609999999999999</c:v>
                </c:pt>
                <c:pt idx="35">
                  <c:v>0.31080000000000002</c:v>
                </c:pt>
                <c:pt idx="36">
                  <c:v>0.30549999999999999</c:v>
                </c:pt>
                <c:pt idx="37">
                  <c:v>0.30030000000000001</c:v>
                </c:pt>
                <c:pt idx="38">
                  <c:v>0.29509999999999997</c:v>
                </c:pt>
                <c:pt idx="39">
                  <c:v>0.28999999999999998</c:v>
                </c:pt>
                <c:pt idx="40">
                  <c:v>0.28489999999999999</c:v>
                </c:pt>
                <c:pt idx="41">
                  <c:v>0.27979999999999999</c:v>
                </c:pt>
                <c:pt idx="42">
                  <c:v>0.27489999999999998</c:v>
                </c:pt>
                <c:pt idx="43">
                  <c:v>0.27</c:v>
                </c:pt>
                <c:pt idx="44">
                  <c:v>0.26519999999999999</c:v>
                </c:pt>
                <c:pt idx="45">
                  <c:v>0.26040000000000002</c:v>
                </c:pt>
                <c:pt idx="46">
                  <c:v>0.25569999999999998</c:v>
                </c:pt>
                <c:pt idx="47">
                  <c:v>0.25109999999999999</c:v>
                </c:pt>
                <c:pt idx="48">
                  <c:v>0.24660000000000001</c:v>
                </c:pt>
                <c:pt idx="49">
                  <c:v>0.24210000000000001</c:v>
                </c:pt>
                <c:pt idx="50">
                  <c:v>0.23769999999999999</c:v>
                </c:pt>
              </c:numCache>
            </c:numRef>
          </c:yVal>
          <c:smooth val="0"/>
          <c:extLst>
            <c:ext xmlns:c16="http://schemas.microsoft.com/office/drawing/2014/chart" uri="{C3380CC4-5D6E-409C-BE32-E72D297353CC}">
              <c16:uniqueId val="{00000000-2664-49E3-A077-70A173EF719B}"/>
            </c:ext>
          </c:extLst>
        </c:ser>
        <c:ser>
          <c:idx val="1"/>
          <c:order val="1"/>
          <c:tx>
            <c:strRef>
              <c:f>'Blur throughput estimate'!$C$4</c:f>
              <c:strCache>
                <c:ptCount val="1"/>
                <c:pt idx="0">
                  <c:v>Normalized</c:v>
                </c:pt>
              </c:strCache>
            </c:strRef>
          </c:tx>
          <c:marker>
            <c:symbol val="none"/>
          </c:marker>
          <c:xVal>
            <c:numRef>
              <c:f>'Blur throughput estimate'!$A$5:$A$55</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'Blur throughput estimate'!$C$5:$C$55</c:f>
              <c:numCache>
                <c:formatCode>0.0000</c:formatCode>
                <c:ptCount val="51"/>
                <c:pt idx="0" formatCode="General">
                  <c:v>1</c:v>
                </c:pt>
                <c:pt idx="1">
                  <c:v>0.99932371505861139</c:v>
                </c:pt>
                <c:pt idx="2">
                  <c:v>0.99819657348963042</c:v>
                </c:pt>
                <c:pt idx="3">
                  <c:v>0.99661857529305675</c:v>
                </c:pt>
                <c:pt idx="4">
                  <c:v>0.99413886384129846</c:v>
                </c:pt>
                <c:pt idx="5">
                  <c:v>0.99120829576194769</c:v>
                </c:pt>
                <c:pt idx="6">
                  <c:v>0.98737601442741207</c:v>
                </c:pt>
                <c:pt idx="7">
                  <c:v>0.98309287646528398</c:v>
                </c:pt>
                <c:pt idx="8">
                  <c:v>0.9781334535617674</c:v>
                </c:pt>
                <c:pt idx="9">
                  <c:v>0.97249774571686209</c:v>
                </c:pt>
                <c:pt idx="10">
                  <c:v>0.96618575293056808</c:v>
                </c:pt>
                <c:pt idx="11">
                  <c:v>0.95942290351668169</c:v>
                </c:pt>
                <c:pt idx="12">
                  <c:v>0.95220919747520294</c:v>
                </c:pt>
                <c:pt idx="13">
                  <c:v>0.94431920649233547</c:v>
                </c:pt>
                <c:pt idx="14">
                  <c:v>0.93597835888187564</c:v>
                </c:pt>
                <c:pt idx="15">
                  <c:v>0.92718665464382333</c:v>
                </c:pt>
                <c:pt idx="16">
                  <c:v>0.91816952209197478</c:v>
                </c:pt>
                <c:pt idx="17">
                  <c:v>0.90847610459873762</c:v>
                </c:pt>
                <c:pt idx="18">
                  <c:v>0.89855725879170423</c:v>
                </c:pt>
                <c:pt idx="19">
                  <c:v>0.88818755635707847</c:v>
                </c:pt>
                <c:pt idx="20">
                  <c:v>0.87759242560865636</c:v>
                </c:pt>
                <c:pt idx="21">
                  <c:v>0.8665464382326421</c:v>
                </c:pt>
                <c:pt idx="22">
                  <c:v>0.85550045085662763</c:v>
                </c:pt>
                <c:pt idx="23">
                  <c:v>0.84400360685302078</c:v>
                </c:pt>
                <c:pt idx="24">
                  <c:v>0.83250676284941394</c:v>
                </c:pt>
                <c:pt idx="25">
                  <c:v>0.82078449053201075</c:v>
                </c:pt>
                <c:pt idx="26">
                  <c:v>0.80906221821460778</c:v>
                </c:pt>
                <c:pt idx="27">
                  <c:v>0.79711451758340857</c:v>
                </c:pt>
                <c:pt idx="28">
                  <c:v>0.78494138863841301</c:v>
                </c:pt>
                <c:pt idx="29">
                  <c:v>0.77299368800721369</c:v>
                </c:pt>
                <c:pt idx="30">
                  <c:v>0.76082055906221824</c:v>
                </c:pt>
                <c:pt idx="31">
                  <c:v>0.74864743011722279</c:v>
                </c:pt>
                <c:pt idx="32">
                  <c:v>0.73669972948602336</c:v>
                </c:pt>
                <c:pt idx="33">
                  <c:v>0.72452660054102802</c:v>
                </c:pt>
                <c:pt idx="34">
                  <c:v>0.7125788999098287</c:v>
                </c:pt>
                <c:pt idx="35">
                  <c:v>0.70063119927862949</c:v>
                </c:pt>
                <c:pt idx="36">
                  <c:v>0.68868349864743006</c:v>
                </c:pt>
                <c:pt idx="37">
                  <c:v>0.67696122633002709</c:v>
                </c:pt>
                <c:pt idx="38">
                  <c:v>0.6652389540126239</c:v>
                </c:pt>
                <c:pt idx="39">
                  <c:v>0.65374211000901705</c:v>
                </c:pt>
                <c:pt idx="40">
                  <c:v>0.64224526600541021</c:v>
                </c:pt>
                <c:pt idx="41">
                  <c:v>0.63074842200180337</c:v>
                </c:pt>
                <c:pt idx="42">
                  <c:v>0.619702434625789</c:v>
                </c:pt>
                <c:pt idx="43">
                  <c:v>0.60865644724977463</c:v>
                </c:pt>
                <c:pt idx="44">
                  <c:v>0.5978358881875564</c:v>
                </c:pt>
                <c:pt idx="45">
                  <c:v>0.58701532912533816</c:v>
                </c:pt>
                <c:pt idx="46">
                  <c:v>0.57642019837691616</c:v>
                </c:pt>
                <c:pt idx="47">
                  <c:v>0.56605049594229029</c:v>
                </c:pt>
                <c:pt idx="48">
                  <c:v>0.55590622182146077</c:v>
                </c:pt>
                <c:pt idx="49">
                  <c:v>0.54576194770063124</c:v>
                </c:pt>
                <c:pt idx="50">
                  <c:v>0.53584310189359785</c:v>
                </c:pt>
              </c:numCache>
            </c:numRef>
          </c:yVal>
          <c:smooth val="0"/>
          <c:extLst>
            <c:ext xmlns:c16="http://schemas.microsoft.com/office/drawing/2014/chart" uri="{C3380CC4-5D6E-409C-BE32-E72D297353CC}">
              <c16:uniqueId val="{00000001-2664-49E3-A077-70A173EF719B}"/>
            </c:ext>
          </c:extLst>
        </c:ser>
        <c:dLbls>
          <c:showLegendKey val="0"/>
          <c:showVal val="0"/>
          <c:showCatName val="0"/>
          <c:showSerName val="0"/>
          <c:showPercent val="0"/>
          <c:showBubbleSize val="0"/>
        </c:dLbls>
        <c:axId val="-730958048"/>
        <c:axId val="-730959136"/>
      </c:scatterChart>
      <c:valAx>
        <c:axId val="-730958048"/>
        <c:scaling>
          <c:orientation val="minMax"/>
        </c:scaling>
        <c:delete val="0"/>
        <c:axPos val="b"/>
        <c:numFmt formatCode="General" sourceLinked="1"/>
        <c:majorTickMark val="out"/>
        <c:minorTickMark val="none"/>
        <c:tickLblPos val="nextTo"/>
        <c:crossAx val="-730959136"/>
        <c:crosses val="autoZero"/>
        <c:crossBetween val="midCat"/>
      </c:valAx>
      <c:valAx>
        <c:axId val="-730959136"/>
        <c:scaling>
          <c:orientation val="minMax"/>
        </c:scaling>
        <c:delete val="0"/>
        <c:axPos val="l"/>
        <c:majorGridlines/>
        <c:numFmt formatCode="General" sourceLinked="1"/>
        <c:majorTickMark val="out"/>
        <c:minorTickMark val="none"/>
        <c:tickLblPos val="nextTo"/>
        <c:crossAx val="-730958048"/>
        <c:crosses val="autoZero"/>
        <c:crossBetween val="midCat"/>
      </c:valAx>
    </c:plotArea>
    <c:legend>
      <c:legendPos val="r"/>
      <c:overlay val="0"/>
    </c:legend>
    <c:plotVisOnly val="1"/>
    <c:dispBlanksAs val="gap"/>
    <c:showDLblsOverMax val="0"/>
  </c:chart>
  <c:printSettings>
    <c:headerFooter/>
    <c:pageMargins b="0.75000000000000111" l="0.70000000000000095" r="0.70000000000000095" t="0.750000000000001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Throughput vs wavelength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2"/>
          <c:order val="0"/>
          <c:tx>
            <c:v>4/16/2016</c:v>
          </c:tx>
          <c:spPr>
            <a:ln w="22225" cap="rnd">
              <a:solidFill>
                <a:srgbClr val="0070C0"/>
              </a:solidFill>
              <a:round/>
            </a:ln>
            <a:effectLst/>
          </c:spPr>
          <c:marker>
            <c:symbol val="circle"/>
            <c:size val="5"/>
            <c:spPr>
              <a:solidFill>
                <a:srgbClr val="0070C0"/>
              </a:solidFill>
              <a:ln w="9525">
                <a:solidFill>
                  <a:srgbClr val="0070C0"/>
                </a:solidFill>
              </a:ln>
              <a:effectLst/>
            </c:spPr>
          </c:marker>
          <c:xVal>
            <c:numRef>
              <c:f>Throughput!$C$3:$P$3</c:f>
              <c:numCache>
                <c:formatCode>General</c:formatCode>
                <c:ptCount val="14"/>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numCache>
            </c:numRef>
          </c:xVal>
          <c:yVal>
            <c:numRef>
              <c:f>Throughput!$C$103:$P$103</c:f>
              <c:numCache>
                <c:formatCode>0.000</c:formatCode>
                <c:ptCount val="14"/>
                <c:pt idx="0">
                  <c:v>9.4494365360024285E-2</c:v>
                </c:pt>
                <c:pt idx="1">
                  <c:v>0.1555819990761502</c:v>
                </c:pt>
                <c:pt idx="2">
                  <c:v>0.23811785160682164</c:v>
                </c:pt>
                <c:pt idx="3">
                  <c:v>0.34594361817664038</c:v>
                </c:pt>
                <c:pt idx="4">
                  <c:v>0.37195954705786521</c:v>
                </c:pt>
                <c:pt idx="5">
                  <c:v>0.38427766652420642</c:v>
                </c:pt>
                <c:pt idx="6">
                  <c:v>0.38261041902453724</c:v>
                </c:pt>
                <c:pt idx="7">
                  <c:v>0.39834582424771936</c:v>
                </c:pt>
                <c:pt idx="8">
                  <c:v>0.38906614175006915</c:v>
                </c:pt>
                <c:pt idx="9">
                  <c:v>0.37469138666554364</c:v>
                </c:pt>
                <c:pt idx="10">
                  <c:v>0.44755293964591114</c:v>
                </c:pt>
                <c:pt idx="11">
                  <c:v>0.44589604247562525</c:v>
                </c:pt>
                <c:pt idx="12">
                  <c:v>0.43014714691755479</c:v>
                </c:pt>
                <c:pt idx="13">
                  <c:v>0.24595267612994473</c:v>
                </c:pt>
              </c:numCache>
            </c:numRef>
          </c:yVal>
          <c:smooth val="0"/>
          <c:extLst>
            <c:ext xmlns:c16="http://schemas.microsoft.com/office/drawing/2014/chart" uri="{C3380CC4-5D6E-409C-BE32-E72D297353CC}">
              <c16:uniqueId val="{00000000-2BB7-4B9A-B69C-D4627343B55C}"/>
            </c:ext>
          </c:extLst>
        </c:ser>
        <c:ser>
          <c:idx val="0"/>
          <c:order val="1"/>
          <c:tx>
            <c:v>6/7/18</c:v>
          </c:tx>
          <c:spPr>
            <a:ln w="22225" cap="rnd">
              <a:solidFill>
                <a:srgbClr val="C00000"/>
              </a:solidFill>
              <a:round/>
            </a:ln>
            <a:effectLst/>
          </c:spPr>
          <c:marker>
            <c:symbol val="circle"/>
            <c:size val="5"/>
            <c:spPr>
              <a:solidFill>
                <a:srgbClr val="C00000"/>
              </a:solidFill>
              <a:ln w="9525">
                <a:solidFill>
                  <a:srgbClr val="C00000"/>
                </a:solidFill>
              </a:ln>
              <a:effectLst/>
            </c:spPr>
          </c:marker>
          <c:xVal>
            <c:numRef>
              <c:f>Throughput!$C$3:$P$3</c:f>
              <c:numCache>
                <c:formatCode>General</c:formatCode>
                <c:ptCount val="14"/>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numCache>
            </c:numRef>
          </c:xVal>
          <c:yVal>
            <c:numRef>
              <c:f>Throughput!$C$106:$P$106</c:f>
              <c:numCache>
                <c:formatCode>0.000</c:formatCode>
                <c:ptCount val="14"/>
                <c:pt idx="0">
                  <c:v>0.11174496066903288</c:v>
                </c:pt>
                <c:pt idx="1">
                  <c:v>0.17985163195137976</c:v>
                </c:pt>
                <c:pt idx="2">
                  <c:v>0.26403882902693093</c:v>
                </c:pt>
                <c:pt idx="3">
                  <c:v>0.45065725857267924</c:v>
                </c:pt>
                <c:pt idx="4">
                  <c:v>0.43282917403611293</c:v>
                </c:pt>
                <c:pt idx="5">
                  <c:v>0.41176999690649407</c:v>
                </c:pt>
                <c:pt idx="6">
                  <c:v>0.44202919639394422</c:v>
                </c:pt>
                <c:pt idx="7">
                  <c:v>0.46182735516603918</c:v>
                </c:pt>
                <c:pt idx="8">
                  <c:v>0.45897304635813529</c:v>
                </c:pt>
                <c:pt idx="9">
                  <c:v>0.42387437197853312</c:v>
                </c:pt>
                <c:pt idx="10">
                  <c:v>0.50437619477929752</c:v>
                </c:pt>
                <c:pt idx="11">
                  <c:v>0.50488362736690484</c:v>
                </c:pt>
                <c:pt idx="12">
                  <c:v>0.48699547337464832</c:v>
                </c:pt>
                <c:pt idx="13">
                  <c:v>0.3044862179486269</c:v>
                </c:pt>
              </c:numCache>
            </c:numRef>
          </c:yVal>
          <c:smooth val="0"/>
          <c:extLst>
            <c:ext xmlns:c16="http://schemas.microsoft.com/office/drawing/2014/chart" uri="{C3380CC4-5D6E-409C-BE32-E72D297353CC}">
              <c16:uniqueId val="{00000000-847D-4549-9928-2241BBA71C17}"/>
            </c:ext>
          </c:extLst>
        </c:ser>
        <c:ser>
          <c:idx val="1"/>
          <c:order val="2"/>
          <c:tx>
            <c:v>10/24/2018</c:v>
          </c:tx>
          <c:spPr>
            <a:ln w="22225" cap="rnd">
              <a:solidFill>
                <a:schemeClr val="accent3">
                  <a:lumMod val="75000"/>
                </a:schemeClr>
              </a:solidFill>
              <a:round/>
            </a:ln>
            <a:effectLst/>
          </c:spPr>
          <c:marker>
            <c:symbol val="circle"/>
            <c:size val="5"/>
            <c:spPr>
              <a:solidFill>
                <a:schemeClr val="accent3">
                  <a:lumMod val="75000"/>
                </a:schemeClr>
              </a:solidFill>
              <a:ln w="9525">
                <a:solidFill>
                  <a:schemeClr val="accent3">
                    <a:lumMod val="75000"/>
                  </a:schemeClr>
                </a:solidFill>
              </a:ln>
              <a:effectLst/>
            </c:spPr>
          </c:marker>
          <c:xVal>
            <c:numRef>
              <c:f>Throughput!$C$3:$Q$3</c:f>
              <c:numCache>
                <c:formatCode>General</c:formatCode>
                <c:ptCount val="15"/>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pt idx="14">
                  <c:v>995</c:v>
                </c:pt>
              </c:numCache>
            </c:numRef>
          </c:xVal>
          <c:yVal>
            <c:numRef>
              <c:f>Throughput!$C$107:$P$107</c:f>
              <c:numCache>
                <c:formatCode>0.000</c:formatCode>
                <c:ptCount val="14"/>
                <c:pt idx="0">
                  <c:v>0.11794084529004996</c:v>
                </c:pt>
                <c:pt idx="1">
                  <c:v>0.18243277618847251</c:v>
                </c:pt>
                <c:pt idx="2">
                  <c:v>0.25203992847491707</c:v>
                </c:pt>
                <c:pt idx="3">
                  <c:v>0.40588161641737613</c:v>
                </c:pt>
                <c:pt idx="4">
                  <c:v>0.38084472042571094</c:v>
                </c:pt>
                <c:pt idx="5">
                  <c:v>0.34361629009008637</c:v>
                </c:pt>
                <c:pt idx="6">
                  <c:v>0.41431024271861816</c:v>
                </c:pt>
                <c:pt idx="7">
                  <c:v>0.43186244520369388</c:v>
                </c:pt>
                <c:pt idx="8">
                  <c:v>0.43191265155634012</c:v>
                </c:pt>
                <c:pt idx="9">
                  <c:v>0.40082135056073503</c:v>
                </c:pt>
                <c:pt idx="10">
                  <c:v>0.4988933767438708</c:v>
                </c:pt>
                <c:pt idx="11">
                  <c:v>0.50707682229856554</c:v>
                </c:pt>
                <c:pt idx="12">
                  <c:v>0.50119371240828192</c:v>
                </c:pt>
                <c:pt idx="13">
                  <c:v>0.31311481693130644</c:v>
                </c:pt>
              </c:numCache>
            </c:numRef>
          </c:yVal>
          <c:smooth val="0"/>
          <c:extLst>
            <c:ext xmlns:c16="http://schemas.microsoft.com/office/drawing/2014/chart" uri="{C3380CC4-5D6E-409C-BE32-E72D297353CC}">
              <c16:uniqueId val="{00000000-7887-457A-86B5-5E070A53D31A}"/>
            </c:ext>
          </c:extLst>
        </c:ser>
        <c:ser>
          <c:idx val="3"/>
          <c:order val="3"/>
          <c:tx>
            <c:v>4/16/2020</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Throughput!$C$3:$P$3</c:f>
              <c:numCache>
                <c:formatCode>General</c:formatCode>
                <c:ptCount val="14"/>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numCache>
            </c:numRef>
          </c:xVal>
          <c:yVal>
            <c:numRef>
              <c:f>Throughput!$C$110:$P$110</c:f>
              <c:numCache>
                <c:formatCode>0.000</c:formatCode>
                <c:ptCount val="14"/>
                <c:pt idx="0">
                  <c:v>0.13270095419255937</c:v>
                </c:pt>
                <c:pt idx="1">
                  <c:v>0.20157106787592288</c:v>
                </c:pt>
                <c:pt idx="2">
                  <c:v>0.27915437985318425</c:v>
                </c:pt>
                <c:pt idx="3">
                  <c:v>0.3475785615539746</c:v>
                </c:pt>
                <c:pt idx="4">
                  <c:v>0.36034483741549167</c:v>
                </c:pt>
                <c:pt idx="5">
                  <c:v>0.34885827788252266</c:v>
                </c:pt>
                <c:pt idx="6">
                  <c:v>0.39893023067135974</c:v>
                </c:pt>
                <c:pt idx="7">
                  <c:v>0.42470974517382704</c:v>
                </c:pt>
                <c:pt idx="8">
                  <c:v>0.42648681083554651</c:v>
                </c:pt>
                <c:pt idx="9">
                  <c:v>0.39561871090908746</c:v>
                </c:pt>
                <c:pt idx="10">
                  <c:v>0.48471856263362828</c:v>
                </c:pt>
                <c:pt idx="11">
                  <c:v>0.49296501512130791</c:v>
                </c:pt>
                <c:pt idx="12">
                  <c:v>0.48850131141677472</c:v>
                </c:pt>
                <c:pt idx="13">
                  <c:v>0.28937096305184107</c:v>
                </c:pt>
              </c:numCache>
            </c:numRef>
          </c:yVal>
          <c:smooth val="0"/>
          <c:extLst>
            <c:ext xmlns:c16="http://schemas.microsoft.com/office/drawing/2014/chart" uri="{C3380CC4-5D6E-409C-BE32-E72D297353CC}">
              <c16:uniqueId val="{00000000-FE98-439D-9626-02949188329C}"/>
            </c:ext>
          </c:extLst>
        </c:ser>
        <c:dLbls>
          <c:showLegendKey val="0"/>
          <c:showVal val="0"/>
          <c:showCatName val="0"/>
          <c:showSerName val="0"/>
          <c:showPercent val="0"/>
          <c:showBubbleSize val="0"/>
        </c:dLbls>
        <c:axId val="-876573856"/>
        <c:axId val="-876572768"/>
      </c:scatterChart>
      <c:valAx>
        <c:axId val="-876573856"/>
        <c:scaling>
          <c:orientation val="minMax"/>
          <c:max val="100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Wavelength (nm)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572768"/>
        <c:crosses val="autoZero"/>
        <c:crossBetween val="midCat"/>
      </c:valAx>
      <c:valAx>
        <c:axId val="-87657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Throughput (M1 to  CCD 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57385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Estimated overall throughput, incl. obscuration, blur and sky absorption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360nm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'ESTIMATED overall throughput'!$Q$18:$Q$27</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overall throughput'!$B$18:$B$27</c:f>
              <c:numCache>
                <c:formatCode>0.0000</c:formatCode>
                <c:ptCount val="10"/>
                <c:pt idx="0">
                  <c:v>2.0876012768050047E-2</c:v>
                </c:pt>
                <c:pt idx="1">
                  <c:v>2.0876012768050047E-2</c:v>
                </c:pt>
                <c:pt idx="2">
                  <c:v>1.7853484621974017E-2</c:v>
                </c:pt>
                <c:pt idx="3">
                  <c:v>2.038840609792681E-2</c:v>
                </c:pt>
                <c:pt idx="4">
                  <c:v>2.099119694164767E-2</c:v>
                </c:pt>
                <c:pt idx="5">
                  <c:v>2.1277390823766701E-2</c:v>
                </c:pt>
                <c:pt idx="6">
                  <c:v>2.2457151036585674E-2</c:v>
                </c:pt>
                <c:pt idx="7">
                  <c:v>2.1197247082456974E-2</c:v>
                </c:pt>
                <c:pt idx="8">
                  <c:v>2.5416338729276192E-2</c:v>
                </c:pt>
                <c:pt idx="9">
                  <c:v>2.5267627713473378E-2</c:v>
                </c:pt>
              </c:numCache>
            </c:numRef>
          </c:yVal>
          <c:smooth val="0"/>
          <c:extLst>
            <c:ext xmlns:c16="http://schemas.microsoft.com/office/drawing/2014/chart" uri="{C3380CC4-5D6E-409C-BE32-E72D297353CC}">
              <c16:uniqueId val="{00000000-4EC3-4473-AB47-C9B59860486C}"/>
            </c:ext>
          </c:extLst>
        </c:ser>
        <c:ser>
          <c:idx val="1"/>
          <c:order val="1"/>
          <c:tx>
            <c:v>400nm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'ESTIMATED overall throughput'!$Q$18:$Q$27</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overall throughput'!$D$18:$D$27</c:f>
              <c:numCache>
                <c:formatCode>0.0000</c:formatCode>
                <c:ptCount val="10"/>
                <c:pt idx="0">
                  <c:v>5.79132512347032E-2</c:v>
                </c:pt>
                <c:pt idx="1">
                  <c:v>5.79132512347032E-2</c:v>
                </c:pt>
                <c:pt idx="2">
                  <c:v>5.2739341970850992E-2</c:v>
                </c:pt>
                <c:pt idx="3">
                  <c:v>5.9578459338778138E-2</c:v>
                </c:pt>
                <c:pt idx="4">
                  <c:v>5.8981042807727264E-2</c:v>
                </c:pt>
                <c:pt idx="5">
                  <c:v>5.8940173299704433E-2</c:v>
                </c:pt>
                <c:pt idx="6">
                  <c:v>5.6261713921029188E-2</c:v>
                </c:pt>
                <c:pt idx="7">
                  <c:v>5.7701126362468581E-2</c:v>
                </c:pt>
                <c:pt idx="8">
                  <c:v>6.0226901202979057E-2</c:v>
                </c:pt>
                <c:pt idx="9">
                  <c:v>6.2314348183387887E-2</c:v>
                </c:pt>
              </c:numCache>
            </c:numRef>
          </c:yVal>
          <c:smooth val="0"/>
          <c:extLst>
            <c:ext xmlns:c16="http://schemas.microsoft.com/office/drawing/2014/chart" uri="{C3380CC4-5D6E-409C-BE32-E72D297353CC}">
              <c16:uniqueId val="{00000001-4EC3-4473-AB47-C9B59860486C}"/>
            </c:ext>
          </c:extLst>
        </c:ser>
        <c:ser>
          <c:idx val="2"/>
          <c:order val="2"/>
          <c:tx>
            <c:v>450nm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'ESTIMATED overall throughput'!$Q$18:$Q$27</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overall throughput'!$E$18:$E$27</c:f>
              <c:numCache>
                <c:formatCode>0.0000</c:formatCode>
                <c:ptCount val="10"/>
                <c:pt idx="0">
                  <c:v>9.0553435536389726E-2</c:v>
                </c:pt>
                <c:pt idx="1">
                  <c:v>9.0553435536389726E-2</c:v>
                </c:pt>
                <c:pt idx="2">
                  <c:v>8.5193914124587086E-2</c:v>
                </c:pt>
                <c:pt idx="3">
                  <c:v>0.11464043240806117</c:v>
                </c:pt>
                <c:pt idx="4">
                  <c:v>0.11270980479385749</c:v>
                </c:pt>
                <c:pt idx="5">
                  <c:v>0.1118574760672254</c:v>
                </c:pt>
                <c:pt idx="6">
                  <c:v>0.10074373003183623</c:v>
                </c:pt>
                <c:pt idx="7">
                  <c:v>0.10660119921183936</c:v>
                </c:pt>
                <c:pt idx="8">
                  <c:v>8.6345308754344166E-2</c:v>
                </c:pt>
                <c:pt idx="9">
                  <c:v>8.6272349753430497E-2</c:v>
                </c:pt>
              </c:numCache>
            </c:numRef>
          </c:yVal>
          <c:smooth val="0"/>
          <c:extLst>
            <c:ext xmlns:c16="http://schemas.microsoft.com/office/drawing/2014/chart" uri="{C3380CC4-5D6E-409C-BE32-E72D297353CC}">
              <c16:uniqueId val="{00000002-4EC3-4473-AB47-C9B59860486C}"/>
            </c:ext>
          </c:extLst>
        </c:ser>
        <c:ser>
          <c:idx val="3"/>
          <c:order val="3"/>
          <c:tx>
            <c:v>650nm</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'ESTIMATED overall throughput'!$Q$18:$Q$27</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overall throughput'!$I$18:$I$27</c:f>
              <c:numCache>
                <c:formatCode>0.0000</c:formatCode>
                <c:ptCount val="10"/>
                <c:pt idx="0">
                  <c:v>0.11522617873499164</c:v>
                </c:pt>
                <c:pt idx="1">
                  <c:v>0.11522617873499164</c:v>
                </c:pt>
                <c:pt idx="2">
                  <c:v>0.11315508092170394</c:v>
                </c:pt>
                <c:pt idx="3">
                  <c:v>0.13495926703395333</c:v>
                </c:pt>
                <c:pt idx="4">
                  <c:v>0.13311235109021705</c:v>
                </c:pt>
                <c:pt idx="5">
                  <c:v>0.13222737134537657</c:v>
                </c:pt>
                <c:pt idx="6">
                  <c:v>0.1236480153747947</c:v>
                </c:pt>
                <c:pt idx="7">
                  <c:v>0.12989230183979997</c:v>
                </c:pt>
                <c:pt idx="8">
                  <c:v>0.12159296696920707</c:v>
                </c:pt>
                <c:pt idx="9">
                  <c:v>0.12160010133853918</c:v>
                </c:pt>
              </c:numCache>
            </c:numRef>
          </c:yVal>
          <c:smooth val="0"/>
          <c:extLst>
            <c:ext xmlns:c16="http://schemas.microsoft.com/office/drawing/2014/chart" uri="{C3380CC4-5D6E-409C-BE32-E72D297353CC}">
              <c16:uniqueId val="{00000003-4EC3-4473-AB47-C9B59860486C}"/>
            </c:ext>
          </c:extLst>
        </c:ser>
        <c:ser>
          <c:idx val="4"/>
          <c:order val="4"/>
          <c:tx>
            <c:v>900nm</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'ESTIMATED overall throughput'!$Q$18:$Q$27</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overall throughput'!$N$18:$N$27</c:f>
              <c:numCache>
                <c:formatCode>0.0000</c:formatCode>
                <c:ptCount val="10"/>
                <c:pt idx="0">
                  <c:v>0.12724105266585409</c:v>
                </c:pt>
                <c:pt idx="1">
                  <c:v>0.12724105266585409</c:v>
                </c:pt>
                <c:pt idx="2">
                  <c:v>0.12584918730967556</c:v>
                </c:pt>
                <c:pt idx="3">
                  <c:v>0.14767204980925835</c:v>
                </c:pt>
                <c:pt idx="4">
                  <c:v>0.14330438027572934</c:v>
                </c:pt>
                <c:pt idx="5">
                  <c:v>0.14359306166056443</c:v>
                </c:pt>
                <c:pt idx="6">
                  <c:v>0.14777948376198616</c:v>
                </c:pt>
                <c:pt idx="7">
                  <c:v>0.14697532401842711</c:v>
                </c:pt>
                <c:pt idx="8">
                  <c:v>0.14403706557159776</c:v>
                </c:pt>
                <c:pt idx="9">
                  <c:v>0.14403706557159776</c:v>
                </c:pt>
              </c:numCache>
            </c:numRef>
          </c:yVal>
          <c:smooth val="0"/>
          <c:extLst>
            <c:ext xmlns:c16="http://schemas.microsoft.com/office/drawing/2014/chart" uri="{C3380CC4-5D6E-409C-BE32-E72D297353CC}">
              <c16:uniqueId val="{00000004-4EC3-4473-AB47-C9B59860486C}"/>
            </c:ext>
          </c:extLst>
        </c:ser>
        <c:dLbls>
          <c:showLegendKey val="0"/>
          <c:showVal val="0"/>
          <c:showCatName val="0"/>
          <c:showSerName val="0"/>
          <c:showPercent val="0"/>
          <c:showBubbleSize val="0"/>
        </c:dLbls>
        <c:axId val="-1047015136"/>
        <c:axId val="-1047018944"/>
      </c:scatterChart>
      <c:valAx>
        <c:axId val="-1047015136"/>
        <c:scaling>
          <c:orientation val="minMax"/>
          <c:max val="43983"/>
          <c:min val="421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 (m/d/y)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m/d/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7018944"/>
        <c:crosses val="autoZero"/>
        <c:crossBetween val="midCat"/>
        <c:majorUnit val="182.5"/>
      </c:valAx>
      <c:valAx>
        <c:axId val="-104701894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Overall Throughput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701513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Estimated ELG SNR of redshifted</a:t>
            </a:r>
            <a:r>
              <a:rPr lang="en-US" baseline="0"/>
              <a:t> [OII] doublet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SNR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'Estimated ELG SNR'!$D$104:$D$112</c:f>
              <c:numCache>
                <c:formatCode>m/d/yyyy</c:formatCode>
                <c:ptCount val="9"/>
                <c:pt idx="0">
                  <c:v>42234</c:v>
                </c:pt>
                <c:pt idx="1">
                  <c:v>42398</c:v>
                </c:pt>
                <c:pt idx="2">
                  <c:v>42476</c:v>
                </c:pt>
                <c:pt idx="3">
                  <c:v>42762</c:v>
                </c:pt>
                <c:pt idx="4">
                  <c:v>43067</c:v>
                </c:pt>
                <c:pt idx="5">
                  <c:v>43258</c:v>
                </c:pt>
                <c:pt idx="6">
                  <c:v>43397</c:v>
                </c:pt>
                <c:pt idx="7">
                  <c:v>43474</c:v>
                </c:pt>
                <c:pt idx="8">
                  <c:v>43902</c:v>
                </c:pt>
              </c:numCache>
            </c:numRef>
          </c:xVal>
          <c:yVal>
            <c:numRef>
              <c:f>'Estimated ELG SNR'!$C$104:$C$112</c:f>
              <c:numCache>
                <c:formatCode>0.00</c:formatCode>
                <c:ptCount val="9"/>
                <c:pt idx="0">
                  <c:v>7.628214106912476</c:v>
                </c:pt>
                <c:pt idx="1">
                  <c:v>7.628214106912476</c:v>
                </c:pt>
                <c:pt idx="2">
                  <c:v>7.5714341182554445</c:v>
                </c:pt>
                <c:pt idx="3">
                  <c:v>8.3549296116057139</c:v>
                </c:pt>
                <c:pt idx="4">
                  <c:v>8.1088082788690468</c:v>
                </c:pt>
                <c:pt idx="5">
                  <c:v>8.1115405251130621</c:v>
                </c:pt>
                <c:pt idx="6">
                  <c:v>8.060897242131901</c:v>
                </c:pt>
                <c:pt idx="7">
                  <c:v>8.0623811413511071</c:v>
                </c:pt>
                <c:pt idx="8">
                  <c:v>7.9285695536425216</c:v>
                </c:pt>
              </c:numCache>
            </c:numRef>
          </c:yVal>
          <c:smooth val="0"/>
          <c:extLst>
            <c:ext xmlns:c16="http://schemas.microsoft.com/office/drawing/2014/chart" uri="{C3380CC4-5D6E-409C-BE32-E72D297353CC}">
              <c16:uniqueId val="{00000000-AA06-457A-9122-2EF048808AB4}"/>
            </c:ext>
          </c:extLst>
        </c:ser>
        <c:ser>
          <c:idx val="1"/>
          <c:order val="1"/>
          <c:tx>
            <c:v>Limit</c:v>
          </c:tx>
          <c:spPr>
            <a:ln w="19050" cap="rnd">
              <a:solidFill>
                <a:schemeClr val="accent2"/>
              </a:solidFill>
              <a:prstDash val="sysDash"/>
              <a:round/>
            </a:ln>
            <a:effectLst/>
          </c:spPr>
          <c:marker>
            <c:symbol val="none"/>
          </c:marker>
          <c:xVal>
            <c:numRef>
              <c:f>('Estimated ELG SNR'!$D$104,'Estimated ELG SNR'!$D$112)</c:f>
              <c:numCache>
                <c:formatCode>m/d/yyyy</c:formatCode>
                <c:ptCount val="2"/>
                <c:pt idx="0">
                  <c:v>42234</c:v>
                </c:pt>
                <c:pt idx="1">
                  <c:v>43902</c:v>
                </c:pt>
              </c:numCache>
            </c:numRef>
          </c:xVal>
          <c:yVal>
            <c:numRef>
              <c:f>('Estimated ELG SNR'!$E$104,'Estimated ELG SNR'!$E$112)</c:f>
              <c:numCache>
                <c:formatCode>General</c:formatCode>
                <c:ptCount val="2"/>
                <c:pt idx="0">
                  <c:v>7</c:v>
                </c:pt>
                <c:pt idx="1">
                  <c:v>7</c:v>
                </c:pt>
              </c:numCache>
            </c:numRef>
          </c:yVal>
          <c:smooth val="0"/>
          <c:extLst>
            <c:ext xmlns:c16="http://schemas.microsoft.com/office/drawing/2014/chart" uri="{C3380CC4-5D6E-409C-BE32-E72D297353CC}">
              <c16:uniqueId val="{00000001-6E6D-474A-8EA3-64B56E9A16B1}"/>
            </c:ext>
          </c:extLst>
        </c:ser>
        <c:dLbls>
          <c:showLegendKey val="0"/>
          <c:showVal val="0"/>
          <c:showCatName val="0"/>
          <c:showSerName val="0"/>
          <c:showPercent val="0"/>
          <c:showBubbleSize val="0"/>
        </c:dLbls>
        <c:axId val="-732550928"/>
        <c:axId val="-732544944"/>
      </c:scatterChart>
      <c:valAx>
        <c:axId val="-732550928"/>
        <c:scaling>
          <c:orientation val="minMax"/>
          <c:max val="43983"/>
          <c:min val="421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 (m/d/y)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4944"/>
        <c:crosses val="autoZero"/>
        <c:crossBetween val="midCat"/>
        <c:majorUnit val="182.5"/>
      </c:valAx>
      <c:valAx>
        <c:axId val="-732544944"/>
        <c:scaling>
          <c:orientation val="minMax"/>
          <c:max val="8.5"/>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SNR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50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Estimated QSO SNR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4000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'Estimated QSO SNR'!$I$73:$I$82</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QSO SNR'!$E$73:$E$82</c:f>
              <c:numCache>
                <c:formatCode>0.000</c:formatCode>
                <c:ptCount val="10"/>
                <c:pt idx="0">
                  <c:v>0.8528103254916215</c:v>
                </c:pt>
                <c:pt idx="1">
                  <c:v>0.8528103254916215</c:v>
                </c:pt>
                <c:pt idx="2">
                  <c:v>0.79674977000352709</c:v>
                </c:pt>
                <c:pt idx="3">
                  <c:v>0.87037185893654079</c:v>
                </c:pt>
                <c:pt idx="4">
                  <c:v>0.85687387959321493</c:v>
                </c:pt>
                <c:pt idx="5">
                  <c:v>0.85881718637289495</c:v>
                </c:pt>
                <c:pt idx="6">
                  <c:v>0.84353820911693878</c:v>
                </c:pt>
                <c:pt idx="7">
                  <c:v>0.85891426258119252</c:v>
                </c:pt>
                <c:pt idx="8">
                  <c:v>0.88547593661874135</c:v>
                </c:pt>
                <c:pt idx="9">
                  <c:v>0.90704112186724983</c:v>
                </c:pt>
              </c:numCache>
            </c:numRef>
          </c:yVal>
          <c:smooth val="0"/>
          <c:extLst>
            <c:ext xmlns:c16="http://schemas.microsoft.com/office/drawing/2014/chart" uri="{C3380CC4-5D6E-409C-BE32-E72D297353CC}">
              <c16:uniqueId val="{00000000-4CFE-4608-9000-A80CB17CB5D6}"/>
            </c:ext>
          </c:extLst>
        </c:ser>
        <c:ser>
          <c:idx val="1"/>
          <c:order val="1"/>
          <c:tx>
            <c:v>4500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'Estimated QSO SNR'!$I$73:$I$82</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QSO SNR'!$F$73:$F$82</c:f>
              <c:numCache>
                <c:formatCode>0.000</c:formatCode>
                <c:ptCount val="10"/>
                <c:pt idx="0">
                  <c:v>1.0528186782839355</c:v>
                </c:pt>
                <c:pt idx="1">
                  <c:v>1.0528186782839355</c:v>
                </c:pt>
                <c:pt idx="2">
                  <c:v>1.0128898776665576</c:v>
                </c:pt>
                <c:pt idx="3">
                  <c:v>1.2185435142898864</c:v>
                </c:pt>
                <c:pt idx="4">
                  <c:v>1.1973744475424499</c:v>
                </c:pt>
                <c:pt idx="5">
                  <c:v>1.1946418645902896</c:v>
                </c:pt>
                <c:pt idx="6">
                  <c:v>1.1293962780279871</c:v>
                </c:pt>
                <c:pt idx="7">
                  <c:v>1.1691796809719968</c:v>
                </c:pt>
                <c:pt idx="8">
                  <c:v>1.0260793624605231</c:v>
                </c:pt>
                <c:pt idx="9">
                  <c:v>1.0255336624984555</c:v>
                </c:pt>
              </c:numCache>
            </c:numRef>
          </c:yVal>
          <c:smooth val="0"/>
          <c:extLst>
            <c:ext xmlns:c16="http://schemas.microsoft.com/office/drawing/2014/chart" uri="{C3380CC4-5D6E-409C-BE32-E72D297353CC}">
              <c16:uniqueId val="{00000000-6E11-459C-B24C-78B47C5E0919}"/>
            </c:ext>
          </c:extLst>
        </c:ser>
        <c:ser>
          <c:idx val="2"/>
          <c:order val="2"/>
          <c:tx>
            <c:v>5500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'Estimated QSO SNR'!$I$73:$I$82</c:f>
              <c:numCache>
                <c:formatCode>m/d/yyyy</c:formatCode>
                <c:ptCount val="10"/>
                <c:pt idx="0">
                  <c:v>42234</c:v>
                </c:pt>
                <c:pt idx="1">
                  <c:v>42398</c:v>
                </c:pt>
                <c:pt idx="2">
                  <c:v>42476</c:v>
                </c:pt>
                <c:pt idx="3">
                  <c:v>42762</c:v>
                </c:pt>
                <c:pt idx="4">
                  <c:v>43067</c:v>
                </c:pt>
                <c:pt idx="5">
                  <c:v>43258</c:v>
                </c:pt>
                <c:pt idx="6">
                  <c:v>43397</c:v>
                </c:pt>
                <c:pt idx="7">
                  <c:v>43474</c:v>
                </c:pt>
                <c:pt idx="8">
                  <c:v>43902</c:v>
                </c:pt>
                <c:pt idx="9">
                  <c:v>43937</c:v>
                </c:pt>
              </c:numCache>
            </c:numRef>
          </c:xVal>
          <c:yVal>
            <c:numRef>
              <c:f>'Estimated QSO SNR'!$H$73:$H$82</c:f>
              <c:numCache>
                <c:formatCode>0.000</c:formatCode>
                <c:ptCount val="10"/>
                <c:pt idx="0">
                  <c:v>1.9159956111079099</c:v>
                </c:pt>
                <c:pt idx="1">
                  <c:v>1.9159956111079099</c:v>
                </c:pt>
                <c:pt idx="2">
                  <c:v>1.8799713266186984</c:v>
                </c:pt>
                <c:pt idx="3">
                  <c:v>2.0124336796400235</c:v>
                </c:pt>
                <c:pt idx="4">
                  <c:v>1.9687499901177641</c:v>
                </c:pt>
                <c:pt idx="5">
                  <c:v>1.9644731394428596</c:v>
                </c:pt>
                <c:pt idx="6">
                  <c:v>1.767419080621554</c:v>
                </c:pt>
                <c:pt idx="7">
                  <c:v>1.8966477714826167</c:v>
                </c:pt>
                <c:pt idx="8">
                  <c:v>1.8171222728085357</c:v>
                </c:pt>
                <c:pt idx="9">
                  <c:v>1.7847126147369945</c:v>
                </c:pt>
              </c:numCache>
            </c:numRef>
          </c:yVal>
          <c:smooth val="0"/>
          <c:extLst>
            <c:ext xmlns:c16="http://schemas.microsoft.com/office/drawing/2014/chart" uri="{C3380CC4-5D6E-409C-BE32-E72D297353CC}">
              <c16:uniqueId val="{00000001-6E11-459C-B24C-78B47C5E0919}"/>
            </c:ext>
          </c:extLst>
        </c:ser>
        <c:dLbls>
          <c:showLegendKey val="0"/>
          <c:showVal val="0"/>
          <c:showCatName val="0"/>
          <c:showSerName val="0"/>
          <c:showPercent val="0"/>
          <c:showBubbleSize val="0"/>
        </c:dLbls>
        <c:axId val="-732550384"/>
        <c:axId val="-732545488"/>
      </c:scatterChart>
      <c:valAx>
        <c:axId val="-732550384"/>
        <c:scaling>
          <c:orientation val="minMax"/>
          <c:max val="43983"/>
          <c:min val="421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 (m/d/y)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5488"/>
        <c:crosses val="autoZero"/>
        <c:crossBetween val="midCat"/>
        <c:majorUnit val="182.5"/>
      </c:valAx>
      <c:valAx>
        <c:axId val="-732545488"/>
        <c:scaling>
          <c:orientation val="minMax"/>
          <c:max val="2.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S/N per sqrt(</a:t>
                </a:r>
                <a:r>
                  <a:rPr lang="en-US">
                    <a:latin typeface="Calibri" panose="020F0502020204030204" pitchFamily="34" charset="0"/>
                    <a:cs typeface="Calibri" panose="020F0502020204030204" pitchFamily="34" charset="0"/>
                  </a:rPr>
                  <a:t>Å</a:t>
                </a:r>
                <a:r>
                  <a:rPr lang="en-US"/>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5038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Estimated QSO SNR vs observer frame wavelength</a:t>
            </a:r>
          </a:p>
          <a:p>
            <a:pPr>
              <a:defRPr/>
            </a:pPr>
            <a:r>
              <a:rPr lang="en-US" sz="1100"/>
              <a:t>Minimal S/N of reference g=23 quasars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Req L2.5.4</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'Estimated QSO SNR'!$C$72:$H$72</c:f>
              <c:numCache>
                <c:formatCode>General</c:formatCode>
                <c:ptCount val="6"/>
                <c:pt idx="0">
                  <c:v>3600</c:v>
                </c:pt>
                <c:pt idx="1">
                  <c:v>3800</c:v>
                </c:pt>
                <c:pt idx="2">
                  <c:v>4000</c:v>
                </c:pt>
                <c:pt idx="3">
                  <c:v>4500</c:v>
                </c:pt>
                <c:pt idx="4">
                  <c:v>5000</c:v>
                </c:pt>
                <c:pt idx="5">
                  <c:v>5500</c:v>
                </c:pt>
              </c:numCache>
            </c:numRef>
          </c:xVal>
          <c:yVal>
            <c:numRef>
              <c:f>'Estimated QSO SNR'!$C$70:$H$70</c:f>
              <c:numCache>
                <c:formatCode>0.00</c:formatCode>
                <c:ptCount val="6"/>
                <c:pt idx="0">
                  <c:v>0.26</c:v>
                </c:pt>
                <c:pt idx="1">
                  <c:v>0.51</c:v>
                </c:pt>
                <c:pt idx="2">
                  <c:v>0.6</c:v>
                </c:pt>
                <c:pt idx="3">
                  <c:v>0.94</c:v>
                </c:pt>
                <c:pt idx="4">
                  <c:v>1.22</c:v>
                </c:pt>
                <c:pt idx="5">
                  <c:v>1.63</c:v>
                </c:pt>
              </c:numCache>
            </c:numRef>
          </c:yVal>
          <c:smooth val="0"/>
          <c:extLst>
            <c:ext xmlns:c16="http://schemas.microsoft.com/office/drawing/2014/chart" uri="{C3380CC4-5D6E-409C-BE32-E72D297353CC}">
              <c16:uniqueId val="{00000000-FC95-4DD1-852B-B1E30E7C35DF}"/>
            </c:ext>
          </c:extLst>
        </c:ser>
        <c:ser>
          <c:idx val="3"/>
          <c:order val="3"/>
          <c:tx>
            <c:v>4/16/2020</c:v>
          </c:tx>
          <c:spPr>
            <a:ln w="19050" cap="rnd">
              <a:solidFill>
                <a:schemeClr val="accent4"/>
              </a:solidFill>
              <a:round/>
            </a:ln>
            <a:effectLst/>
          </c:spPr>
          <c:marker>
            <c:symbol val="none"/>
          </c:marker>
          <c:xVal>
            <c:numRef>
              <c:f>'Estimated QSO SNR'!$C$72:$H$72</c:f>
              <c:numCache>
                <c:formatCode>General</c:formatCode>
                <c:ptCount val="6"/>
                <c:pt idx="0">
                  <c:v>3600</c:v>
                </c:pt>
                <c:pt idx="1">
                  <c:v>3800</c:v>
                </c:pt>
                <c:pt idx="2">
                  <c:v>4000</c:v>
                </c:pt>
                <c:pt idx="3">
                  <c:v>4500</c:v>
                </c:pt>
                <c:pt idx="4">
                  <c:v>5000</c:v>
                </c:pt>
                <c:pt idx="5">
                  <c:v>5500</c:v>
                </c:pt>
              </c:numCache>
            </c:numRef>
          </c:xVal>
          <c:yVal>
            <c:numRef>
              <c:f>'Estimated QSO SNR'!$C$82:$H$82</c:f>
              <c:numCache>
                <c:formatCode>0.000</c:formatCode>
                <c:ptCount val="6"/>
                <c:pt idx="0">
                  <c:v>0.44894471711838524</c:v>
                </c:pt>
                <c:pt idx="1">
                  <c:v>0.69310921665653624</c:v>
                </c:pt>
                <c:pt idx="2">
                  <c:v>0.90704112186724983</c:v>
                </c:pt>
                <c:pt idx="3">
                  <c:v>1.0255336624984555</c:v>
                </c:pt>
                <c:pt idx="4">
                  <c:v>1.435083221615814</c:v>
                </c:pt>
                <c:pt idx="5">
                  <c:v>1.7847126147369945</c:v>
                </c:pt>
              </c:numCache>
            </c:numRef>
          </c:yVal>
          <c:smooth val="0"/>
          <c:extLst>
            <c:ext xmlns:c16="http://schemas.microsoft.com/office/drawing/2014/chart" uri="{C3380CC4-5D6E-409C-BE32-E72D297353CC}">
              <c16:uniqueId val="{00000000-83F4-42A3-A43D-1EAE116024B3}"/>
            </c:ext>
          </c:extLst>
        </c:ser>
        <c:dLbls>
          <c:showLegendKey val="0"/>
          <c:showVal val="0"/>
          <c:showCatName val="0"/>
          <c:showSerName val="0"/>
          <c:showPercent val="0"/>
          <c:showBubbleSize val="0"/>
        </c:dLbls>
        <c:axId val="-732546576"/>
        <c:axId val="-732548752"/>
        <c:extLst>
          <c:ext xmlns:c15="http://schemas.microsoft.com/office/drawing/2012/chart" uri="{02D57815-91ED-43cb-92C2-25804820EDAC}">
            <c15:filteredScatterSeries>
              <c15:ser>
                <c:idx val="1"/>
                <c:order val="1"/>
                <c:tx>
                  <c:v>4/16/2016</c:v>
                </c:tx>
                <c:spPr>
                  <a:ln w="19050" cap="rnd">
                    <a:solidFill>
                      <a:schemeClr val="accent2"/>
                    </a:solidFill>
                    <a:round/>
                  </a:ln>
                  <a:effectLst/>
                </c:spPr>
                <c:marker>
                  <c:symbol val="none"/>
                </c:marker>
                <c:xVal>
                  <c:numRef>
                    <c:extLst>
                      <c:ext uri="{02D57815-91ED-43cb-92C2-25804820EDAC}">
                        <c15:formulaRef>
                          <c15:sqref>'Estimated QSO SNR'!$C$72:$H$72</c15:sqref>
                        </c15:formulaRef>
                      </c:ext>
                    </c:extLst>
                    <c:numCache>
                      <c:formatCode>General</c:formatCode>
                      <c:ptCount val="6"/>
                      <c:pt idx="0">
                        <c:v>3600</c:v>
                      </c:pt>
                      <c:pt idx="1">
                        <c:v>3800</c:v>
                      </c:pt>
                      <c:pt idx="2">
                        <c:v>4000</c:v>
                      </c:pt>
                      <c:pt idx="3">
                        <c:v>4500</c:v>
                      </c:pt>
                      <c:pt idx="4">
                        <c:v>5000</c:v>
                      </c:pt>
                      <c:pt idx="5">
                        <c:v>5500</c:v>
                      </c:pt>
                    </c:numCache>
                  </c:numRef>
                </c:xVal>
                <c:yVal>
                  <c:numRef>
                    <c:extLst>
                      <c:ext uri="{02D57815-91ED-43cb-92C2-25804820EDAC}">
                        <c15:formulaRef>
                          <c15:sqref>'Estimated QSO SNR'!$C$75:$H$75</c15:sqref>
                        </c15:formulaRef>
                      </c:ext>
                    </c:extLst>
                    <c:numCache>
                      <c:formatCode>0.000</c:formatCode>
                      <c:ptCount val="6"/>
                      <c:pt idx="0">
                        <c:v>0.33319949227855433</c:v>
                      </c:pt>
                      <c:pt idx="1">
                        <c:v>0.55944977423101994</c:v>
                      </c:pt>
                      <c:pt idx="2">
                        <c:v>0.79674977000352709</c:v>
                      </c:pt>
                      <c:pt idx="3">
                        <c:v>1.0128898776665576</c:v>
                      </c:pt>
                      <c:pt idx="4">
                        <c:v>1.4493143781639821</c:v>
                      </c:pt>
                      <c:pt idx="5">
                        <c:v>1.8799713266186984</c:v>
                      </c:pt>
                    </c:numCache>
                  </c:numRef>
                </c:yVal>
                <c:smooth val="0"/>
                <c:extLst>
                  <c:ext xmlns:c16="http://schemas.microsoft.com/office/drawing/2014/chart" uri="{C3380CC4-5D6E-409C-BE32-E72D297353CC}">
                    <c16:uniqueId val="{00000001-FC95-4DD1-852B-B1E30E7C35DF}"/>
                  </c:ext>
                </c:extLst>
              </c15:ser>
            </c15:filteredScatterSeries>
            <c15:filteredScatterSeries>
              <c15:ser>
                <c:idx val="2"/>
                <c:order val="2"/>
                <c:tx>
                  <c:v>10/10/2018</c:v>
                </c:tx>
                <c:spPr>
                  <a:ln w="19050" cap="rnd">
                    <a:solidFill>
                      <a:schemeClr val="accent3"/>
                    </a:solidFill>
                    <a:round/>
                  </a:ln>
                  <a:effectLst/>
                </c:spPr>
                <c:marker>
                  <c:symbol val="none"/>
                </c:marker>
                <c:xVal>
                  <c:numRef>
                    <c:extLst xmlns:c15="http://schemas.microsoft.com/office/drawing/2012/chart">
                      <c:ext xmlns:c15="http://schemas.microsoft.com/office/drawing/2012/chart" uri="{02D57815-91ED-43cb-92C2-25804820EDAC}">
                        <c15:formulaRef>
                          <c15:sqref>'Estimated QSO SNR'!$C$72:$H$72</c15:sqref>
                        </c15:formulaRef>
                      </c:ext>
                    </c:extLst>
                    <c:numCache>
                      <c:formatCode>General</c:formatCode>
                      <c:ptCount val="6"/>
                      <c:pt idx="0">
                        <c:v>3600</c:v>
                      </c:pt>
                      <c:pt idx="1">
                        <c:v>3800</c:v>
                      </c:pt>
                      <c:pt idx="2">
                        <c:v>4000</c:v>
                      </c:pt>
                      <c:pt idx="3">
                        <c:v>4500</c:v>
                      </c:pt>
                      <c:pt idx="4">
                        <c:v>5000</c:v>
                      </c:pt>
                      <c:pt idx="5">
                        <c:v>5500</c:v>
                      </c:pt>
                    </c:numCache>
                  </c:numRef>
                </c:xVal>
                <c:yVal>
                  <c:numRef>
                    <c:extLst xmlns:c15="http://schemas.microsoft.com/office/drawing/2012/chart">
                      <c:ext xmlns:c15="http://schemas.microsoft.com/office/drawing/2012/chart" uri="{02D57815-91ED-43cb-92C2-25804820EDAC}">
                        <c15:formulaRef>
                          <c15:sqref>'Estimated QSO SNR'!$C$79:$H$79</c15:sqref>
                        </c15:formulaRef>
                      </c:ext>
                    </c:extLst>
                    <c:numCache>
                      <c:formatCode>0.000</c:formatCode>
                      <c:ptCount val="6"/>
                      <c:pt idx="0">
                        <c:v>0.40874233701970197</c:v>
                      </c:pt>
                      <c:pt idx="1">
                        <c:v>0.64361688602043432</c:v>
                      </c:pt>
                      <c:pt idx="2">
                        <c:v>0.84353820911693878</c:v>
                      </c:pt>
                      <c:pt idx="3">
                        <c:v>1.1293962780279871</c:v>
                      </c:pt>
                      <c:pt idx="4">
                        <c:v>1.4874967716619218</c:v>
                      </c:pt>
                      <c:pt idx="5">
                        <c:v>1.767419080621554</c:v>
                      </c:pt>
                    </c:numCache>
                  </c:numRef>
                </c:yVal>
                <c:smooth val="0"/>
                <c:extLst xmlns:c15="http://schemas.microsoft.com/office/drawing/2012/chart">
                  <c:ext xmlns:c16="http://schemas.microsoft.com/office/drawing/2014/chart" uri="{C3380CC4-5D6E-409C-BE32-E72D297353CC}">
                    <c16:uniqueId val="{00000002-FC95-4DD1-852B-B1E30E7C35DF}"/>
                  </c:ext>
                </c:extLst>
              </c15:ser>
            </c15:filteredScatterSeries>
          </c:ext>
        </c:extLst>
      </c:scatterChart>
      <c:valAx>
        <c:axId val="-732546576"/>
        <c:scaling>
          <c:orientation val="minMax"/>
          <c:max val="5500"/>
          <c:min val="3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Wavelength (</a:t>
                </a:r>
                <a:r>
                  <a:rPr lang="en-US">
                    <a:latin typeface="Calibri" panose="020F0502020204030204" pitchFamily="34" charset="0"/>
                    <a:cs typeface="Calibri" panose="020F0502020204030204" pitchFamily="34" charset="0"/>
                  </a:rPr>
                  <a:t>Å</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8752"/>
        <c:crosses val="autoZero"/>
        <c:crossBetween val="midCat"/>
        <c:majorUnit val="500"/>
      </c:valAx>
      <c:valAx>
        <c:axId val="-732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S/N per sqrt(</a:t>
                </a:r>
                <a:r>
                  <a:rPr lang="en-US">
                    <a:latin typeface="Calibri" panose="020F0502020204030204" pitchFamily="34" charset="0"/>
                    <a:cs typeface="Calibri" panose="020F0502020204030204" pitchFamily="34" charset="0"/>
                  </a:rPr>
                  <a:t>Å</a:t>
                </a:r>
                <a:r>
                  <a:rPr lang="en-US"/>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657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'Spectrograph Throughput'!$U$2</c:f>
              <c:strCache>
                <c:ptCount val="1"/>
                <c:pt idx="0">
                  <c:v>SM1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Throughput'!$U$3:$U$18</c:f>
              <c:numCache>
                <c:formatCode>0.000</c:formatCode>
                <c:ptCount val="16"/>
                <c:pt idx="0">
                  <c:v>0.21023857261625645</c:v>
                </c:pt>
                <c:pt idx="1">
                  <c:v>0.40925091981988404</c:v>
                </c:pt>
                <c:pt idx="2">
                  <c:v>0.5255162413964457</c:v>
                </c:pt>
                <c:pt idx="3">
                  <c:v>0.65431061946163305</c:v>
                </c:pt>
                <c:pt idx="4">
                  <c:v>0.72975764073360316</c:v>
                </c:pt>
                <c:pt idx="5">
                  <c:v>0.68749745751791103</c:v>
                </c:pt>
                <c:pt idx="6">
                  <c:v>0.62765284426301426</c:v>
                </c:pt>
                <c:pt idx="7">
                  <c:v>0.69262510431377289</c:v>
                </c:pt>
                <c:pt idx="8">
                  <c:v>0.77451779789026554</c:v>
                </c:pt>
                <c:pt idx="9">
                  <c:v>0.78276665917420463</c:v>
                </c:pt>
                <c:pt idx="10">
                  <c:v>0.74403371850844779</c:v>
                </c:pt>
                <c:pt idx="11">
                  <c:v>0.84416394680219675</c:v>
                </c:pt>
                <c:pt idx="12">
                  <c:v>0.86236992830785375</c:v>
                </c:pt>
                <c:pt idx="13">
                  <c:v>0.82786344868286699</c:v>
                </c:pt>
                <c:pt idx="14">
                  <c:v>0.51390947367596818</c:v>
                </c:pt>
                <c:pt idx="15">
                  <c:v>0.4073727796046267</c:v>
                </c:pt>
              </c:numCache>
            </c:numRef>
          </c:yVal>
          <c:smooth val="0"/>
          <c:extLst>
            <c:ext xmlns:c16="http://schemas.microsoft.com/office/drawing/2014/chart" uri="{C3380CC4-5D6E-409C-BE32-E72D297353CC}">
              <c16:uniqueId val="{00000000-3B07-41F4-B354-F795559355E8}"/>
            </c:ext>
          </c:extLst>
        </c:ser>
        <c:ser>
          <c:idx val="1"/>
          <c:order val="1"/>
          <c:tx>
            <c:strRef>
              <c:f>'Spectrograph Throughput'!$V$2</c:f>
              <c:strCache>
                <c:ptCount val="1"/>
                <c:pt idx="0">
                  <c:v>SM2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Throughput'!$V$3:$V$18</c:f>
              <c:numCache>
                <c:formatCode>0.000</c:formatCode>
                <c:ptCount val="16"/>
                <c:pt idx="0">
                  <c:v>0.46074810101972569</c:v>
                </c:pt>
                <c:pt idx="1">
                  <c:v>0.52721178241397515</c:v>
                </c:pt>
                <c:pt idx="2">
                  <c:v>0.60300104094284501</c:v>
                </c:pt>
                <c:pt idx="3">
                  <c:v>0.68338762598373815</c:v>
                </c:pt>
                <c:pt idx="4">
                  <c:v>0.67568753309468643</c:v>
                </c:pt>
                <c:pt idx="5">
                  <c:v>0.59949442900445049</c:v>
                </c:pt>
                <c:pt idx="6">
                  <c:v>0.53742804532260058</c:v>
                </c:pt>
                <c:pt idx="7">
                  <c:v>0.6392842850288345</c:v>
                </c:pt>
                <c:pt idx="8">
                  <c:v>0.67082178642483092</c:v>
                </c:pt>
                <c:pt idx="9">
                  <c:v>0.66274223308307423</c:v>
                </c:pt>
                <c:pt idx="10">
                  <c:v>0.62851232378690891</c:v>
                </c:pt>
                <c:pt idx="11">
                  <c:v>0.80281567702034595</c:v>
                </c:pt>
                <c:pt idx="12">
                  <c:v>0.79448623267241547</c:v>
                </c:pt>
                <c:pt idx="13">
                  <c:v>0.75082206341046154</c:v>
                </c:pt>
                <c:pt idx="14">
                  <c:v>0.41184345080732759</c:v>
                </c:pt>
                <c:pt idx="15">
                  <c:v>0.29216528954414611</c:v>
                </c:pt>
              </c:numCache>
            </c:numRef>
          </c:yVal>
          <c:smooth val="0"/>
          <c:extLst>
            <c:ext xmlns:c16="http://schemas.microsoft.com/office/drawing/2014/chart" uri="{C3380CC4-5D6E-409C-BE32-E72D297353CC}">
              <c16:uniqueId val="{00000001-3B07-41F4-B354-F795559355E8}"/>
            </c:ext>
          </c:extLst>
        </c:ser>
        <c:ser>
          <c:idx val="2"/>
          <c:order val="2"/>
          <c:tx>
            <c:strRef>
              <c:f>'Spectrograph Throughput'!$W$2</c:f>
              <c:strCache>
                <c:ptCount val="1"/>
                <c:pt idx="0">
                  <c:v>SM3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Throughput'!$W$3:$W$18</c:f>
              <c:numCache>
                <c:formatCode>0.000</c:formatCode>
                <c:ptCount val="16"/>
                <c:pt idx="0">
                  <c:v>0.4630263761036324</c:v>
                </c:pt>
                <c:pt idx="1">
                  <c:v>0.54225709698884439</c:v>
                </c:pt>
                <c:pt idx="2">
                  <c:v>0.62318251531573876</c:v>
                </c:pt>
                <c:pt idx="3">
                  <c:v>0.71598172014878603</c:v>
                </c:pt>
                <c:pt idx="4">
                  <c:v>0.70533434398380945</c:v>
                </c:pt>
                <c:pt idx="5">
                  <c:v>0.62292842091880307</c:v>
                </c:pt>
                <c:pt idx="6">
                  <c:v>0.56660274655337328</c:v>
                </c:pt>
                <c:pt idx="7">
                  <c:v>0.64662669309754495</c:v>
                </c:pt>
                <c:pt idx="8">
                  <c:v>0.67398310034141307</c:v>
                </c:pt>
                <c:pt idx="9">
                  <c:v>0.65817829935026528</c:v>
                </c:pt>
                <c:pt idx="10">
                  <c:v>0.60277446933355905</c:v>
                </c:pt>
                <c:pt idx="11">
                  <c:v>0.73760001181757739</c:v>
                </c:pt>
                <c:pt idx="12">
                  <c:v>0.79777901015816199</c:v>
                </c:pt>
                <c:pt idx="13">
                  <c:v>0.79475757410257497</c:v>
                </c:pt>
                <c:pt idx="14">
                  <c:v>0.48596135698440934</c:v>
                </c:pt>
                <c:pt idx="15">
                  <c:v>0.36104262595202041</c:v>
                </c:pt>
              </c:numCache>
            </c:numRef>
          </c:yVal>
          <c:smooth val="0"/>
          <c:extLst>
            <c:ext xmlns:c16="http://schemas.microsoft.com/office/drawing/2014/chart" uri="{C3380CC4-5D6E-409C-BE32-E72D297353CC}">
              <c16:uniqueId val="{00000002-3B07-41F4-B354-F795559355E8}"/>
            </c:ext>
          </c:extLst>
        </c:ser>
        <c:ser>
          <c:idx val="3"/>
          <c:order val="3"/>
          <c:tx>
            <c:strRef>
              <c:f>'Spectrograph Throughput'!$X$2</c:f>
              <c:strCache>
                <c:ptCount val="1"/>
                <c:pt idx="0">
                  <c:v>SM4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Throughput'!$X$3:$X$18</c:f>
              <c:numCache>
                <c:formatCode>0.000</c:formatCode>
                <c:ptCount val="16"/>
                <c:pt idx="0">
                  <c:v>0.52989943670788864</c:v>
                </c:pt>
                <c:pt idx="1">
                  <c:v>0.58815815855615028</c:v>
                </c:pt>
                <c:pt idx="2">
                  <c:v>0.65032505087557269</c:v>
                </c:pt>
                <c:pt idx="3">
                  <c:v>0.71000973352508379</c:v>
                </c:pt>
                <c:pt idx="4">
                  <c:v>0.69670194889986237</c:v>
                </c:pt>
                <c:pt idx="5">
                  <c:v>0.6319819579113457</c:v>
                </c:pt>
                <c:pt idx="6">
                  <c:v>0.53641726040543014</c:v>
                </c:pt>
                <c:pt idx="7">
                  <c:v>0.63024324335725235</c:v>
                </c:pt>
                <c:pt idx="8">
                  <c:v>0.66410205860840044</c:v>
                </c:pt>
                <c:pt idx="9">
                  <c:v>0.65532096575956034</c:v>
                </c:pt>
                <c:pt idx="10">
                  <c:v>0.60706741643732953</c:v>
                </c:pt>
                <c:pt idx="11">
                  <c:v>0.82498677920237906</c:v>
                </c:pt>
                <c:pt idx="12">
                  <c:v>0.81513598905485507</c:v>
                </c:pt>
                <c:pt idx="13">
                  <c:v>0.76463199436803342</c:v>
                </c:pt>
                <c:pt idx="14">
                  <c:v>0.42960681652357041</c:v>
                </c:pt>
                <c:pt idx="15">
                  <c:v>0.31473761358108659</c:v>
                </c:pt>
              </c:numCache>
            </c:numRef>
          </c:yVal>
          <c:smooth val="0"/>
          <c:extLst>
            <c:ext xmlns:c16="http://schemas.microsoft.com/office/drawing/2014/chart" uri="{C3380CC4-5D6E-409C-BE32-E72D297353CC}">
              <c16:uniqueId val="{00000003-3B07-41F4-B354-F795559355E8}"/>
            </c:ext>
          </c:extLst>
        </c:ser>
        <c:ser>
          <c:idx val="4"/>
          <c:order val="4"/>
          <c:tx>
            <c:strRef>
              <c:f>'Spectrograph Throughput'!$Y$2</c:f>
              <c:strCache>
                <c:ptCount val="1"/>
                <c:pt idx="0">
                  <c:v>SM5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Throughput'!$Y$3:$Y$18</c:f>
              <c:numCache>
                <c:formatCode>0.000</c:formatCode>
                <c:ptCount val="16"/>
                <c:pt idx="0">
                  <c:v>0.57376941048613894</c:v>
                </c:pt>
                <c:pt idx="1">
                  <c:v>0.60364436685381417</c:v>
                </c:pt>
                <c:pt idx="2">
                  <c:v>0.66738197569831703</c:v>
                </c:pt>
                <c:pt idx="3">
                  <c:v>0.71533537003691217</c:v>
                </c:pt>
                <c:pt idx="4">
                  <c:v>0.70500102716196411</c:v>
                </c:pt>
                <c:pt idx="5">
                  <c:v>0.63049470985210099</c:v>
                </c:pt>
                <c:pt idx="6">
                  <c:v>0.54300210605042698</c:v>
                </c:pt>
                <c:pt idx="7">
                  <c:v>0.63341207627873308</c:v>
                </c:pt>
                <c:pt idx="8">
                  <c:v>0.66580354444413858</c:v>
                </c:pt>
                <c:pt idx="9">
                  <c:v>0.6564799245237305</c:v>
                </c:pt>
                <c:pt idx="10">
                  <c:v>0.61079578656525801</c:v>
                </c:pt>
                <c:pt idx="11">
                  <c:v>0.82498677920237906</c:v>
                </c:pt>
                <c:pt idx="12">
                  <c:v>0.81513598905485507</c:v>
                </c:pt>
                <c:pt idx="13">
                  <c:v>0.76463199436803342</c:v>
                </c:pt>
                <c:pt idx="14">
                  <c:v>0.42960681652357041</c:v>
                </c:pt>
                <c:pt idx="15">
                  <c:v>0.31473761358108659</c:v>
                </c:pt>
              </c:numCache>
            </c:numRef>
          </c:yVal>
          <c:smooth val="0"/>
          <c:extLst>
            <c:ext xmlns:c16="http://schemas.microsoft.com/office/drawing/2014/chart" uri="{C3380CC4-5D6E-409C-BE32-E72D297353CC}">
              <c16:uniqueId val="{00000004-3B07-41F4-B354-F795559355E8}"/>
            </c:ext>
          </c:extLst>
        </c:ser>
        <c:ser>
          <c:idx val="5"/>
          <c:order val="5"/>
          <c:tx>
            <c:strRef>
              <c:f>'Spectrograph Throughput'!$Z$2</c:f>
              <c:strCache>
                <c:ptCount val="1"/>
                <c:pt idx="0">
                  <c:v>SM6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Throughput'!$Z$3:$Z$18</c:f>
              <c:numCache>
                <c:formatCode>0.000</c:formatCode>
                <c:ptCount val="16"/>
                <c:pt idx="0">
                  <c:v>0.37437111053799721</c:v>
                </c:pt>
                <c:pt idx="1">
                  <c:v>0.41403598282883758</c:v>
                </c:pt>
                <c:pt idx="2">
                  <c:v>0.51012978677930942</c:v>
                </c:pt>
                <c:pt idx="3">
                  <c:v>0.63572121379435975</c:v>
                </c:pt>
                <c:pt idx="4">
                  <c:v>0.68808686134205399</c:v>
                </c:pt>
                <c:pt idx="5">
                  <c:v>0.65167513076841921</c:v>
                </c:pt>
                <c:pt idx="6">
                  <c:v>0.61391656172032205</c:v>
                </c:pt>
                <c:pt idx="7">
                  <c:v>0.64349802999280414</c:v>
                </c:pt>
                <c:pt idx="8">
                  <c:v>0.68882644412014049</c:v>
                </c:pt>
                <c:pt idx="9">
                  <c:v>0.67214446887194645</c:v>
                </c:pt>
                <c:pt idx="10">
                  <c:v>0.64086846087871485</c:v>
                </c:pt>
                <c:pt idx="11">
                  <c:v>0.79176622718517986</c:v>
                </c:pt>
                <c:pt idx="12">
                  <c:v>0.81349405205732461</c:v>
                </c:pt>
                <c:pt idx="13">
                  <c:v>0.78728610824491352</c:v>
                </c:pt>
                <c:pt idx="14">
                  <c:v>0.4645173411492311</c:v>
                </c:pt>
                <c:pt idx="15">
                  <c:v>0.34267492938343569</c:v>
                </c:pt>
              </c:numCache>
            </c:numRef>
          </c:yVal>
          <c:smooth val="0"/>
          <c:extLst>
            <c:ext xmlns:c16="http://schemas.microsoft.com/office/drawing/2014/chart" uri="{C3380CC4-5D6E-409C-BE32-E72D297353CC}">
              <c16:uniqueId val="{00000005-3B07-41F4-B354-F795559355E8}"/>
            </c:ext>
          </c:extLst>
        </c:ser>
        <c:ser>
          <c:idx val="6"/>
          <c:order val="6"/>
          <c:tx>
            <c:strRef>
              <c:f>'Spectrograph Throughput'!$AA$2</c:f>
              <c:strCache>
                <c:ptCount val="1"/>
                <c:pt idx="0">
                  <c:v>SM7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Throughput'!$AA$3:$AA$18</c:f>
              <c:numCache>
                <c:formatCode>0.000</c:formatCode>
                <c:ptCount val="16"/>
                <c:pt idx="0">
                  <c:v>0.44465739411061356</c:v>
                </c:pt>
                <c:pt idx="1">
                  <c:v>0.46349065030397113</c:v>
                </c:pt>
                <c:pt idx="2">
                  <c:v>0.55056176073257002</c:v>
                </c:pt>
                <c:pt idx="3">
                  <c:v>0.65004882342881176</c:v>
                </c:pt>
                <c:pt idx="4">
                  <c:v>0.7005313727633995</c:v>
                </c:pt>
                <c:pt idx="5">
                  <c:v>0.66723280818062058</c:v>
                </c:pt>
                <c:pt idx="6">
                  <c:v>0.61397920333762934</c:v>
                </c:pt>
                <c:pt idx="7">
                  <c:v>0.697349038426472</c:v>
                </c:pt>
                <c:pt idx="8">
                  <c:v>0.72021370669465012</c:v>
                </c:pt>
                <c:pt idx="9">
                  <c:v>0.71059431399740358</c:v>
                </c:pt>
                <c:pt idx="10">
                  <c:v>0.66394559328489811</c:v>
                </c:pt>
                <c:pt idx="11">
                  <c:v>0.7933775659555673</c:v>
                </c:pt>
                <c:pt idx="12">
                  <c:v>0.79407271772581933</c:v>
                </c:pt>
                <c:pt idx="13">
                  <c:v>0.77279945084563739</c:v>
                </c:pt>
                <c:pt idx="14">
                  <c:v>0.42901526101820237</c:v>
                </c:pt>
                <c:pt idx="15">
                  <c:v>0.30448555295679974</c:v>
                </c:pt>
              </c:numCache>
            </c:numRef>
          </c:yVal>
          <c:smooth val="0"/>
          <c:extLst>
            <c:ext xmlns:c16="http://schemas.microsoft.com/office/drawing/2014/chart" uri="{C3380CC4-5D6E-409C-BE32-E72D297353CC}">
              <c16:uniqueId val="{00000006-3B07-41F4-B354-F795559355E8}"/>
            </c:ext>
          </c:extLst>
        </c:ser>
        <c:ser>
          <c:idx val="7"/>
          <c:order val="7"/>
          <c:tx>
            <c:strRef>
              <c:f>'Spectrograph Throughput'!$AB$2</c:f>
              <c:strCache>
                <c:ptCount val="1"/>
                <c:pt idx="0">
                  <c:v>SM8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Throughput'!$AB$3:$AB$18</c:f>
              <c:numCache>
                <c:formatCode>0.000</c:formatCode>
                <c:ptCount val="16"/>
                <c:pt idx="0">
                  <c:v>0.47414954871014686</c:v>
                </c:pt>
                <c:pt idx="1">
                  <c:v>0.50073760741193174</c:v>
                </c:pt>
                <c:pt idx="2">
                  <c:v>0.5982074518924837</c:v>
                </c:pt>
                <c:pt idx="3">
                  <c:v>0.71127053307310872</c:v>
                </c:pt>
                <c:pt idx="4">
                  <c:v>0.73733116169636415</c:v>
                </c:pt>
                <c:pt idx="5">
                  <c:v>0.67418272283470448</c:v>
                </c:pt>
                <c:pt idx="6">
                  <c:v>0.59849642710365081</c:v>
                </c:pt>
                <c:pt idx="7">
                  <c:v>0.64208447725034912</c:v>
                </c:pt>
                <c:pt idx="8">
                  <c:v>0.67061422950255756</c:v>
                </c:pt>
                <c:pt idx="9">
                  <c:v>0.65480606242809969</c:v>
                </c:pt>
                <c:pt idx="10">
                  <c:v>0.62112083516233496</c:v>
                </c:pt>
                <c:pt idx="11">
                  <c:v>0.80093833154660121</c:v>
                </c:pt>
                <c:pt idx="12">
                  <c:v>0.80476243067282749</c:v>
                </c:pt>
                <c:pt idx="13">
                  <c:v>0.78694963867385304</c:v>
                </c:pt>
                <c:pt idx="14">
                  <c:v>0.44195647070101096</c:v>
                </c:pt>
                <c:pt idx="15">
                  <c:v>0.31125153864715382</c:v>
                </c:pt>
              </c:numCache>
            </c:numRef>
          </c:yVal>
          <c:smooth val="0"/>
          <c:extLst>
            <c:ext xmlns:c16="http://schemas.microsoft.com/office/drawing/2014/chart" uri="{C3380CC4-5D6E-409C-BE32-E72D297353CC}">
              <c16:uniqueId val="{00000007-3B07-41F4-B354-F795559355E8}"/>
            </c:ext>
          </c:extLst>
        </c:ser>
        <c:ser>
          <c:idx val="8"/>
          <c:order val="8"/>
          <c:tx>
            <c:strRef>
              <c:f>'Spectrograph Throughput'!$AC$2</c:f>
              <c:strCache>
                <c:ptCount val="1"/>
                <c:pt idx="0">
                  <c:v>SM9</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Throughput'!$AC$3:$AC$18</c:f>
              <c:numCache>
                <c:formatCode>0.000</c:formatCode>
                <c:ptCount val="16"/>
                <c:pt idx="0">
                  <c:v>0.4386170833379236</c:v>
                </c:pt>
                <c:pt idx="1">
                  <c:v>0.46078605466962974</c:v>
                </c:pt>
                <c:pt idx="2">
                  <c:v>0.54741372182629777</c:v>
                </c:pt>
                <c:pt idx="3">
                  <c:v>0.66568816518160923</c:v>
                </c:pt>
                <c:pt idx="4">
                  <c:v>0.68312029911111771</c:v>
                </c:pt>
                <c:pt idx="5">
                  <c:v>0.66106180119144442</c:v>
                </c:pt>
                <c:pt idx="6">
                  <c:v>0.62129138171871012</c:v>
                </c:pt>
                <c:pt idx="7">
                  <c:v>0.64949374199745602</c:v>
                </c:pt>
                <c:pt idx="8">
                  <c:v>0.6925182837922077</c:v>
                </c:pt>
                <c:pt idx="9">
                  <c:v>0.69172747117465316</c:v>
                </c:pt>
                <c:pt idx="10">
                  <c:v>0.64599259745054927</c:v>
                </c:pt>
                <c:pt idx="11">
                  <c:v>0.76047787931098298</c:v>
                </c:pt>
                <c:pt idx="12">
                  <c:v>0.7989493153072017</c:v>
                </c:pt>
                <c:pt idx="13">
                  <c:v>0.78929618471287744</c:v>
                </c:pt>
                <c:pt idx="14">
                  <c:v>0.46382501906557305</c:v>
                </c:pt>
                <c:pt idx="15">
                  <c:v>0.34219157792805799</c:v>
                </c:pt>
              </c:numCache>
            </c:numRef>
          </c:yVal>
          <c:smooth val="0"/>
          <c:extLst>
            <c:ext xmlns:c16="http://schemas.microsoft.com/office/drawing/2014/chart" uri="{C3380CC4-5D6E-409C-BE32-E72D297353CC}">
              <c16:uniqueId val="{00000008-3B07-41F4-B354-F795559355E8}"/>
            </c:ext>
          </c:extLst>
        </c:ser>
        <c:ser>
          <c:idx val="9"/>
          <c:order val="9"/>
          <c:tx>
            <c:strRef>
              <c:f>'Spectrograph Throughput'!$AD$2</c:f>
              <c:strCache>
                <c:ptCount val="1"/>
                <c:pt idx="0">
                  <c:v>SM10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'Spectrograph Throughput'!$T$3:$T$18</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Throughput'!$AD$3:$AD$18</c:f>
              <c:numCache>
                <c:formatCode>0.000</c:formatCode>
                <c:ptCount val="16"/>
                <c:pt idx="0">
                  <c:v>0.47932215676336842</c:v>
                </c:pt>
                <c:pt idx="1">
                  <c:v>0.48783109040450129</c:v>
                </c:pt>
                <c:pt idx="2">
                  <c:v>0.57853113370926479</c:v>
                </c:pt>
                <c:pt idx="3">
                  <c:v>0.68715567081522888</c:v>
                </c:pt>
                <c:pt idx="4">
                  <c:v>0.72087115678523339</c:v>
                </c:pt>
                <c:pt idx="5">
                  <c:v>0.69639474819336722</c:v>
                </c:pt>
                <c:pt idx="6">
                  <c:v>0.65855175971448221</c:v>
                </c:pt>
                <c:pt idx="7">
                  <c:v>0.64588529240018366</c:v>
                </c:pt>
                <c:pt idx="8">
                  <c:v>0.67725304903375749</c:v>
                </c:pt>
                <c:pt idx="9">
                  <c:v>0.67957404891338846</c:v>
                </c:pt>
                <c:pt idx="10">
                  <c:v>0.63061045136446892</c:v>
                </c:pt>
                <c:pt idx="11">
                  <c:v>0.77779025419689984</c:v>
                </c:pt>
                <c:pt idx="12">
                  <c:v>0.78198304311903111</c:v>
                </c:pt>
                <c:pt idx="13">
                  <c:v>0.7532057779684026</c:v>
                </c:pt>
                <c:pt idx="14">
                  <c:v>0.42385241049601335</c:v>
                </c:pt>
                <c:pt idx="15">
                  <c:v>0.31006216925960417</c:v>
                </c:pt>
              </c:numCache>
            </c:numRef>
          </c:yVal>
          <c:smooth val="0"/>
          <c:extLst>
            <c:ext xmlns:c16="http://schemas.microsoft.com/office/drawing/2014/chart" uri="{C3380CC4-5D6E-409C-BE32-E72D297353CC}">
              <c16:uniqueId val="{00000009-3B07-41F4-B354-F795559355E8}"/>
            </c:ext>
          </c:extLst>
        </c:ser>
        <c:dLbls>
          <c:showLegendKey val="0"/>
          <c:showVal val="0"/>
          <c:showCatName val="0"/>
          <c:showSerName val="0"/>
          <c:showPercent val="0"/>
          <c:showBubbleSize val="0"/>
        </c:dLbls>
        <c:axId val="-732557456"/>
        <c:axId val="-732555824"/>
      </c:scatterChart>
      <c:valAx>
        <c:axId val="-732557456"/>
        <c:scaling>
          <c:orientation val="minMax"/>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Wavelength (nm)</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32555824"/>
        <c:crosses val="autoZero"/>
        <c:crossBetween val="midCat"/>
      </c:valAx>
      <c:valAx>
        <c:axId val="-73255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Throughput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32557456"/>
        <c:crosses val="autoZero"/>
        <c:crossBetween val="midCat"/>
      </c:valAx>
      <c:spPr>
        <a:noFill/>
        <a:ln>
          <a:noFill/>
        </a:ln>
        <a:effectLst/>
      </c:spPr>
    </c:plotArea>
    <c:legend>
      <c:legendPos val="r"/>
      <c:layout>
        <c:manualLayout>
          <c:xMode val="edge"/>
          <c:yMode val="edge"/>
          <c:x val="0.66558758780967786"/>
          <c:y val="0.31120166391164789"/>
          <c:w val="0.11067436036298024"/>
          <c:h val="0.47404280817224587"/>
        </c:manualLayout>
      </c:layout>
      <c:overlay val="1"/>
      <c:spPr>
        <a:solidFill>
          <a:schemeClr val="bg1"/>
        </a:solidFill>
        <a:ln w="1270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Spectrograph Throughput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Average</c:v>
          </c:tx>
          <c:spPr>
            <a:ln w="19050" cap="rnd">
              <a:solidFill>
                <a:schemeClr val="accent1"/>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Throughput'!$B$3:$Q$3</c:f>
              <c:numCache>
                <c:formatCode>0.000</c:formatCode>
                <c:ptCount val="16"/>
                <c:pt idx="0">
                  <c:v>0.44487991903936919</c:v>
                </c:pt>
                <c:pt idx="1">
                  <c:v>0.49974037102515395</c:v>
                </c:pt>
                <c:pt idx="2">
                  <c:v>0.58542506791688453</c:v>
                </c:pt>
                <c:pt idx="3">
                  <c:v>0.68289094754492718</c:v>
                </c:pt>
                <c:pt idx="4">
                  <c:v>0.70424233455720942</c:v>
                </c:pt>
                <c:pt idx="5">
                  <c:v>0.65229441863731674</c:v>
                </c:pt>
                <c:pt idx="6">
                  <c:v>0.59173383361896403</c:v>
                </c:pt>
                <c:pt idx="7">
                  <c:v>0.65205019821434029</c:v>
                </c:pt>
                <c:pt idx="8">
                  <c:v>0.68986540008523634</c:v>
                </c:pt>
                <c:pt idx="9">
                  <c:v>0.68243344472763279</c:v>
                </c:pt>
                <c:pt idx="10">
                  <c:v>0.63957216527724703</c:v>
                </c:pt>
                <c:pt idx="11">
                  <c:v>0.79589034522401092</c:v>
                </c:pt>
                <c:pt idx="12">
                  <c:v>0.80781687081303455</c:v>
                </c:pt>
                <c:pt idx="13">
                  <c:v>0.77922442353776544</c:v>
                </c:pt>
                <c:pt idx="14">
                  <c:v>0.44940944169448765</c:v>
                </c:pt>
                <c:pt idx="15">
                  <c:v>0.33007216904380182</c:v>
                </c:pt>
              </c:numCache>
            </c:numRef>
          </c:yVal>
          <c:smooth val="0"/>
          <c:extLst>
            <c:ext xmlns:c16="http://schemas.microsoft.com/office/drawing/2014/chart" uri="{C3380CC4-5D6E-409C-BE32-E72D297353CC}">
              <c16:uniqueId val="{00000000-E912-4E31-BB67-028471E12456}"/>
            </c:ext>
          </c:extLst>
        </c:ser>
        <c:ser>
          <c:idx val="1"/>
          <c:order val="1"/>
          <c:tx>
            <c:v>Minimum</c:v>
          </c:tx>
          <c:spPr>
            <a:ln w="19050" cap="rnd">
              <a:solidFill>
                <a:schemeClr val="accent2"/>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Throughput'!$B$4:$Q$4</c:f>
              <c:numCache>
                <c:formatCode>0.000</c:formatCode>
                <c:ptCount val="16"/>
                <c:pt idx="0">
                  <c:v>0.21023857261625645</c:v>
                </c:pt>
                <c:pt idx="1">
                  <c:v>0.40925091981988404</c:v>
                </c:pt>
                <c:pt idx="2">
                  <c:v>0.51012978677930942</c:v>
                </c:pt>
                <c:pt idx="3">
                  <c:v>0.63572121379435975</c:v>
                </c:pt>
                <c:pt idx="4">
                  <c:v>0.67568753309468643</c:v>
                </c:pt>
                <c:pt idx="5">
                  <c:v>0.59949442900445049</c:v>
                </c:pt>
                <c:pt idx="6">
                  <c:v>0.53641726040543014</c:v>
                </c:pt>
                <c:pt idx="7">
                  <c:v>0.63024324335725235</c:v>
                </c:pt>
                <c:pt idx="8">
                  <c:v>0.66410205860840044</c:v>
                </c:pt>
                <c:pt idx="9">
                  <c:v>0.65480606242809969</c:v>
                </c:pt>
                <c:pt idx="10">
                  <c:v>0.60277446933355905</c:v>
                </c:pt>
                <c:pt idx="11">
                  <c:v>0.73760001181757739</c:v>
                </c:pt>
                <c:pt idx="12">
                  <c:v>0.78198304311903111</c:v>
                </c:pt>
                <c:pt idx="13">
                  <c:v>0.75082206341046154</c:v>
                </c:pt>
                <c:pt idx="14">
                  <c:v>0.41184345080732759</c:v>
                </c:pt>
                <c:pt idx="15">
                  <c:v>0.29216528954414611</c:v>
                </c:pt>
              </c:numCache>
            </c:numRef>
          </c:yVal>
          <c:smooth val="0"/>
          <c:extLst>
            <c:ext xmlns:c16="http://schemas.microsoft.com/office/drawing/2014/chart" uri="{C3380CC4-5D6E-409C-BE32-E72D297353CC}">
              <c16:uniqueId val="{00000001-E912-4E31-BB67-028471E12456}"/>
            </c:ext>
          </c:extLst>
        </c:ser>
        <c:ser>
          <c:idx val="3"/>
          <c:order val="2"/>
          <c:tx>
            <c:v>Maximum</c:v>
          </c:tx>
          <c:spPr>
            <a:ln w="19050" cap="rnd">
              <a:solidFill>
                <a:schemeClr val="accent4"/>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Throughput'!$B$5:$Q$5</c:f>
              <c:numCache>
                <c:formatCode>0.000</c:formatCode>
                <c:ptCount val="16"/>
                <c:pt idx="0">
                  <c:v>0.57376941048613894</c:v>
                </c:pt>
                <c:pt idx="1">
                  <c:v>0.60364436685381417</c:v>
                </c:pt>
                <c:pt idx="2">
                  <c:v>0.66738197569831703</c:v>
                </c:pt>
                <c:pt idx="3">
                  <c:v>0.71598172014878603</c:v>
                </c:pt>
                <c:pt idx="4">
                  <c:v>0.73733116169636415</c:v>
                </c:pt>
                <c:pt idx="5">
                  <c:v>0.69639474819336722</c:v>
                </c:pt>
                <c:pt idx="6">
                  <c:v>0.65855175971448221</c:v>
                </c:pt>
                <c:pt idx="7">
                  <c:v>0.697349038426472</c:v>
                </c:pt>
                <c:pt idx="8">
                  <c:v>0.77451779789026554</c:v>
                </c:pt>
                <c:pt idx="9">
                  <c:v>0.78276665917420463</c:v>
                </c:pt>
                <c:pt idx="10">
                  <c:v>0.74403371850844779</c:v>
                </c:pt>
                <c:pt idx="11">
                  <c:v>0.84416394680219675</c:v>
                </c:pt>
                <c:pt idx="12">
                  <c:v>0.86236992830785375</c:v>
                </c:pt>
                <c:pt idx="13">
                  <c:v>0.82786344868286699</c:v>
                </c:pt>
                <c:pt idx="14">
                  <c:v>0.51390947367596818</c:v>
                </c:pt>
                <c:pt idx="15">
                  <c:v>0.4073727796046267</c:v>
                </c:pt>
              </c:numCache>
            </c:numRef>
          </c:yVal>
          <c:smooth val="0"/>
          <c:extLst>
            <c:ext xmlns:c16="http://schemas.microsoft.com/office/drawing/2014/chart" uri="{C3380CC4-5D6E-409C-BE32-E72D297353CC}">
              <c16:uniqueId val="{00000003-E912-4E31-BB67-028471E12456}"/>
            </c:ext>
          </c:extLst>
        </c:ser>
        <c:ser>
          <c:idx val="2"/>
          <c:order val="3"/>
          <c:tx>
            <c:v>Requirement</c:v>
          </c:tx>
          <c:spPr>
            <a:ln w="19050" cap="rnd">
              <a:solidFill>
                <a:schemeClr val="accent3"/>
              </a:solidFill>
              <a:round/>
            </a:ln>
            <a:effectLst/>
          </c:spPr>
          <c:marker>
            <c:symbol val="none"/>
          </c:marker>
          <c:xVal>
            <c:numRef>
              <c:f>'Spectrograph Throughput'!$C$207:$P$207</c:f>
              <c:numCache>
                <c:formatCode>General</c:formatCode>
                <c:ptCount val="14"/>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numCache>
            </c:numRef>
          </c:xVal>
          <c:yVal>
            <c:numRef>
              <c:f>'Spectrograph Throughput'!$C$208:$P$208</c:f>
              <c:numCache>
                <c:formatCode>0.00</c:formatCode>
                <c:ptCount val="14"/>
                <c:pt idx="0">
                  <c:v>0.21</c:v>
                </c:pt>
                <c:pt idx="1">
                  <c:v>0.3</c:v>
                </c:pt>
                <c:pt idx="2">
                  <c:v>0.43</c:v>
                </c:pt>
                <c:pt idx="3">
                  <c:v>0.55000000000000004</c:v>
                </c:pt>
                <c:pt idx="4">
                  <c:v>0.56999999999999995</c:v>
                </c:pt>
                <c:pt idx="5">
                  <c:v>0.54</c:v>
                </c:pt>
                <c:pt idx="6">
                  <c:v>0.5</c:v>
                </c:pt>
                <c:pt idx="7">
                  <c:v>0.56000000000000005</c:v>
                </c:pt>
                <c:pt idx="8">
                  <c:v>0.57999999999999996</c:v>
                </c:pt>
                <c:pt idx="9">
                  <c:v>0.56000000000000005</c:v>
                </c:pt>
                <c:pt idx="10">
                  <c:v>0.63</c:v>
                </c:pt>
                <c:pt idx="11">
                  <c:v>0.63</c:v>
                </c:pt>
                <c:pt idx="12">
                  <c:v>0.62</c:v>
                </c:pt>
                <c:pt idx="13">
                  <c:v>0.48</c:v>
                </c:pt>
              </c:numCache>
            </c:numRef>
          </c:yVal>
          <c:smooth val="0"/>
          <c:extLst>
            <c:ext xmlns:c16="http://schemas.microsoft.com/office/drawing/2014/chart" uri="{C3380CC4-5D6E-409C-BE32-E72D297353CC}">
              <c16:uniqueId val="{00000002-E912-4E31-BB67-028471E12456}"/>
            </c:ext>
          </c:extLst>
        </c:ser>
        <c:dLbls>
          <c:showLegendKey val="0"/>
          <c:showVal val="0"/>
          <c:showCatName val="0"/>
          <c:showSerName val="0"/>
          <c:showPercent val="0"/>
          <c:showBubbleSize val="0"/>
        </c:dLbls>
        <c:axId val="-732547120"/>
        <c:axId val="-732544400"/>
      </c:scatterChart>
      <c:valAx>
        <c:axId val="-732547120"/>
        <c:scaling>
          <c:orientation val="minMax"/>
          <c:max val="10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Wavelength (nm)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4400"/>
        <c:crosses val="autoZero"/>
        <c:crossBetween val="midCat"/>
        <c:majorUnit val="50"/>
      </c:valAx>
      <c:valAx>
        <c:axId val="-732544400"/>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Throughput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254712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Spectrograph Throughput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SM1</c:v>
          </c:tx>
          <c:spPr>
            <a:ln w="19050" cap="rnd">
              <a:solidFill>
                <a:schemeClr val="accent1"/>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Throughput'!$B$8:$Q$8</c:f>
              <c:numCache>
                <c:formatCode>0.000</c:formatCode>
                <c:ptCount val="16"/>
                <c:pt idx="0">
                  <c:v>0.21023857261625645</c:v>
                </c:pt>
                <c:pt idx="1">
                  <c:v>0.40925091981988404</c:v>
                </c:pt>
                <c:pt idx="2">
                  <c:v>0.5255162413964457</c:v>
                </c:pt>
                <c:pt idx="3">
                  <c:v>0.65431061946163305</c:v>
                </c:pt>
                <c:pt idx="4">
                  <c:v>0.72975764073360316</c:v>
                </c:pt>
                <c:pt idx="5">
                  <c:v>0.68749745751791103</c:v>
                </c:pt>
                <c:pt idx="6">
                  <c:v>0.62765284426301426</c:v>
                </c:pt>
                <c:pt idx="7">
                  <c:v>0.69262510431377289</c:v>
                </c:pt>
                <c:pt idx="8">
                  <c:v>0.77451779789026554</c:v>
                </c:pt>
                <c:pt idx="9">
                  <c:v>0.78276665917420463</c:v>
                </c:pt>
                <c:pt idx="10">
                  <c:v>0.74403371850844779</c:v>
                </c:pt>
                <c:pt idx="11">
                  <c:v>0.84416394680219675</c:v>
                </c:pt>
                <c:pt idx="12">
                  <c:v>0.86236992830785375</c:v>
                </c:pt>
                <c:pt idx="13">
                  <c:v>0.82786344868286699</c:v>
                </c:pt>
                <c:pt idx="14">
                  <c:v>0.51390947367596818</c:v>
                </c:pt>
                <c:pt idx="15">
                  <c:v>0.4073727796046267</c:v>
                </c:pt>
              </c:numCache>
            </c:numRef>
          </c:yVal>
          <c:smooth val="0"/>
          <c:extLst>
            <c:ext xmlns:c16="http://schemas.microsoft.com/office/drawing/2014/chart" uri="{C3380CC4-5D6E-409C-BE32-E72D297353CC}">
              <c16:uniqueId val="{00000000-A54A-482D-84E2-4E916DD18A29}"/>
            </c:ext>
          </c:extLst>
        </c:ser>
        <c:ser>
          <c:idx val="1"/>
          <c:order val="1"/>
          <c:tx>
            <c:v>SM2</c:v>
          </c:tx>
          <c:spPr>
            <a:ln w="19050" cap="rnd">
              <a:solidFill>
                <a:schemeClr val="accent2"/>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Throughput'!$B$28:$Q$28</c:f>
              <c:numCache>
                <c:formatCode>0.000</c:formatCode>
                <c:ptCount val="16"/>
                <c:pt idx="0">
                  <c:v>0.46074810101972569</c:v>
                </c:pt>
                <c:pt idx="1">
                  <c:v>0.52721178241397515</c:v>
                </c:pt>
                <c:pt idx="2">
                  <c:v>0.60300104094284501</c:v>
                </c:pt>
                <c:pt idx="3">
                  <c:v>0.68338762598373815</c:v>
                </c:pt>
                <c:pt idx="4">
                  <c:v>0.67568753309468643</c:v>
                </c:pt>
                <c:pt idx="5">
                  <c:v>0.59949442900445049</c:v>
                </c:pt>
                <c:pt idx="6">
                  <c:v>0.53742804532260058</c:v>
                </c:pt>
                <c:pt idx="7">
                  <c:v>0.6392842850288345</c:v>
                </c:pt>
                <c:pt idx="8">
                  <c:v>0.67082178642483092</c:v>
                </c:pt>
                <c:pt idx="9">
                  <c:v>0.66274223308307423</c:v>
                </c:pt>
                <c:pt idx="10">
                  <c:v>0.62851232378690891</c:v>
                </c:pt>
                <c:pt idx="11">
                  <c:v>0.80281567702034595</c:v>
                </c:pt>
                <c:pt idx="12">
                  <c:v>0.79448623267241547</c:v>
                </c:pt>
                <c:pt idx="13">
                  <c:v>0.75082206341046154</c:v>
                </c:pt>
                <c:pt idx="14">
                  <c:v>0.41184345080732759</c:v>
                </c:pt>
                <c:pt idx="15">
                  <c:v>0.29216528954414611</c:v>
                </c:pt>
              </c:numCache>
            </c:numRef>
          </c:yVal>
          <c:smooth val="0"/>
          <c:extLst>
            <c:ext xmlns:c16="http://schemas.microsoft.com/office/drawing/2014/chart" uri="{C3380CC4-5D6E-409C-BE32-E72D297353CC}">
              <c16:uniqueId val="{00000001-A54A-482D-84E2-4E916DD18A29}"/>
            </c:ext>
          </c:extLst>
        </c:ser>
        <c:ser>
          <c:idx val="2"/>
          <c:order val="2"/>
          <c:tx>
            <c:v>SM3</c:v>
          </c:tx>
          <c:spPr>
            <a:ln w="19050" cap="rnd">
              <a:solidFill>
                <a:schemeClr val="accent3"/>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Throughput'!$B$48:$Q$48</c:f>
              <c:numCache>
                <c:formatCode>0.000</c:formatCode>
                <c:ptCount val="16"/>
                <c:pt idx="0">
                  <c:v>0.4630263761036324</c:v>
                </c:pt>
                <c:pt idx="1">
                  <c:v>0.54225709698884439</c:v>
                </c:pt>
                <c:pt idx="2">
                  <c:v>0.62318251531573876</c:v>
                </c:pt>
                <c:pt idx="3">
                  <c:v>0.71598172014878603</c:v>
                </c:pt>
                <c:pt idx="4">
                  <c:v>0.70533434398380945</c:v>
                </c:pt>
                <c:pt idx="5">
                  <c:v>0.62292842091880307</c:v>
                </c:pt>
                <c:pt idx="6">
                  <c:v>0.56660274655337328</c:v>
                </c:pt>
                <c:pt idx="7">
                  <c:v>0.64662669309754495</c:v>
                </c:pt>
                <c:pt idx="8">
                  <c:v>0.67398310034141307</c:v>
                </c:pt>
                <c:pt idx="9">
                  <c:v>0.65817829935026528</c:v>
                </c:pt>
                <c:pt idx="10">
                  <c:v>0.60277446933355905</c:v>
                </c:pt>
                <c:pt idx="11">
                  <c:v>0.73760001181757739</c:v>
                </c:pt>
                <c:pt idx="12">
                  <c:v>0.79777901015816199</c:v>
                </c:pt>
                <c:pt idx="13">
                  <c:v>0.79475757410257497</c:v>
                </c:pt>
                <c:pt idx="14">
                  <c:v>0.48596135698440934</c:v>
                </c:pt>
                <c:pt idx="15">
                  <c:v>0.36104262595202041</c:v>
                </c:pt>
              </c:numCache>
            </c:numRef>
          </c:yVal>
          <c:smooth val="0"/>
          <c:extLst>
            <c:ext xmlns:c16="http://schemas.microsoft.com/office/drawing/2014/chart" uri="{C3380CC4-5D6E-409C-BE32-E72D297353CC}">
              <c16:uniqueId val="{00000002-A54A-482D-84E2-4E916DD18A29}"/>
            </c:ext>
          </c:extLst>
        </c:ser>
        <c:ser>
          <c:idx val="4"/>
          <c:order val="3"/>
          <c:tx>
            <c:strRef>
              <c:f>'Spectrograph Throughput'!$A$67:$Q$67</c:f>
              <c:strCache>
                <c:ptCount val="17"/>
                <c:pt idx="0">
                  <c:v>SM4</c:v>
                </c:pt>
              </c:strCache>
            </c:strRef>
          </c:tx>
          <c:spPr>
            <a:ln w="19050" cap="rnd">
              <a:solidFill>
                <a:schemeClr val="accent5"/>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Throughput'!$B$68:$Q$68</c:f>
              <c:numCache>
                <c:formatCode>0.000</c:formatCode>
                <c:ptCount val="16"/>
                <c:pt idx="0">
                  <c:v>0.52989943670788864</c:v>
                </c:pt>
                <c:pt idx="1">
                  <c:v>0.58815815855615028</c:v>
                </c:pt>
                <c:pt idx="2">
                  <c:v>0.65032505087557269</c:v>
                </c:pt>
                <c:pt idx="3">
                  <c:v>0.71000973352508379</c:v>
                </c:pt>
                <c:pt idx="4">
                  <c:v>0.69670194889986237</c:v>
                </c:pt>
                <c:pt idx="5">
                  <c:v>0.6319819579113457</c:v>
                </c:pt>
                <c:pt idx="6">
                  <c:v>0.53641726040543014</c:v>
                </c:pt>
                <c:pt idx="7">
                  <c:v>0.63024324335725235</c:v>
                </c:pt>
                <c:pt idx="8">
                  <c:v>0.66410205860840044</c:v>
                </c:pt>
                <c:pt idx="9">
                  <c:v>0.65532096575956034</c:v>
                </c:pt>
                <c:pt idx="10">
                  <c:v>0.60706741643732953</c:v>
                </c:pt>
                <c:pt idx="11">
                  <c:v>0.82498677920237906</c:v>
                </c:pt>
                <c:pt idx="12">
                  <c:v>0.81513598905485507</c:v>
                </c:pt>
                <c:pt idx="13">
                  <c:v>0.76463199436803342</c:v>
                </c:pt>
                <c:pt idx="14">
                  <c:v>0.42960681652357041</c:v>
                </c:pt>
                <c:pt idx="15">
                  <c:v>0.31473761358108659</c:v>
                </c:pt>
              </c:numCache>
            </c:numRef>
          </c:yVal>
          <c:smooth val="0"/>
          <c:extLst>
            <c:ext xmlns:c16="http://schemas.microsoft.com/office/drawing/2014/chart" uri="{C3380CC4-5D6E-409C-BE32-E72D297353CC}">
              <c16:uniqueId val="{00000000-F9E0-44C0-9130-2B0B63B0018C}"/>
            </c:ext>
          </c:extLst>
        </c:ser>
        <c:ser>
          <c:idx val="5"/>
          <c:order val="4"/>
          <c:tx>
            <c:strRef>
              <c:f>'Spectrograph Throughput'!$A$87:$Q$87</c:f>
              <c:strCache>
                <c:ptCount val="17"/>
                <c:pt idx="0">
                  <c:v>SM5</c:v>
                </c:pt>
              </c:strCache>
            </c:strRef>
          </c:tx>
          <c:spPr>
            <a:ln w="19050" cap="rnd">
              <a:solidFill>
                <a:schemeClr val="accent6"/>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Throughput'!$B$88:$Q$88</c:f>
              <c:numCache>
                <c:formatCode>0.000</c:formatCode>
                <c:ptCount val="16"/>
                <c:pt idx="0">
                  <c:v>0.57376941048613894</c:v>
                </c:pt>
                <c:pt idx="1">
                  <c:v>0.60364436685381417</c:v>
                </c:pt>
                <c:pt idx="2">
                  <c:v>0.66738197569831703</c:v>
                </c:pt>
                <c:pt idx="3">
                  <c:v>0.71533537003691217</c:v>
                </c:pt>
                <c:pt idx="4">
                  <c:v>0.70500102716196411</c:v>
                </c:pt>
                <c:pt idx="5">
                  <c:v>0.63049470985210099</c:v>
                </c:pt>
                <c:pt idx="6">
                  <c:v>0.54300210605042698</c:v>
                </c:pt>
                <c:pt idx="7">
                  <c:v>0.63341207627873308</c:v>
                </c:pt>
                <c:pt idx="8">
                  <c:v>0.66580354444413858</c:v>
                </c:pt>
                <c:pt idx="9">
                  <c:v>0.6564799245237305</c:v>
                </c:pt>
                <c:pt idx="10">
                  <c:v>0.61079578656525801</c:v>
                </c:pt>
                <c:pt idx="11">
                  <c:v>0.82498677920237906</c:v>
                </c:pt>
                <c:pt idx="12">
                  <c:v>0.81513598905485507</c:v>
                </c:pt>
                <c:pt idx="13">
                  <c:v>0.76463199436803342</c:v>
                </c:pt>
                <c:pt idx="14">
                  <c:v>0.42960681652357041</c:v>
                </c:pt>
                <c:pt idx="15">
                  <c:v>0.31473761358108659</c:v>
                </c:pt>
              </c:numCache>
            </c:numRef>
          </c:yVal>
          <c:smooth val="0"/>
          <c:extLst>
            <c:ext xmlns:c16="http://schemas.microsoft.com/office/drawing/2014/chart" uri="{C3380CC4-5D6E-409C-BE32-E72D297353CC}">
              <c16:uniqueId val="{00000001-F9E0-44C0-9130-2B0B63B0018C}"/>
            </c:ext>
          </c:extLst>
        </c:ser>
        <c:ser>
          <c:idx val="6"/>
          <c:order val="5"/>
          <c:tx>
            <c:strRef>
              <c:f>'Spectrograph Throughput'!$A$107:$Q$107</c:f>
              <c:strCache>
                <c:ptCount val="17"/>
                <c:pt idx="0">
                  <c:v>SM6</c:v>
                </c:pt>
              </c:strCache>
            </c:strRef>
          </c:tx>
          <c:spPr>
            <a:ln w="19050" cap="rnd">
              <a:solidFill>
                <a:schemeClr val="accent1">
                  <a:lumMod val="60000"/>
                </a:schemeClr>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Throughput'!$B$108:$Q$108</c:f>
              <c:numCache>
                <c:formatCode>0.000</c:formatCode>
                <c:ptCount val="16"/>
                <c:pt idx="0">
                  <c:v>0.37437111053799721</c:v>
                </c:pt>
                <c:pt idx="1">
                  <c:v>0.41403598282883758</c:v>
                </c:pt>
                <c:pt idx="2">
                  <c:v>0.51012978677930942</c:v>
                </c:pt>
                <c:pt idx="3">
                  <c:v>0.63572121379435975</c:v>
                </c:pt>
                <c:pt idx="4">
                  <c:v>0.68808686134205399</c:v>
                </c:pt>
                <c:pt idx="5">
                  <c:v>0.65167513076841921</c:v>
                </c:pt>
                <c:pt idx="6">
                  <c:v>0.61391656172032205</c:v>
                </c:pt>
                <c:pt idx="7">
                  <c:v>0.64349802999280414</c:v>
                </c:pt>
                <c:pt idx="8">
                  <c:v>0.68882644412014049</c:v>
                </c:pt>
                <c:pt idx="9">
                  <c:v>0.67214446887194645</c:v>
                </c:pt>
                <c:pt idx="10">
                  <c:v>0.64086846087871485</c:v>
                </c:pt>
                <c:pt idx="11">
                  <c:v>0.79176622718517986</c:v>
                </c:pt>
                <c:pt idx="12">
                  <c:v>0.81349405205732461</c:v>
                </c:pt>
                <c:pt idx="13">
                  <c:v>0.78728610824491352</c:v>
                </c:pt>
                <c:pt idx="14">
                  <c:v>0.4645173411492311</c:v>
                </c:pt>
                <c:pt idx="15">
                  <c:v>0.34267492938343569</c:v>
                </c:pt>
              </c:numCache>
            </c:numRef>
          </c:yVal>
          <c:smooth val="0"/>
          <c:extLst>
            <c:ext xmlns:c16="http://schemas.microsoft.com/office/drawing/2014/chart" uri="{C3380CC4-5D6E-409C-BE32-E72D297353CC}">
              <c16:uniqueId val="{00000002-F9E0-44C0-9130-2B0B63B0018C}"/>
            </c:ext>
          </c:extLst>
        </c:ser>
        <c:ser>
          <c:idx val="7"/>
          <c:order val="6"/>
          <c:tx>
            <c:strRef>
              <c:f>'Spectrograph Throughput'!$A$127:$Q$127</c:f>
              <c:strCache>
                <c:ptCount val="17"/>
                <c:pt idx="0">
                  <c:v>SM7</c:v>
                </c:pt>
              </c:strCache>
            </c:strRef>
          </c:tx>
          <c:spPr>
            <a:ln w="19050" cap="rnd">
              <a:solidFill>
                <a:schemeClr val="accent2">
                  <a:lumMod val="60000"/>
                </a:schemeClr>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Throughput'!$B$128:$Q$128</c:f>
              <c:numCache>
                <c:formatCode>0.000</c:formatCode>
                <c:ptCount val="16"/>
                <c:pt idx="0">
                  <c:v>0.44465739411061356</c:v>
                </c:pt>
                <c:pt idx="1">
                  <c:v>0.46349065030397113</c:v>
                </c:pt>
                <c:pt idx="2">
                  <c:v>0.55056176073257002</c:v>
                </c:pt>
                <c:pt idx="3">
                  <c:v>0.65004882342881176</c:v>
                </c:pt>
                <c:pt idx="4">
                  <c:v>0.7005313727633995</c:v>
                </c:pt>
                <c:pt idx="5">
                  <c:v>0.66723280818062058</c:v>
                </c:pt>
                <c:pt idx="6">
                  <c:v>0.61397920333762934</c:v>
                </c:pt>
                <c:pt idx="7">
                  <c:v>0.697349038426472</c:v>
                </c:pt>
                <c:pt idx="8">
                  <c:v>0.72021370669465012</c:v>
                </c:pt>
                <c:pt idx="9">
                  <c:v>0.71059431399740358</c:v>
                </c:pt>
                <c:pt idx="10">
                  <c:v>0.66394559328489811</c:v>
                </c:pt>
                <c:pt idx="11">
                  <c:v>0.7933775659555673</c:v>
                </c:pt>
                <c:pt idx="12">
                  <c:v>0.79407271772581933</c:v>
                </c:pt>
                <c:pt idx="13">
                  <c:v>0.77279945084563739</c:v>
                </c:pt>
                <c:pt idx="14">
                  <c:v>0.42901526101820237</c:v>
                </c:pt>
                <c:pt idx="15">
                  <c:v>0.30448555295679974</c:v>
                </c:pt>
              </c:numCache>
            </c:numRef>
          </c:yVal>
          <c:smooth val="0"/>
          <c:extLst>
            <c:ext xmlns:c16="http://schemas.microsoft.com/office/drawing/2014/chart" uri="{C3380CC4-5D6E-409C-BE32-E72D297353CC}">
              <c16:uniqueId val="{00000003-F9E0-44C0-9130-2B0B63B0018C}"/>
            </c:ext>
          </c:extLst>
        </c:ser>
        <c:ser>
          <c:idx val="8"/>
          <c:order val="7"/>
          <c:tx>
            <c:strRef>
              <c:f>'Spectrograph Throughput'!$A$147:$Q$147</c:f>
              <c:strCache>
                <c:ptCount val="17"/>
                <c:pt idx="0">
                  <c:v>SM8</c:v>
                </c:pt>
              </c:strCache>
            </c:strRef>
          </c:tx>
          <c:spPr>
            <a:ln w="19050" cap="rnd">
              <a:solidFill>
                <a:schemeClr val="accent3">
                  <a:lumMod val="60000"/>
                </a:schemeClr>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Throughput'!$B$148:$Q$148</c:f>
              <c:numCache>
                <c:formatCode>0.000</c:formatCode>
                <c:ptCount val="16"/>
                <c:pt idx="0">
                  <c:v>0.47414954871014686</c:v>
                </c:pt>
                <c:pt idx="1">
                  <c:v>0.50073760741193174</c:v>
                </c:pt>
                <c:pt idx="2">
                  <c:v>0.5982074518924837</c:v>
                </c:pt>
                <c:pt idx="3">
                  <c:v>0.71127053307310872</c:v>
                </c:pt>
                <c:pt idx="4">
                  <c:v>0.73733116169636415</c:v>
                </c:pt>
                <c:pt idx="5">
                  <c:v>0.67418272283470448</c:v>
                </c:pt>
                <c:pt idx="6">
                  <c:v>0.59849642710365081</c:v>
                </c:pt>
                <c:pt idx="7">
                  <c:v>0.64208447725034912</c:v>
                </c:pt>
                <c:pt idx="8">
                  <c:v>0.67061422950255756</c:v>
                </c:pt>
                <c:pt idx="9">
                  <c:v>0.65480606242809969</c:v>
                </c:pt>
                <c:pt idx="10">
                  <c:v>0.62112083516233496</c:v>
                </c:pt>
                <c:pt idx="11">
                  <c:v>0.80093833154660121</c:v>
                </c:pt>
                <c:pt idx="12">
                  <c:v>0.80476243067282749</c:v>
                </c:pt>
                <c:pt idx="13">
                  <c:v>0.78694963867385304</c:v>
                </c:pt>
                <c:pt idx="14">
                  <c:v>0.44195647070101096</c:v>
                </c:pt>
                <c:pt idx="15">
                  <c:v>0.31125153864715382</c:v>
                </c:pt>
              </c:numCache>
            </c:numRef>
          </c:yVal>
          <c:smooth val="0"/>
          <c:extLst>
            <c:ext xmlns:c16="http://schemas.microsoft.com/office/drawing/2014/chart" uri="{C3380CC4-5D6E-409C-BE32-E72D297353CC}">
              <c16:uniqueId val="{00000004-F9E0-44C0-9130-2B0B63B0018C}"/>
            </c:ext>
          </c:extLst>
        </c:ser>
        <c:ser>
          <c:idx val="9"/>
          <c:order val="8"/>
          <c:tx>
            <c:strRef>
              <c:f>'Spectrograph Throughput'!$A$167:$Q$167</c:f>
              <c:strCache>
                <c:ptCount val="17"/>
                <c:pt idx="0">
                  <c:v>SM9</c:v>
                </c:pt>
              </c:strCache>
            </c:strRef>
          </c:tx>
          <c:spPr>
            <a:ln w="19050" cap="rnd">
              <a:solidFill>
                <a:schemeClr val="accent4">
                  <a:lumMod val="60000"/>
                </a:schemeClr>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Throughput'!$B$168:$Q$168</c:f>
              <c:numCache>
                <c:formatCode>0.000</c:formatCode>
                <c:ptCount val="16"/>
                <c:pt idx="0">
                  <c:v>0.4386170833379236</c:v>
                </c:pt>
                <c:pt idx="1">
                  <c:v>0.46078605466962974</c:v>
                </c:pt>
                <c:pt idx="2">
                  <c:v>0.54741372182629777</c:v>
                </c:pt>
                <c:pt idx="3">
                  <c:v>0.66568816518160923</c:v>
                </c:pt>
                <c:pt idx="4">
                  <c:v>0.68312029911111771</c:v>
                </c:pt>
                <c:pt idx="5">
                  <c:v>0.66106180119144442</c:v>
                </c:pt>
                <c:pt idx="6">
                  <c:v>0.62129138171871012</c:v>
                </c:pt>
                <c:pt idx="7">
                  <c:v>0.64949374199745602</c:v>
                </c:pt>
                <c:pt idx="8">
                  <c:v>0.6925182837922077</c:v>
                </c:pt>
                <c:pt idx="9">
                  <c:v>0.69172747117465316</c:v>
                </c:pt>
                <c:pt idx="10">
                  <c:v>0.64599259745054927</c:v>
                </c:pt>
                <c:pt idx="11">
                  <c:v>0.76047787931098298</c:v>
                </c:pt>
                <c:pt idx="12">
                  <c:v>0.7989493153072017</c:v>
                </c:pt>
                <c:pt idx="13">
                  <c:v>0.78929618471287744</c:v>
                </c:pt>
                <c:pt idx="14">
                  <c:v>0.46382501906557305</c:v>
                </c:pt>
                <c:pt idx="15">
                  <c:v>0.34219157792805799</c:v>
                </c:pt>
              </c:numCache>
            </c:numRef>
          </c:yVal>
          <c:smooth val="0"/>
          <c:extLst>
            <c:ext xmlns:c16="http://schemas.microsoft.com/office/drawing/2014/chart" uri="{C3380CC4-5D6E-409C-BE32-E72D297353CC}">
              <c16:uniqueId val="{00000005-F9E0-44C0-9130-2B0B63B0018C}"/>
            </c:ext>
          </c:extLst>
        </c:ser>
        <c:ser>
          <c:idx val="3"/>
          <c:order val="9"/>
          <c:tx>
            <c:v>Requirement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'Spectrograph Throughput'!$C$207:$P$207</c:f>
              <c:numCache>
                <c:formatCode>General</c:formatCode>
                <c:ptCount val="14"/>
                <c:pt idx="0">
                  <c:v>360</c:v>
                </c:pt>
                <c:pt idx="1">
                  <c:v>375</c:v>
                </c:pt>
                <c:pt idx="2">
                  <c:v>400</c:v>
                </c:pt>
                <c:pt idx="3">
                  <c:v>450</c:v>
                </c:pt>
                <c:pt idx="4">
                  <c:v>500</c:v>
                </c:pt>
                <c:pt idx="5">
                  <c:v>550</c:v>
                </c:pt>
                <c:pt idx="6">
                  <c:v>600</c:v>
                </c:pt>
                <c:pt idx="7">
                  <c:v>650</c:v>
                </c:pt>
                <c:pt idx="8">
                  <c:v>700</c:v>
                </c:pt>
                <c:pt idx="9">
                  <c:v>750</c:v>
                </c:pt>
                <c:pt idx="10">
                  <c:v>800</c:v>
                </c:pt>
                <c:pt idx="11">
                  <c:v>850</c:v>
                </c:pt>
                <c:pt idx="12">
                  <c:v>900</c:v>
                </c:pt>
                <c:pt idx="13">
                  <c:v>980</c:v>
                </c:pt>
              </c:numCache>
            </c:numRef>
          </c:xVal>
          <c:yVal>
            <c:numRef>
              <c:f>'Spectrograph Throughput'!$C$208:$P$208</c:f>
              <c:numCache>
                <c:formatCode>0.00</c:formatCode>
                <c:ptCount val="14"/>
                <c:pt idx="0">
                  <c:v>0.21</c:v>
                </c:pt>
                <c:pt idx="1">
                  <c:v>0.3</c:v>
                </c:pt>
                <c:pt idx="2">
                  <c:v>0.43</c:v>
                </c:pt>
                <c:pt idx="3">
                  <c:v>0.55000000000000004</c:v>
                </c:pt>
                <c:pt idx="4">
                  <c:v>0.56999999999999995</c:v>
                </c:pt>
                <c:pt idx="5">
                  <c:v>0.54</c:v>
                </c:pt>
                <c:pt idx="6">
                  <c:v>0.5</c:v>
                </c:pt>
                <c:pt idx="7">
                  <c:v>0.56000000000000005</c:v>
                </c:pt>
                <c:pt idx="8">
                  <c:v>0.57999999999999996</c:v>
                </c:pt>
                <c:pt idx="9">
                  <c:v>0.56000000000000005</c:v>
                </c:pt>
                <c:pt idx="10">
                  <c:v>0.63</c:v>
                </c:pt>
                <c:pt idx="11">
                  <c:v>0.63</c:v>
                </c:pt>
                <c:pt idx="12">
                  <c:v>0.62</c:v>
                </c:pt>
                <c:pt idx="13">
                  <c:v>0.48</c:v>
                </c:pt>
              </c:numCache>
            </c:numRef>
          </c:yVal>
          <c:smooth val="0"/>
          <c:extLst>
            <c:ext xmlns:c16="http://schemas.microsoft.com/office/drawing/2014/chart" uri="{C3380CC4-5D6E-409C-BE32-E72D297353CC}">
              <c16:uniqueId val="{00000003-A54A-482D-84E2-4E916DD18A29}"/>
            </c:ext>
          </c:extLst>
        </c:ser>
        <c:ser>
          <c:idx val="10"/>
          <c:order val="10"/>
          <c:tx>
            <c:strRef>
              <c:f>'Spectrograph Throughput'!$A$187:$Q$187</c:f>
              <c:strCache>
                <c:ptCount val="17"/>
                <c:pt idx="0">
                  <c:v>SM10</c:v>
                </c:pt>
              </c:strCache>
            </c:strRef>
          </c:tx>
          <c:spPr>
            <a:ln w="19050" cap="rnd">
              <a:solidFill>
                <a:schemeClr val="accent5">
                  <a:lumMod val="60000"/>
                </a:schemeClr>
              </a:solidFill>
              <a:round/>
            </a:ln>
            <a:effectLst/>
          </c:spPr>
          <c:marker>
            <c:symbol val="none"/>
          </c:marker>
          <c:xVal>
            <c:numRef>
              <c:f>'Spectrograph Throughput'!$B$2:$Q$2</c:f>
              <c:numCache>
                <c:formatCode>General</c:formatCode>
                <c:ptCount val="16"/>
                <c:pt idx="0">
                  <c:v>350</c:v>
                </c:pt>
                <c:pt idx="1">
                  <c:v>360</c:v>
                </c:pt>
                <c:pt idx="2">
                  <c:v>375</c:v>
                </c:pt>
                <c:pt idx="3">
                  <c:v>400</c:v>
                </c:pt>
                <c:pt idx="4">
                  <c:v>450</c:v>
                </c:pt>
                <c:pt idx="5">
                  <c:v>500</c:v>
                </c:pt>
                <c:pt idx="6">
                  <c:v>550</c:v>
                </c:pt>
                <c:pt idx="7">
                  <c:v>600</c:v>
                </c:pt>
                <c:pt idx="8">
                  <c:v>650</c:v>
                </c:pt>
                <c:pt idx="9">
                  <c:v>700</c:v>
                </c:pt>
                <c:pt idx="10">
                  <c:v>750</c:v>
                </c:pt>
                <c:pt idx="11">
                  <c:v>800</c:v>
                </c:pt>
                <c:pt idx="12">
                  <c:v>850</c:v>
                </c:pt>
                <c:pt idx="13">
                  <c:v>900</c:v>
                </c:pt>
                <c:pt idx="14">
                  <c:v>980</c:v>
                </c:pt>
                <c:pt idx="15">
                  <c:v>995</c:v>
                </c:pt>
              </c:numCache>
            </c:numRef>
          </c:xVal>
          <c:yVal>
            <c:numRef>
              <c:f>'Spectrograph Throughput'!$B$188:$Q$188</c:f>
              <c:numCache>
                <c:formatCode>0.000</c:formatCode>
                <c:ptCount val="16"/>
                <c:pt idx="0">
                  <c:v>0.47932215676336842</c:v>
                </c:pt>
                <c:pt idx="1">
                  <c:v>0.48783109040450129</c:v>
                </c:pt>
                <c:pt idx="2">
                  <c:v>0.57853113370926479</c:v>
                </c:pt>
                <c:pt idx="3">
                  <c:v>0.68715567081522888</c:v>
                </c:pt>
                <c:pt idx="4">
                  <c:v>0.72087115678523339</c:v>
                </c:pt>
                <c:pt idx="5">
                  <c:v>0.69639474819336722</c:v>
                </c:pt>
                <c:pt idx="6">
                  <c:v>0.65855175971448221</c:v>
                </c:pt>
                <c:pt idx="7">
                  <c:v>0.64588529240018366</c:v>
                </c:pt>
                <c:pt idx="8">
                  <c:v>0.67725304903375749</c:v>
                </c:pt>
                <c:pt idx="9">
                  <c:v>0.67957404891338846</c:v>
                </c:pt>
                <c:pt idx="10">
                  <c:v>0.63061045136446892</c:v>
                </c:pt>
                <c:pt idx="11">
                  <c:v>0.77779025419689984</c:v>
                </c:pt>
                <c:pt idx="12">
                  <c:v>0.78198304311903111</c:v>
                </c:pt>
                <c:pt idx="13">
                  <c:v>0.7532057779684026</c:v>
                </c:pt>
                <c:pt idx="14">
                  <c:v>0.42385241049601335</c:v>
                </c:pt>
                <c:pt idx="15">
                  <c:v>0.31006216925960417</c:v>
                </c:pt>
              </c:numCache>
            </c:numRef>
          </c:yVal>
          <c:smooth val="0"/>
          <c:extLst>
            <c:ext xmlns:c16="http://schemas.microsoft.com/office/drawing/2014/chart" uri="{C3380CC4-5D6E-409C-BE32-E72D297353CC}">
              <c16:uniqueId val="{00000006-F9E0-44C0-9130-2B0B63B0018C}"/>
            </c:ext>
          </c:extLst>
        </c:ser>
        <c:dLbls>
          <c:showLegendKey val="0"/>
          <c:showVal val="0"/>
          <c:showCatName val="0"/>
          <c:showSerName val="0"/>
          <c:showPercent val="0"/>
          <c:showBubbleSize val="0"/>
        </c:dLbls>
        <c:axId val="-732542768"/>
        <c:axId val="-732556912"/>
      </c:scatterChart>
      <c:valAx>
        <c:axId val="-732542768"/>
        <c:scaling>
          <c:orientation val="minMax"/>
          <c:max val="10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Wavelength (nm)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32556912"/>
        <c:crosses val="autoZero"/>
        <c:crossBetween val="midCat"/>
        <c:majorUnit val="50"/>
      </c:valAx>
      <c:valAx>
        <c:axId val="-732556912"/>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Throughput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3254276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2.xml"/><Relationship Id="rId2" Type="http://schemas.openxmlformats.org/officeDocument/2006/relationships/image" Target="../media/image5.wmf"/><Relationship Id="rId1" Type="http://schemas.openxmlformats.org/officeDocument/2006/relationships/image" Target="../media/image4.jpeg"/><Relationship Id="rId6" Type="http://schemas.openxmlformats.org/officeDocument/2006/relationships/image" Target="../media/image7.jpeg"/><Relationship Id="rId5" Type="http://schemas.openxmlformats.org/officeDocument/2006/relationships/image" Target="../media/image6.wmf"/><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666749</xdr:colOff>
      <xdr:row>111</xdr:row>
      <xdr:rowOff>4761</xdr:rowOff>
    </xdr:from>
    <xdr:to>
      <xdr:col>11</xdr:col>
      <xdr:colOff>443864</xdr:colOff>
      <xdr:row>127</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438150</xdr:colOff>
      <xdr:row>110</xdr:row>
      <xdr:rowOff>185737</xdr:rowOff>
    </xdr:from>
    <xdr:to>
      <xdr:col>17</xdr:col>
      <xdr:colOff>2905125</xdr:colOff>
      <xdr:row>129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523875</xdr:colOff>
      <xdr:row>0</xdr:row>
      <xdr:rowOff>66675</xdr:rowOff>
    </xdr:from>
    <xdr:to>
      <xdr:col>15</xdr:col>
      <xdr:colOff>409575</xdr:colOff>
      <xdr:row>31</xdr:row>
      <xdr:rowOff>9525</xdr:rowOff>
    </xdr:to>
    <xdr:pic>
      <xdr:nvPicPr>
        <xdr:cNvPr id="1026" name="Picture 2"/>
        <xdr:cNvPicPr>
          <a:picLocks noChangeAspect="1" noChangeArrowheads="1"/>
        </xdr:cNvPicPr>
      </xdr:nvPicPr>
      <xdr:blipFill>
        <a:blip xmlns:r="http://schemas.openxmlformats.org/officeDocument/2006/relationships" r:embed="rId1"/>
        <a:srcRect l="8371" t="5722" r="-2316" b="4196"/>
        <a:stretch>
          <a:fillRect/>
        </a:stretch>
      </xdr:blipFill>
      <xdr:spPr bwMode="auto">
        <a:xfrm>
          <a:off x="5553075" y="6743700"/>
          <a:ext cx="9620250" cy="584835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oneCellAnchor>
    <xdr:from>
      <xdr:col>4</xdr:col>
      <xdr:colOff>372700</xdr:colOff>
      <xdr:row>8</xdr:row>
      <xdr:rowOff>94333</xdr:rowOff>
    </xdr:from>
    <xdr:ext cx="8933225" cy="4261142"/>
    <xdr:pic>
      <xdr:nvPicPr>
        <xdr:cNvPr id="2" name="Picture 1"/>
        <xdr:cNvPicPr>
          <a:picLocks noChangeAspect="1" noChangeArrowheads="1"/>
        </xdr:cNvPicPr>
      </xdr:nvPicPr>
      <xdr:blipFill>
        <a:blip xmlns:r="http://schemas.openxmlformats.org/officeDocument/2006/relationships" r:embed="rId1" cstate="print"/>
        <a:srcRect l="4071" t="5602" r="3152"/>
        <a:stretch>
          <a:fillRect/>
        </a:stretch>
      </xdr:blipFill>
      <xdr:spPr bwMode="auto">
        <a:xfrm>
          <a:off x="2811100" y="1618333"/>
          <a:ext cx="8933225" cy="4261142"/>
        </a:xfrm>
        <a:prstGeom prst="rect">
          <a:avLst/>
        </a:prstGeom>
        <a:noFill/>
      </xdr:spPr>
    </xdr:pic>
    <xdr:clientData/>
  </xdr:oneCellAnchor>
  <xdr:oneCellAnchor>
    <xdr:from>
      <xdr:col>4</xdr:col>
      <xdr:colOff>381000</xdr:colOff>
      <xdr:row>30</xdr:row>
      <xdr:rowOff>118473</xdr:rowOff>
    </xdr:from>
    <xdr:ext cx="8996447" cy="442552"/>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819400" y="5833473"/>
          <a:ext cx="8996447" cy="442552"/>
        </a:xfrm>
        <a:prstGeom prst="rect">
          <a:avLst/>
        </a:prstGeom>
        <a:noFill/>
      </xdr:spPr>
    </xdr:pic>
    <xdr:clientData/>
  </xdr:oneCellAnchor>
  <xdr:oneCellAnchor>
    <xdr:from>
      <xdr:col>4</xdr:col>
      <xdr:colOff>371475</xdr:colOff>
      <xdr:row>32</xdr:row>
      <xdr:rowOff>156606</xdr:rowOff>
    </xdr:from>
    <xdr:ext cx="8996447" cy="417264"/>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809875" y="6252606"/>
          <a:ext cx="8996447" cy="417264"/>
        </a:xfrm>
        <a:prstGeom prst="rect">
          <a:avLst/>
        </a:prstGeom>
        <a:noFill/>
      </xdr:spPr>
    </xdr:pic>
    <xdr:clientData/>
  </xdr:oneCellAnchor>
  <xdr:twoCellAnchor>
    <xdr:from>
      <xdr:col>17</xdr:col>
      <xdr:colOff>590550</xdr:colOff>
      <xdr:row>38</xdr:row>
      <xdr:rowOff>171450</xdr:rowOff>
    </xdr:from>
    <xdr:to>
      <xdr:col>32</xdr:col>
      <xdr:colOff>247650</xdr:colOff>
      <xdr:row>67</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517071</xdr:colOff>
      <xdr:row>6</xdr:row>
      <xdr:rowOff>21090</xdr:rowOff>
    </xdr:from>
    <xdr:to>
      <xdr:col>21</xdr:col>
      <xdr:colOff>180975</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114300</xdr:colOff>
      <xdr:row>15</xdr:row>
      <xdr:rowOff>133350</xdr:rowOff>
    </xdr:from>
    <xdr:to>
      <xdr:col>15</xdr:col>
      <xdr:colOff>552450</xdr:colOff>
      <xdr:row>30</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276225</xdr:colOff>
      <xdr:row>11</xdr:row>
      <xdr:rowOff>57150</xdr:rowOff>
    </xdr:from>
    <xdr:to>
      <xdr:col>11</xdr:col>
      <xdr:colOff>123825</xdr:colOff>
      <xdr:row>25</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2471735</xdr:colOff>
      <xdr:row>27</xdr:row>
      <xdr:rowOff>123825</xdr:rowOff>
    </xdr:from>
    <xdr:to>
      <xdr:col>7</xdr:col>
      <xdr:colOff>161925</xdr:colOff>
      <xdr:row>43</xdr:row>
      <xdr:rowOff>184785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2644140</xdr:colOff>
      <xdr:row>73</xdr:row>
      <xdr:rowOff>7620</xdr:rowOff>
    </xdr:from>
    <xdr:to>
      <xdr:col>6</xdr:col>
      <xdr:colOff>224790</xdr:colOff>
      <xdr:row>101</xdr:row>
      <xdr:rowOff>125730</xdr:rowOff>
    </xdr:to>
    <xdr:pic>
      <xdr:nvPicPr>
        <xdr:cNvPr id="10241" name="Picture 1"/>
        <xdr:cNvPicPr>
          <a:picLocks noChangeAspect="1" noChangeArrowheads="1"/>
        </xdr:cNvPicPr>
      </xdr:nvPicPr>
      <xdr:blipFill>
        <a:blip xmlns:r="http://schemas.openxmlformats.org/officeDocument/2006/relationships" r:embed="rId1"/>
        <a:srcRect l="4392" t="4281" r="3371"/>
        <a:stretch>
          <a:fillRect/>
        </a:stretch>
      </xdr:blipFill>
      <xdr:spPr bwMode="auto">
        <a:xfrm>
          <a:off x="2644140" y="13952220"/>
          <a:ext cx="6880860" cy="5452110"/>
        </a:xfrm>
        <a:prstGeom prst="rect">
          <a:avLst/>
        </a:prstGeom>
        <a:noFill/>
      </xdr:spPr>
    </xdr:pic>
    <xdr:clientData/>
  </xdr:twoCellAnchor>
  <xdr:twoCellAnchor>
    <xdr:from>
      <xdr:col>0</xdr:col>
      <xdr:colOff>3028950</xdr:colOff>
      <xdr:row>113</xdr:row>
      <xdr:rowOff>85725</xdr:rowOff>
    </xdr:from>
    <xdr:to>
      <xdr:col>6</xdr:col>
      <xdr:colOff>276225</xdr:colOff>
      <xdr:row>129</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121</xdr:row>
      <xdr:rowOff>142875</xdr:rowOff>
    </xdr:from>
    <xdr:to>
      <xdr:col>4</xdr:col>
      <xdr:colOff>257175</xdr:colOff>
      <xdr:row>122</xdr:row>
      <xdr:rowOff>180975</xdr:rowOff>
    </xdr:to>
    <xdr:sp macro="" textlink="">
      <xdr:nvSpPr>
        <xdr:cNvPr id="2" name="TextBox 1"/>
        <xdr:cNvSpPr txBox="1"/>
      </xdr:nvSpPr>
      <xdr:spPr>
        <a:xfrm>
          <a:off x="7134225" y="23050500"/>
          <a:ext cx="12287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SNR = 7</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2114550</xdr:colOff>
      <xdr:row>83</xdr:row>
      <xdr:rowOff>4761</xdr:rowOff>
    </xdr:from>
    <xdr:to>
      <xdr:col>7</xdr:col>
      <xdr:colOff>572451</xdr:colOff>
      <xdr:row>98</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566736</xdr:colOff>
      <xdr:row>83</xdr:row>
      <xdr:rowOff>0</xdr:rowOff>
    </xdr:from>
    <xdr:to>
      <xdr:col>16</xdr:col>
      <xdr:colOff>552449</xdr:colOff>
      <xdr:row>98</xdr:row>
      <xdr:rowOff>85726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361949</xdr:colOff>
      <xdr:row>19</xdr:row>
      <xdr:rowOff>90486</xdr:rowOff>
    </xdr:from>
    <xdr:to>
      <xdr:col>34</xdr:col>
      <xdr:colOff>66675</xdr:colOff>
      <xdr:row>52</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xdr:colOff>
      <xdr:row>210</xdr:row>
      <xdr:rowOff>19049</xdr:rowOff>
    </xdr:from>
    <xdr:to>
      <xdr:col>14</xdr:col>
      <xdr:colOff>228600</xdr:colOff>
      <xdr:row>227</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395287</xdr:colOff>
      <xdr:row>209</xdr:row>
      <xdr:rowOff>180975</xdr:rowOff>
    </xdr:from>
    <xdr:to>
      <xdr:col>17</xdr:col>
      <xdr:colOff>3971925</xdr:colOff>
      <xdr:row>227</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23</xdr:col>
      <xdr:colOff>66675</xdr:colOff>
      <xdr:row>55</xdr:row>
      <xdr:rowOff>66675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609600" y="381000"/>
          <a:ext cx="13477875" cy="1016317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123825</xdr:colOff>
      <xdr:row>3</xdr:row>
      <xdr:rowOff>190500</xdr:rowOff>
    </xdr:from>
    <xdr:to>
      <xdr:col>31</xdr:col>
      <xdr:colOff>285750</xdr:colOff>
      <xdr:row>34</xdr:row>
      <xdr:rowOff>176212</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2992100" y="971550"/>
          <a:ext cx="7534275" cy="6115050"/>
        </a:xfrm>
        <a:prstGeom prst="rect">
          <a:avLst/>
        </a:prstGeom>
        <a:noFill/>
        <a:ln w="1">
          <a:noFill/>
          <a:miter lim="800000"/>
          <a:headEnd/>
          <a:tailEnd type="none" w="med" len="med"/>
        </a:ln>
        <a:effectLst/>
      </xdr:spPr>
    </xdr:pic>
    <xdr:clientData/>
  </xdr:twoCellAnchor>
  <xdr:twoCellAnchor editAs="oneCell">
    <xdr:from>
      <xdr:col>19</xdr:col>
      <xdr:colOff>123825</xdr:colOff>
      <xdr:row>3</xdr:row>
      <xdr:rowOff>190500</xdr:rowOff>
    </xdr:from>
    <xdr:to>
      <xdr:col>31</xdr:col>
      <xdr:colOff>285750</xdr:colOff>
      <xdr:row>35</xdr:row>
      <xdr:rowOff>4762</xdr:rowOff>
    </xdr:to>
    <xdr:pic>
      <xdr:nvPicPr>
        <xdr:cNvPr id="4" name="Picture 1"/>
        <xdr:cNvPicPr>
          <a:picLocks noChangeAspect="1" noChangeArrowheads="1"/>
        </xdr:cNvPicPr>
      </xdr:nvPicPr>
      <xdr:blipFill>
        <a:blip xmlns:r="http://schemas.openxmlformats.org/officeDocument/2006/relationships" r:embed="rId1"/>
        <a:srcRect/>
        <a:stretch>
          <a:fillRect/>
        </a:stretch>
      </xdr:blipFill>
      <xdr:spPr bwMode="auto">
        <a:xfrm>
          <a:off x="13487400" y="928688"/>
          <a:ext cx="7762875" cy="5834062"/>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61</xdr:row>
      <xdr:rowOff>73025</xdr:rowOff>
    </xdr:from>
    <xdr:to>
      <xdr:col>8</xdr:col>
      <xdr:colOff>98425</xdr:colOff>
      <xdr:row>77</xdr:row>
      <xdr:rowOff>57150</xdr:rowOff>
    </xdr:to>
    <xdr:pic>
      <xdr:nvPicPr>
        <xdr:cNvPr id="2" name="Picture 1" descr="telescope simple lateral 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836025"/>
          <a:ext cx="4727575" cy="3032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6350</xdr:colOff>
      <xdr:row>77</xdr:row>
      <xdr:rowOff>47626</xdr:rowOff>
    </xdr:from>
    <xdr:to>
      <xdr:col>16</xdr:col>
      <xdr:colOff>101600</xdr:colOff>
      <xdr:row>85</xdr:row>
      <xdr:rowOff>9526</xdr:rowOff>
    </xdr:to>
    <xdr:pic>
      <xdr:nvPicPr>
        <xdr:cNvPr id="4" name="Picture 3"/>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10857"/>
        <a:stretch/>
      </xdr:blipFill>
      <xdr:spPr bwMode="auto">
        <a:xfrm>
          <a:off x="3978275" y="17392651"/>
          <a:ext cx="9601200" cy="1485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257175</xdr:colOff>
      <xdr:row>11</xdr:row>
      <xdr:rowOff>123825</xdr:rowOff>
    </xdr:from>
    <xdr:to>
      <xdr:col>14</xdr:col>
      <xdr:colOff>476250</xdr:colOff>
      <xdr:row>22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24</xdr:row>
      <xdr:rowOff>57150</xdr:rowOff>
    </xdr:from>
    <xdr:to>
      <xdr:col>14</xdr:col>
      <xdr:colOff>381000</xdr:colOff>
      <xdr:row>34</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247650</xdr:colOff>
      <xdr:row>64</xdr:row>
      <xdr:rowOff>38100</xdr:rowOff>
    </xdr:from>
    <xdr:to>
      <xdr:col>32</xdr:col>
      <xdr:colOff>255587</xdr:colOff>
      <xdr:row>69</xdr:row>
      <xdr:rowOff>85725</xdr:rowOff>
    </xdr:to>
    <xdr:pic>
      <xdr:nvPicPr>
        <xdr:cNvPr id="9" name="Picture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01250" y="9372600"/>
          <a:ext cx="9151937" cy="1000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19</xdr:col>
      <xdr:colOff>188912</xdr:colOff>
      <xdr:row>70</xdr:row>
      <xdr:rowOff>12700</xdr:rowOff>
    </xdr:from>
    <xdr:to>
      <xdr:col>25</xdr:col>
      <xdr:colOff>26987</xdr:colOff>
      <xdr:row>93</xdr:row>
      <xdr:rowOff>147637</xdr:rowOff>
    </xdr:to>
    <xdr:pic>
      <xdr:nvPicPr>
        <xdr:cNvPr id="10" name="Picture 9" descr="telescope simple vert Z"/>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161712" y="10490200"/>
          <a:ext cx="3495675" cy="5287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228600</xdr:colOff>
      <xdr:row>39</xdr:row>
      <xdr:rowOff>200025</xdr:rowOff>
    </xdr:from>
    <xdr:to>
      <xdr:col>14</xdr:col>
      <xdr:colOff>533400</xdr:colOff>
      <xdr:row>50</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xdr:colOff>
      <xdr:row>28</xdr:row>
      <xdr:rowOff>123825</xdr:rowOff>
    </xdr:from>
    <xdr:to>
      <xdr:col>15</xdr:col>
      <xdr:colOff>19050</xdr:colOff>
      <xdr:row>31</xdr:row>
      <xdr:rowOff>104775</xdr:rowOff>
    </xdr:to>
    <xdr:cxnSp macro="">
      <xdr:nvCxnSpPr>
        <xdr:cNvPr id="5" name="Straight Arrow Connector 4"/>
        <xdr:cNvCxnSpPr/>
      </xdr:nvCxnSpPr>
      <xdr:spPr>
        <a:xfrm flipH="1">
          <a:off x="4600575" y="7296150"/>
          <a:ext cx="828675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457200</xdr:colOff>
      <xdr:row>17</xdr:row>
      <xdr:rowOff>142875</xdr:rowOff>
    </xdr:from>
    <xdr:to>
      <xdr:col>14</xdr:col>
      <xdr:colOff>581025</xdr:colOff>
      <xdr:row>20</xdr:row>
      <xdr:rowOff>114300</xdr:rowOff>
    </xdr:to>
    <xdr:cxnSp macro="">
      <xdr:nvCxnSpPr>
        <xdr:cNvPr id="11" name="Straight Arrow Connector 10"/>
        <xdr:cNvCxnSpPr/>
      </xdr:nvCxnSpPr>
      <xdr:spPr>
        <a:xfrm flipH="1">
          <a:off x="5038725" y="4391025"/>
          <a:ext cx="7800975" cy="542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45</xdr:row>
      <xdr:rowOff>95250</xdr:rowOff>
    </xdr:from>
    <xdr:to>
      <xdr:col>15</xdr:col>
      <xdr:colOff>0</xdr:colOff>
      <xdr:row>50</xdr:row>
      <xdr:rowOff>85725</xdr:rowOff>
    </xdr:to>
    <xdr:cxnSp macro="">
      <xdr:nvCxnSpPr>
        <xdr:cNvPr id="13" name="Straight Arrow Connector 12"/>
        <xdr:cNvCxnSpPr/>
      </xdr:nvCxnSpPr>
      <xdr:spPr>
        <a:xfrm flipH="1">
          <a:off x="5162550" y="11334750"/>
          <a:ext cx="7705725" cy="942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95250</xdr:colOff>
      <xdr:row>6</xdr:row>
      <xdr:rowOff>85725</xdr:rowOff>
    </xdr:from>
    <xdr:to>
      <xdr:col>18</xdr:col>
      <xdr:colOff>400050</xdr:colOff>
      <xdr:row>20</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18</xdr:col>
      <xdr:colOff>304800</xdr:colOff>
      <xdr:row>37</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182880</xdr:colOff>
          <xdr:row>14</xdr:row>
          <xdr:rowOff>144780</xdr:rowOff>
        </xdr:from>
        <xdr:to>
          <xdr:col>8</xdr:col>
          <xdr:colOff>45720</xdr:colOff>
          <xdr:row>21</xdr:row>
          <xdr:rowOff>152400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9.xml"/><Relationship Id="rId4" Type="http://schemas.openxmlformats.org/officeDocument/2006/relationships/image" Target="../media/image8.emf"/></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kpno.kpno.noao.edu/glaspey/4m_WF_corrector.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noao.edu/kpno/manuals/DI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noao.edu/kpno/manuals/DI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topLeftCell="A19" workbookViewId="0">
      <selection activeCell="C31" sqref="C31"/>
    </sheetView>
  </sheetViews>
  <sheetFormatPr defaultColWidth="8.88671875" defaultRowHeight="14.4"/>
  <cols>
    <col min="1" max="1" width="1.6640625" customWidth="1"/>
    <col min="3" max="3" width="100" customWidth="1"/>
    <col min="7" max="7" width="10.6640625" bestFit="1" customWidth="1"/>
  </cols>
  <sheetData>
    <row r="1" spans="1:7" ht="15.6">
      <c r="F1" s="63" t="s">
        <v>84</v>
      </c>
      <c r="G1" s="64" t="s">
        <v>873</v>
      </c>
    </row>
    <row r="2" spans="1:7">
      <c r="G2" s="22"/>
    </row>
    <row r="3" spans="1:7">
      <c r="G3" s="22"/>
    </row>
    <row r="4" spans="1:7" ht="24.6">
      <c r="A4" s="23"/>
      <c r="B4" s="23" t="s">
        <v>77</v>
      </c>
    </row>
    <row r="5" spans="1:7">
      <c r="A5" s="24"/>
      <c r="B5" s="24"/>
    </row>
    <row r="6" spans="1:7" ht="15" thickBot="1">
      <c r="A6" s="25"/>
      <c r="B6" s="24" t="s">
        <v>4</v>
      </c>
    </row>
    <row r="7" spans="1:7">
      <c r="A7" s="25"/>
      <c r="B7" s="31"/>
      <c r="C7" s="6"/>
      <c r="D7" s="26" t="s">
        <v>5</v>
      </c>
      <c r="E7" s="27"/>
      <c r="F7" s="26"/>
      <c r="G7" s="28"/>
    </row>
    <row r="8" spans="1:7">
      <c r="A8" s="25"/>
      <c r="B8" s="193" t="s">
        <v>6</v>
      </c>
      <c r="C8" s="145" t="s">
        <v>7</v>
      </c>
      <c r="D8" s="194" t="s">
        <v>8</v>
      </c>
      <c r="E8" s="47" t="s">
        <v>409</v>
      </c>
      <c r="F8" s="194" t="s">
        <v>9</v>
      </c>
      <c r="G8" s="195" t="s">
        <v>10</v>
      </c>
    </row>
    <row r="9" spans="1:7">
      <c r="A9" s="29"/>
      <c r="B9" s="183" t="s">
        <v>71</v>
      </c>
      <c r="C9" s="197" t="s">
        <v>12</v>
      </c>
      <c r="D9" s="182" t="s">
        <v>13</v>
      </c>
      <c r="E9" s="182"/>
      <c r="F9" s="182"/>
      <c r="G9" s="203">
        <v>40847</v>
      </c>
    </row>
    <row r="10" spans="1:7">
      <c r="A10" s="29"/>
      <c r="B10" s="183" t="s">
        <v>72</v>
      </c>
      <c r="C10" s="198" t="s">
        <v>57</v>
      </c>
      <c r="D10" s="182" t="s">
        <v>14</v>
      </c>
      <c r="E10" s="182"/>
      <c r="F10" s="182"/>
      <c r="G10" s="203">
        <v>40855</v>
      </c>
    </row>
    <row r="11" spans="1:7" ht="15" customHeight="1">
      <c r="A11" s="25"/>
      <c r="B11" s="183" t="s">
        <v>73</v>
      </c>
      <c r="C11" s="199" t="s">
        <v>16</v>
      </c>
      <c r="D11" s="182" t="s">
        <v>15</v>
      </c>
      <c r="E11" s="182"/>
      <c r="F11" s="182"/>
      <c r="G11" s="203"/>
    </row>
    <row r="12" spans="1:7">
      <c r="A12" s="25"/>
      <c r="B12" s="183" t="s">
        <v>74</v>
      </c>
      <c r="C12" s="200" t="s">
        <v>17</v>
      </c>
      <c r="D12" s="182" t="s">
        <v>14</v>
      </c>
      <c r="E12" s="182"/>
      <c r="F12" s="182"/>
      <c r="G12" s="203">
        <v>41012</v>
      </c>
    </row>
    <row r="13" spans="1:7">
      <c r="A13" s="25"/>
      <c r="B13" s="183" t="s">
        <v>75</v>
      </c>
      <c r="C13" s="201" t="s">
        <v>56</v>
      </c>
      <c r="D13" s="182" t="s">
        <v>13</v>
      </c>
      <c r="E13" s="182"/>
      <c r="F13" s="182"/>
      <c r="G13" s="203">
        <v>41570</v>
      </c>
    </row>
    <row r="14" spans="1:7">
      <c r="A14" s="25"/>
      <c r="B14" s="183" t="s">
        <v>11</v>
      </c>
      <c r="C14" s="198" t="s">
        <v>76</v>
      </c>
      <c r="D14" s="182"/>
      <c r="E14" s="182"/>
      <c r="F14" s="182"/>
      <c r="G14" s="203"/>
    </row>
    <row r="15" spans="1:7">
      <c r="A15" s="25"/>
      <c r="B15" s="183" t="s">
        <v>78</v>
      </c>
      <c r="C15" s="202" t="s">
        <v>79</v>
      </c>
      <c r="D15" s="182" t="s">
        <v>13</v>
      </c>
      <c r="E15" s="182"/>
      <c r="F15" s="182"/>
      <c r="G15" s="203">
        <v>41589</v>
      </c>
    </row>
    <row r="16" spans="1:7">
      <c r="A16" s="25"/>
      <c r="B16" s="183" t="s">
        <v>82</v>
      </c>
      <c r="C16" s="200" t="s">
        <v>83</v>
      </c>
      <c r="D16" s="182" t="s">
        <v>13</v>
      </c>
      <c r="E16" s="182"/>
      <c r="F16" s="182"/>
      <c r="G16" s="203">
        <v>41689</v>
      </c>
    </row>
    <row r="17" spans="1:7" ht="72">
      <c r="A17" s="25"/>
      <c r="B17" s="183" t="s">
        <v>206</v>
      </c>
      <c r="C17" s="198" t="s">
        <v>204</v>
      </c>
      <c r="D17" s="182" t="s">
        <v>105</v>
      </c>
      <c r="E17" s="182" t="s">
        <v>207</v>
      </c>
      <c r="F17" s="182" t="s">
        <v>105</v>
      </c>
      <c r="G17" s="204">
        <v>41814</v>
      </c>
    </row>
    <row r="18" spans="1:7" ht="115.2">
      <c r="A18" s="25"/>
      <c r="B18" s="183" t="s">
        <v>358</v>
      </c>
      <c r="C18" s="197" t="s">
        <v>368</v>
      </c>
      <c r="D18" s="196" t="s">
        <v>105</v>
      </c>
      <c r="E18" s="182" t="s">
        <v>14</v>
      </c>
      <c r="F18" s="182" t="s">
        <v>105</v>
      </c>
      <c r="G18" s="204">
        <v>41834</v>
      </c>
    </row>
    <row r="19" spans="1:7" s="144" customFormat="1" ht="28.8">
      <c r="A19" s="25"/>
      <c r="B19" s="205" t="s">
        <v>408</v>
      </c>
      <c r="C19" s="87" t="s">
        <v>411</v>
      </c>
      <c r="D19" s="206" t="s">
        <v>105</v>
      </c>
      <c r="E19" s="207" t="s">
        <v>410</v>
      </c>
      <c r="F19" s="207" t="s">
        <v>105</v>
      </c>
      <c r="G19" s="208">
        <v>42137</v>
      </c>
    </row>
    <row r="20" spans="1:7" s="144" customFormat="1">
      <c r="A20" s="25"/>
      <c r="B20" s="205" t="s">
        <v>412</v>
      </c>
      <c r="C20" s="87" t="s">
        <v>413</v>
      </c>
      <c r="D20" s="206" t="s">
        <v>105</v>
      </c>
      <c r="E20" s="207" t="s">
        <v>414</v>
      </c>
      <c r="F20" s="207" t="s">
        <v>105</v>
      </c>
      <c r="G20" s="208">
        <v>42185</v>
      </c>
    </row>
    <row r="21" spans="1:7" ht="28.8">
      <c r="B21" s="205" t="s">
        <v>585</v>
      </c>
      <c r="C21" s="87" t="s">
        <v>558</v>
      </c>
      <c r="D21" s="317" t="s">
        <v>584</v>
      </c>
      <c r="E21" s="207" t="s">
        <v>14</v>
      </c>
      <c r="F21" s="207" t="s">
        <v>105</v>
      </c>
      <c r="G21" s="208">
        <v>42234</v>
      </c>
    </row>
    <row r="22" spans="1:7" s="144" customFormat="1" ht="28.8">
      <c r="B22" s="319" t="s">
        <v>586</v>
      </c>
      <c r="C22" s="320" t="s">
        <v>587</v>
      </c>
      <c r="D22" s="321" t="s">
        <v>105</v>
      </c>
      <c r="E22" s="322" t="s">
        <v>414</v>
      </c>
      <c r="F22" s="322" t="s">
        <v>105</v>
      </c>
      <c r="G22" s="323">
        <v>42398</v>
      </c>
    </row>
    <row r="23" spans="1:7" s="144" customFormat="1">
      <c r="B23" s="205" t="s">
        <v>591</v>
      </c>
      <c r="C23" s="324" t="s">
        <v>592</v>
      </c>
      <c r="D23" s="206" t="s">
        <v>105</v>
      </c>
      <c r="E23" s="325"/>
      <c r="F23" s="325" t="s">
        <v>105</v>
      </c>
      <c r="G23" s="208">
        <v>42476</v>
      </c>
    </row>
    <row r="24" spans="1:7" ht="29.4" thickBot="1">
      <c r="B24" s="350" t="s">
        <v>593</v>
      </c>
      <c r="C24" s="351" t="s">
        <v>613</v>
      </c>
      <c r="D24" s="352" t="s">
        <v>594</v>
      </c>
      <c r="E24" s="353" t="s">
        <v>624</v>
      </c>
      <c r="F24" s="354" t="s">
        <v>594</v>
      </c>
      <c r="G24" s="355">
        <v>42762</v>
      </c>
    </row>
    <row r="25" spans="1:7" ht="29.4" thickBot="1">
      <c r="B25" s="370" t="s">
        <v>625</v>
      </c>
      <c r="C25" s="371" t="s">
        <v>643</v>
      </c>
      <c r="D25" s="372" t="s">
        <v>626</v>
      </c>
      <c r="E25" s="373"/>
      <c r="F25" s="374" t="s">
        <v>626</v>
      </c>
      <c r="G25" s="375">
        <v>43067</v>
      </c>
    </row>
    <row r="26" spans="1:7" s="326" customFormat="1" ht="87" thickBot="1">
      <c r="B26" s="370" t="s">
        <v>646</v>
      </c>
      <c r="C26" s="371" t="s">
        <v>754</v>
      </c>
      <c r="D26" s="373" t="s">
        <v>718</v>
      </c>
      <c r="E26" s="373"/>
      <c r="F26" s="374" t="s">
        <v>626</v>
      </c>
      <c r="G26" s="375">
        <v>43277</v>
      </c>
    </row>
    <row r="27" spans="1:7" s="326" customFormat="1" ht="29.4" thickBot="1">
      <c r="B27" s="370" t="s">
        <v>736</v>
      </c>
      <c r="C27" s="371" t="s">
        <v>808</v>
      </c>
      <c r="D27" s="372" t="s">
        <v>756</v>
      </c>
      <c r="E27" s="373"/>
      <c r="F27" s="374" t="s">
        <v>626</v>
      </c>
      <c r="G27" s="375">
        <v>43397</v>
      </c>
    </row>
    <row r="28" spans="1:7" ht="15" thickBot="1">
      <c r="B28" s="370" t="s">
        <v>798</v>
      </c>
      <c r="C28" s="371" t="s">
        <v>834</v>
      </c>
      <c r="D28" s="373" t="s">
        <v>14</v>
      </c>
      <c r="E28" s="373" t="s">
        <v>105</v>
      </c>
      <c r="F28" s="374" t="s">
        <v>626</v>
      </c>
      <c r="G28" s="375">
        <v>43474</v>
      </c>
    </row>
    <row r="29" spans="1:7" ht="15" thickBot="1">
      <c r="B29" s="507" t="s">
        <v>848</v>
      </c>
      <c r="C29" s="508" t="s">
        <v>863</v>
      </c>
      <c r="D29" s="513" t="s">
        <v>14</v>
      </c>
      <c r="E29" s="513" t="s">
        <v>105</v>
      </c>
      <c r="F29" s="513" t="s">
        <v>626</v>
      </c>
      <c r="G29" s="515">
        <v>43902</v>
      </c>
    </row>
    <row r="30" spans="1:7" ht="15" thickBot="1">
      <c r="B30" s="507" t="s">
        <v>873</v>
      </c>
      <c r="C30" s="371" t="s">
        <v>834</v>
      </c>
      <c r="D30" s="513" t="s">
        <v>14</v>
      </c>
      <c r="E30" s="514"/>
      <c r="F30" s="513" t="s">
        <v>626</v>
      </c>
      <c r="G30" s="515">
        <v>43937</v>
      </c>
    </row>
    <row r="31" spans="1:7">
      <c r="B31" s="56"/>
    </row>
    <row r="32" spans="1:7">
      <c r="B32" s="3"/>
      <c r="C32" s="130"/>
    </row>
    <row r="33" spans="2:3">
      <c r="B33" s="3"/>
      <c r="C33" s="72"/>
    </row>
    <row r="34" spans="2:3">
      <c r="B34" s="3"/>
      <c r="C34" s="56"/>
    </row>
    <row r="35" spans="2:3">
      <c r="B35" s="3"/>
      <c r="C35" s="130"/>
    </row>
    <row r="36" spans="2:3">
      <c r="B36" s="3"/>
      <c r="C36" s="130"/>
    </row>
    <row r="37" spans="2:3">
      <c r="B37" s="129"/>
    </row>
    <row r="38" spans="2:3">
      <c r="B38" s="129"/>
      <c r="C38" s="130"/>
    </row>
    <row r="39" spans="2:3">
      <c r="B39" s="129"/>
      <c r="C39" s="17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workbookViewId="0">
      <selection activeCell="C21" sqref="C21"/>
    </sheetView>
  </sheetViews>
  <sheetFormatPr defaultColWidth="8.88671875" defaultRowHeight="14.4"/>
  <cols>
    <col min="3" max="3" width="13.33203125" customWidth="1"/>
  </cols>
  <sheetData>
    <row r="3" spans="2:6">
      <c r="B3" s="44" t="s">
        <v>41</v>
      </c>
    </row>
    <row r="4" spans="2:6">
      <c r="C4" s="44" t="s">
        <v>42</v>
      </c>
    </row>
    <row r="6" spans="2:6">
      <c r="C6" s="44" t="s">
        <v>43</v>
      </c>
    </row>
    <row r="7" spans="2:6">
      <c r="C7" s="44" t="s">
        <v>44</v>
      </c>
    </row>
    <row r="9" spans="2:6">
      <c r="C9" s="44" t="s">
        <v>48</v>
      </c>
      <c r="D9" s="44">
        <v>6</v>
      </c>
      <c r="E9" s="44" t="s">
        <v>45</v>
      </c>
    </row>
    <row r="10" spans="2:6">
      <c r="C10" s="44" t="s">
        <v>46</v>
      </c>
      <c r="D10">
        <v>3000</v>
      </c>
      <c r="E10" s="44" t="s">
        <v>45</v>
      </c>
    </row>
    <row r="11" spans="2:6">
      <c r="C11" s="44" t="s">
        <v>47</v>
      </c>
      <c r="D11" s="1">
        <f>0.84^4*D9^2/4/D10*1000</f>
        <v>1.4936140799999995</v>
      </c>
      <c r="E11" s="44" t="s">
        <v>38</v>
      </c>
      <c r="F11" s="44" t="s">
        <v>370</v>
      </c>
    </row>
    <row r="12" spans="2:6">
      <c r="C12" s="44"/>
      <c r="E12" s="44"/>
    </row>
    <row r="15" spans="2:6">
      <c r="B15" s="44" t="s">
        <v>49</v>
      </c>
    </row>
    <row r="16" spans="2:6">
      <c r="C16" s="44" t="s">
        <v>50</v>
      </c>
    </row>
    <row r="17" spans="3:6">
      <c r="C17" s="44" t="s">
        <v>51</v>
      </c>
    </row>
    <row r="18" spans="3:6">
      <c r="C18" s="44" t="s">
        <v>52</v>
      </c>
    </row>
    <row r="19" spans="3:6">
      <c r="C19" s="44" t="s">
        <v>54</v>
      </c>
      <c r="D19">
        <v>0.41499999999999998</v>
      </c>
      <c r="E19" s="44" t="s">
        <v>53</v>
      </c>
      <c r="F19" s="44" t="s">
        <v>375</v>
      </c>
    </row>
    <row r="20" spans="3:6">
      <c r="C20" s="44" t="s">
        <v>55</v>
      </c>
      <c r="D20" s="45">
        <f>4/(3*PI())*SIN(RADIANS(D19))*D9*1000</f>
        <v>18.444283170533595</v>
      </c>
      <c r="E20" s="44" t="s">
        <v>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election activeCell="B3" sqref="B3"/>
    </sheetView>
  </sheetViews>
  <sheetFormatPr defaultColWidth="8.88671875" defaultRowHeight="14.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G11" sqref="G11"/>
    </sheetView>
  </sheetViews>
  <sheetFormatPr defaultColWidth="8.88671875" defaultRowHeight="14.4"/>
  <cols>
    <col min="1" max="1" width="8.88671875" style="326"/>
    <col min="2" max="2" width="26.44140625" style="326" customWidth="1"/>
    <col min="3" max="6" width="8.88671875" style="326"/>
    <col min="7" max="7" width="11" style="326" customWidth="1"/>
    <col min="8" max="16384" width="8.88671875" style="326"/>
  </cols>
  <sheetData>
    <row r="1" spans="1:18" ht="29.4" thickBot="1">
      <c r="A1" s="329" t="s">
        <v>59</v>
      </c>
      <c r="B1" s="330">
        <v>49</v>
      </c>
      <c r="C1" s="330" t="s">
        <v>36</v>
      </c>
      <c r="D1" s="330"/>
      <c r="E1" s="330"/>
      <c r="F1" s="332"/>
      <c r="G1" s="333"/>
      <c r="H1" s="327"/>
      <c r="I1" s="327"/>
      <c r="J1" s="327"/>
      <c r="K1" s="327"/>
      <c r="L1" s="327"/>
      <c r="M1" s="327"/>
      <c r="N1" s="327"/>
      <c r="O1" s="327"/>
      <c r="P1" s="327"/>
    </row>
    <row r="2" spans="1:18" ht="15" thickBot="1">
      <c r="A2" s="334"/>
      <c r="B2" s="336" t="s">
        <v>595</v>
      </c>
      <c r="C2" s="337">
        <v>71.966300000000004</v>
      </c>
      <c r="D2" s="337">
        <v>61.749600000000001</v>
      </c>
      <c r="E2" s="335">
        <v>50.028799999999997</v>
      </c>
      <c r="F2" s="337">
        <v>36.948399999999999</v>
      </c>
      <c r="G2" s="337">
        <v>24.087599999999998</v>
      </c>
      <c r="H2" s="337">
        <v>16.754899999999999</v>
      </c>
      <c r="I2" s="337">
        <v>11.741400000000001</v>
      </c>
      <c r="J2" s="337">
        <v>8.6274999999999995</v>
      </c>
      <c r="K2" s="337">
        <v>7.1609999999999996</v>
      </c>
      <c r="L2" s="337">
        <v>5.7657499999999997</v>
      </c>
      <c r="M2" s="337">
        <v>5.3098200000000002</v>
      </c>
      <c r="N2" s="337">
        <v>5.0860300000000001</v>
      </c>
      <c r="O2" s="337">
        <v>4.8627200000000004</v>
      </c>
      <c r="P2" s="337">
        <v>4.3425799999999999</v>
      </c>
      <c r="Q2" s="337">
        <v>3.5205199999999999</v>
      </c>
      <c r="R2" s="337">
        <f>3.17166</f>
        <v>3.1716600000000001</v>
      </c>
    </row>
    <row r="3" spans="1:18" ht="15" thickBot="1">
      <c r="A3" s="525" t="s">
        <v>60</v>
      </c>
      <c r="B3" s="342"/>
      <c r="C3" s="340">
        <v>350</v>
      </c>
      <c r="D3" s="339">
        <v>360</v>
      </c>
      <c r="E3" s="339">
        <v>375</v>
      </c>
      <c r="F3" s="339">
        <v>400</v>
      </c>
      <c r="G3" s="339">
        <v>450</v>
      </c>
      <c r="H3" s="339">
        <v>500</v>
      </c>
      <c r="I3" s="339">
        <v>550</v>
      </c>
      <c r="J3" s="339">
        <v>600</v>
      </c>
      <c r="K3" s="339">
        <v>650</v>
      </c>
      <c r="L3" s="339">
        <v>700</v>
      </c>
      <c r="M3" s="339">
        <v>750</v>
      </c>
      <c r="N3" s="339">
        <v>800</v>
      </c>
      <c r="O3" s="339">
        <v>850</v>
      </c>
      <c r="P3" s="339">
        <v>900</v>
      </c>
      <c r="Q3" s="339">
        <v>980</v>
      </c>
      <c r="R3" s="339">
        <v>995</v>
      </c>
    </row>
    <row r="4" spans="1:18" ht="15.75" customHeight="1" thickBot="1">
      <c r="A4" s="526"/>
    </row>
    <row r="5" spans="1:18" ht="15" thickBot="1">
      <c r="A5" s="527"/>
      <c r="B5" s="336" t="s">
        <v>61</v>
      </c>
      <c r="C5" s="341">
        <f>G11</f>
        <v>0.49215044899749688</v>
      </c>
      <c r="D5" s="341">
        <f>G12</f>
        <v>0.5260406387949369</v>
      </c>
      <c r="E5" s="341">
        <f>G13</f>
        <v>0.57179319150691721</v>
      </c>
      <c r="F5" s="341">
        <f>G14</f>
        <v>0.63665566405950036</v>
      </c>
      <c r="G5" s="341">
        <f>G15</f>
        <v>0.75290905777904382</v>
      </c>
      <c r="H5" s="341">
        <f>G16</f>
        <v>0.8295882574011948</v>
      </c>
      <c r="I5" s="341">
        <f>G17</f>
        <v>0.88151963483988605</v>
      </c>
      <c r="J5" s="341">
        <f>G18</f>
        <v>0.91267663194565807</v>
      </c>
      <c r="K5" s="341">
        <f>G19</f>
        <v>0.93313250004159387</v>
      </c>
      <c r="L5" s="341">
        <f>G20</f>
        <v>0.94308648381301097</v>
      </c>
      <c r="M5" s="341">
        <f>G21</f>
        <v>0.94824164687382739</v>
      </c>
      <c r="N5" s="341">
        <f>G22</f>
        <v>0.96614344884079861</v>
      </c>
      <c r="O5" s="341">
        <f>G23</f>
        <v>0.97230898627735507</v>
      </c>
      <c r="P5" s="341">
        <f>G24</f>
        <v>0.96531999745724151</v>
      </c>
      <c r="Q5" s="341">
        <f>G25</f>
        <v>0.95373862730711534</v>
      </c>
      <c r="R5" s="341">
        <f>G26</f>
        <v>0.96373466496273164</v>
      </c>
    </row>
    <row r="6" spans="1:18">
      <c r="A6" s="328"/>
      <c r="B6" s="345" t="s">
        <v>620</v>
      </c>
      <c r="C6" s="346">
        <v>0.44398176157300551</v>
      </c>
      <c r="D6" s="346">
        <v>0.4982266567587329</v>
      </c>
      <c r="E6" s="346">
        <v>0.56866811734102662</v>
      </c>
      <c r="F6" s="346">
        <v>0.65910231949466691</v>
      </c>
      <c r="G6" s="346">
        <v>0.76202770281092569</v>
      </c>
      <c r="H6" s="343">
        <v>0.82775343184140715</v>
      </c>
      <c r="I6" s="343">
        <v>0.87592544002636408</v>
      </c>
      <c r="J6" s="343">
        <v>0.90724639253522332</v>
      </c>
      <c r="K6" s="343">
        <v>0.9223825962819967</v>
      </c>
      <c r="L6" s="343">
        <v>0.93701776544859394</v>
      </c>
      <c r="M6" s="343">
        <v>0.94185030336932063</v>
      </c>
      <c r="N6" s="343">
        <v>0.94423143129200393</v>
      </c>
      <c r="O6" s="343">
        <v>0.94661345246607786</v>
      </c>
      <c r="P6" s="343">
        <v>0.952185049009449</v>
      </c>
      <c r="Q6" s="343">
        <v>0.96105767647348406</v>
      </c>
      <c r="R6" s="343">
        <v>0.96484792235517647</v>
      </c>
    </row>
    <row r="7" spans="1:18">
      <c r="A7" s="347"/>
      <c r="B7" s="345" t="s">
        <v>621</v>
      </c>
      <c r="C7" s="348">
        <f>C5-C6</f>
        <v>4.8168687424491374E-2</v>
      </c>
      <c r="D7" s="348">
        <f t="shared" ref="D7:R7" si="0">D5-D6</f>
        <v>2.7813982036203999E-2</v>
      </c>
      <c r="E7" s="348">
        <f t="shared" si="0"/>
        <v>3.1250741658905845E-3</v>
      </c>
      <c r="F7" s="348">
        <f t="shared" si="0"/>
        <v>-2.2446655435166551E-2</v>
      </c>
      <c r="G7" s="348">
        <f t="shared" si="0"/>
        <v>-9.1186450318818668E-3</v>
      </c>
      <c r="H7" s="348">
        <f t="shared" si="0"/>
        <v>1.8348255597876451E-3</v>
      </c>
      <c r="I7" s="348">
        <f t="shared" si="0"/>
        <v>5.5941948135219688E-3</v>
      </c>
      <c r="J7" s="348">
        <f t="shared" si="0"/>
        <v>5.4302394104347451E-3</v>
      </c>
      <c r="K7" s="348">
        <f t="shared" si="0"/>
        <v>1.0749903759597168E-2</v>
      </c>
      <c r="L7" s="348">
        <f t="shared" si="0"/>
        <v>6.0687183644170251E-3</v>
      </c>
      <c r="M7" s="348">
        <f t="shared" si="0"/>
        <v>6.3913435045067635E-3</v>
      </c>
      <c r="N7" s="348">
        <f t="shared" si="0"/>
        <v>2.1912017548794682E-2</v>
      </c>
      <c r="O7" s="348">
        <f t="shared" si="0"/>
        <v>2.5695533811277205E-2</v>
      </c>
      <c r="P7" s="348">
        <f t="shared" si="0"/>
        <v>1.3134948447792505E-2</v>
      </c>
      <c r="Q7" s="348">
        <f t="shared" si="0"/>
        <v>-7.3190491663687185E-3</v>
      </c>
      <c r="R7" s="348">
        <f t="shared" si="0"/>
        <v>-1.113257392444833E-3</v>
      </c>
    </row>
    <row r="8" spans="1:18">
      <c r="A8" s="328"/>
      <c r="B8" s="328"/>
      <c r="C8" s="331"/>
      <c r="D8" s="331"/>
      <c r="E8" s="331"/>
      <c r="F8" s="331"/>
      <c r="G8" s="331"/>
    </row>
    <row r="9" spans="1:18">
      <c r="A9" s="528" t="s">
        <v>847</v>
      </c>
      <c r="B9" s="528"/>
      <c r="C9" s="528"/>
      <c r="D9" s="528"/>
      <c r="E9" s="528"/>
      <c r="F9" s="528"/>
      <c r="G9" s="528"/>
      <c r="H9" s="328"/>
      <c r="I9" s="328"/>
      <c r="J9" s="328"/>
      <c r="K9" s="328"/>
      <c r="L9" s="328"/>
      <c r="M9" s="328"/>
      <c r="N9" s="328"/>
      <c r="O9" s="328"/>
      <c r="P9" s="328"/>
      <c r="Q9" s="328"/>
      <c r="R9" s="328"/>
    </row>
    <row r="10" spans="1:18" ht="28.8">
      <c r="A10" s="328" t="s">
        <v>596</v>
      </c>
      <c r="B10" s="328" t="s">
        <v>597</v>
      </c>
      <c r="C10" s="328" t="s">
        <v>598</v>
      </c>
      <c r="D10" s="328" t="s">
        <v>599</v>
      </c>
      <c r="E10" s="328" t="s">
        <v>600</v>
      </c>
      <c r="F10" s="328"/>
      <c r="G10" s="328" t="s">
        <v>601</v>
      </c>
      <c r="H10" s="328"/>
      <c r="I10" s="328"/>
      <c r="J10" s="328"/>
      <c r="K10" s="328"/>
      <c r="L10" s="328"/>
      <c r="M10" s="328"/>
      <c r="N10" s="328"/>
      <c r="O10" s="328"/>
      <c r="P10" s="328"/>
      <c r="Q10" s="328"/>
      <c r="R10" s="328"/>
    </row>
    <row r="11" spans="1:18" ht="15.75" customHeight="1">
      <c r="A11" s="328">
        <v>350</v>
      </c>
      <c r="B11" s="328">
        <v>70.654899470100005</v>
      </c>
      <c r="C11" s="331">
        <v>84.261844469699994</v>
      </c>
      <c r="D11" s="331">
        <v>77.385502889400001</v>
      </c>
      <c r="E11" s="331">
        <v>3.53147460956</v>
      </c>
      <c r="F11" s="331"/>
      <c r="G11" s="341">
        <v>0.49215044899749688</v>
      </c>
    </row>
    <row r="12" spans="1:18">
      <c r="A12" s="328">
        <v>360</v>
      </c>
      <c r="B12" s="328">
        <v>61.481305214000002</v>
      </c>
      <c r="C12" s="331">
        <v>73.181186507999996</v>
      </c>
      <c r="D12" s="331">
        <v>67.390742391299995</v>
      </c>
      <c r="E12" s="331">
        <v>2.9501918923299999</v>
      </c>
      <c r="F12" s="331"/>
      <c r="G12" s="341">
        <v>0.5260406387949369</v>
      </c>
    </row>
    <row r="13" spans="1:18">
      <c r="A13" s="328">
        <v>375</v>
      </c>
      <c r="B13" s="328">
        <v>50.138239981300003</v>
      </c>
      <c r="C13" s="331">
        <v>59.1464099421</v>
      </c>
      <c r="D13" s="331">
        <v>54.937703107700003</v>
      </c>
      <c r="E13" s="331">
        <v>2.3306679151099998</v>
      </c>
      <c r="F13" s="331"/>
      <c r="G13" s="341">
        <v>0.57179319150691721</v>
      </c>
    </row>
    <row r="14" spans="1:18">
      <c r="A14" s="328">
        <v>400</v>
      </c>
      <c r="B14" s="328">
        <v>37.679334330800003</v>
      </c>
      <c r="C14" s="331">
        <v>43.938762299499999</v>
      </c>
      <c r="D14" s="331">
        <v>40.953574871599997</v>
      </c>
      <c r="E14" s="331">
        <v>1.7924958961599999</v>
      </c>
      <c r="F14" s="331"/>
      <c r="G14" s="341">
        <v>0.63665566405950036</v>
      </c>
    </row>
    <row r="15" spans="1:18">
      <c r="A15" s="328">
        <v>450</v>
      </c>
      <c r="B15" s="328">
        <v>2.4548580144600001</v>
      </c>
      <c r="C15" s="331">
        <v>2.6534858559900001</v>
      </c>
      <c r="D15" s="331">
        <v>2.5585256532599998</v>
      </c>
      <c r="E15" s="331">
        <v>5.1339221504199999E-2</v>
      </c>
      <c r="F15" s="331"/>
      <c r="G15" s="341">
        <v>0.75290905777904382</v>
      </c>
    </row>
    <row r="16" spans="1:18">
      <c r="A16" s="326">
        <v>500</v>
      </c>
      <c r="B16" s="326">
        <v>1.6216308565199999</v>
      </c>
      <c r="C16" s="326">
        <v>1.77485188635</v>
      </c>
      <c r="D16" s="326">
        <v>1.7064838475499999</v>
      </c>
      <c r="E16" s="326">
        <v>3.8834334613699999E-2</v>
      </c>
      <c r="G16" s="341">
        <v>0.8295882574011948</v>
      </c>
    </row>
    <row r="17" spans="1:7">
      <c r="A17" s="326">
        <v>550</v>
      </c>
      <c r="B17" s="326">
        <v>1.0498672008600001</v>
      </c>
      <c r="C17" s="326">
        <v>1.18244042476</v>
      </c>
      <c r="D17" s="326">
        <v>1.1256895654300001</v>
      </c>
      <c r="E17" s="326">
        <v>3.4291141031199998E-2</v>
      </c>
      <c r="G17" s="341">
        <v>0.88151963483988605</v>
      </c>
    </row>
    <row r="18" spans="1:7">
      <c r="A18" s="326">
        <v>600</v>
      </c>
      <c r="B18" s="326">
        <v>0.68883068524799995</v>
      </c>
      <c r="C18" s="326">
        <v>0.811675986377</v>
      </c>
      <c r="D18" s="326">
        <v>0.76220669441099997</v>
      </c>
      <c r="E18" s="326">
        <v>3.3879740791599999E-2</v>
      </c>
      <c r="G18" s="341">
        <v>0.91267663194565807</v>
      </c>
    </row>
    <row r="19" spans="1:7">
      <c r="A19" s="326">
        <v>650</v>
      </c>
      <c r="B19" s="326">
        <v>0.48778494748099999</v>
      </c>
      <c r="C19" s="326">
        <v>0.60420984340700001</v>
      </c>
      <c r="D19" s="326">
        <v>0.56209912200599998</v>
      </c>
      <c r="E19" s="326">
        <v>3.5084711411299999E-2</v>
      </c>
      <c r="G19" s="341">
        <v>0.93313250004159387</v>
      </c>
    </row>
    <row r="20" spans="1:7">
      <c r="A20" s="326">
        <v>700</v>
      </c>
      <c r="B20" s="326">
        <v>0.39599362533900001</v>
      </c>
      <c r="C20" s="326">
        <v>0.51350848722599995</v>
      </c>
      <c r="D20" s="326">
        <v>0.47143073572499999</v>
      </c>
      <c r="E20" s="326">
        <v>3.6805906172899999E-2</v>
      </c>
      <c r="G20" s="341">
        <v>0.94308648381301097</v>
      </c>
    </row>
    <row r="21" spans="1:7">
      <c r="A21" s="326">
        <v>750</v>
      </c>
      <c r="B21" s="326">
        <v>0.36272035660700003</v>
      </c>
      <c r="C21" s="326">
        <v>0.48309933150500001</v>
      </c>
      <c r="D21" s="326">
        <v>0.43626542307999999</v>
      </c>
      <c r="E21" s="326">
        <v>3.8693463215099998E-2</v>
      </c>
      <c r="G21" s="341">
        <v>0.94824164687382739</v>
      </c>
    </row>
    <row r="22" spans="1:7">
      <c r="A22" s="326">
        <v>800</v>
      </c>
      <c r="B22" s="326">
        <v>0.33722877906799997</v>
      </c>
      <c r="C22" s="326">
        <v>0.45856955203600003</v>
      </c>
      <c r="D22" s="326">
        <v>0.40266707158100001</v>
      </c>
      <c r="E22" s="326">
        <v>4.1389980416300001E-2</v>
      </c>
      <c r="G22" s="341">
        <v>0.96614344884079861</v>
      </c>
    </row>
    <row r="23" spans="1:7">
      <c r="A23" s="326">
        <v>850</v>
      </c>
      <c r="B23" s="326">
        <v>0.25859465172399998</v>
      </c>
      <c r="C23" s="326">
        <v>0.38509705078099998</v>
      </c>
      <c r="D23" s="326">
        <v>0.31669956873799998</v>
      </c>
      <c r="E23" s="326">
        <v>4.7574902826300003E-2</v>
      </c>
      <c r="G23" s="341">
        <v>0.97230898627735507</v>
      </c>
    </row>
    <row r="24" spans="1:7">
      <c r="A24" s="326">
        <v>900</v>
      </c>
      <c r="B24" s="326">
        <v>1.1405514186100001</v>
      </c>
      <c r="C24" s="326">
        <v>1.7187405630899999</v>
      </c>
      <c r="D24" s="326">
        <v>1.45395282819</v>
      </c>
      <c r="E24" s="326">
        <v>0.20536803052899999</v>
      </c>
      <c r="G24" s="341">
        <v>0.96531999745724151</v>
      </c>
    </row>
    <row r="25" spans="1:7">
      <c r="A25" s="326">
        <v>980</v>
      </c>
      <c r="B25" s="326">
        <v>0.43198532100199999</v>
      </c>
      <c r="C25" s="326">
        <v>0.51880519552299997</v>
      </c>
      <c r="D25" s="326">
        <v>0.47045591023299999</v>
      </c>
      <c r="E25" s="326">
        <v>3.1549424546000002E-2</v>
      </c>
      <c r="G25" s="341">
        <v>0.95373862730711534</v>
      </c>
    </row>
    <row r="26" spans="1:7">
      <c r="A26" s="326">
        <v>995</v>
      </c>
      <c r="B26" s="326">
        <v>0.20734743258400001</v>
      </c>
      <c r="C26" s="326">
        <v>0.35272985413000002</v>
      </c>
      <c r="D26" s="326">
        <v>0.286050238116</v>
      </c>
      <c r="E26" s="326">
        <v>4.9761045160000003E-2</v>
      </c>
      <c r="G26" s="341">
        <v>0.96373466496273164</v>
      </c>
    </row>
  </sheetData>
  <mergeCells count="2">
    <mergeCell ref="A3:A5"/>
    <mergeCell ref="A9:G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3"/>
  <sheetViews>
    <sheetView workbookViewId="0">
      <selection activeCell="E5" sqref="E5"/>
    </sheetView>
  </sheetViews>
  <sheetFormatPr defaultColWidth="9" defaultRowHeight="14.4"/>
  <cols>
    <col min="1" max="16384" width="9" style="326"/>
  </cols>
  <sheetData>
    <row r="1" spans="1:20">
      <c r="A1" s="326" t="s">
        <v>602</v>
      </c>
    </row>
    <row r="3" spans="1:20">
      <c r="A3" s="326" t="s">
        <v>603</v>
      </c>
      <c r="B3" s="326" t="s">
        <v>604</v>
      </c>
    </row>
    <row r="4" spans="1:20">
      <c r="A4" s="326">
        <v>299.47660000000002</v>
      </c>
      <c r="B4" s="326">
        <v>0.42149999999999999</v>
      </c>
      <c r="E4" s="338">
        <v>350</v>
      </c>
      <c r="F4" s="338">
        <v>360</v>
      </c>
      <c r="G4" s="338">
        <v>375</v>
      </c>
      <c r="H4" s="338">
        <v>400</v>
      </c>
      <c r="I4" s="338">
        <v>450</v>
      </c>
      <c r="J4" s="338">
        <v>500</v>
      </c>
      <c r="K4" s="338">
        <v>550</v>
      </c>
      <c r="L4" s="338">
        <v>600</v>
      </c>
      <c r="M4" s="338">
        <v>650</v>
      </c>
      <c r="N4" s="338">
        <v>700</v>
      </c>
      <c r="O4" s="338">
        <v>750</v>
      </c>
      <c r="P4" s="338">
        <v>800</v>
      </c>
      <c r="Q4" s="338">
        <v>850</v>
      </c>
      <c r="R4" s="338">
        <v>900</v>
      </c>
      <c r="S4" s="338">
        <v>980</v>
      </c>
      <c r="T4" s="338">
        <v>995</v>
      </c>
    </row>
    <row r="5" spans="1:20">
      <c r="A5" s="326">
        <v>300.52339999999998</v>
      </c>
      <c r="B5" s="326">
        <v>0.42149999999999999</v>
      </c>
      <c r="E5" s="326">
        <f>B53</f>
        <v>0.98929999999999996</v>
      </c>
      <c r="F5" s="326">
        <f>B62</f>
        <v>0.98619999999999997</v>
      </c>
      <c r="G5" s="326">
        <f>B78</f>
        <v>0.99709999999999999</v>
      </c>
      <c r="H5" s="326">
        <f>B106</f>
        <v>0.99099999999999999</v>
      </c>
      <c r="I5" s="326">
        <f>B161</f>
        <v>0.99270000000000003</v>
      </c>
      <c r="J5" s="326">
        <f>B215</f>
        <v>0.99350000000000005</v>
      </c>
      <c r="K5" s="326">
        <f>B270</f>
        <v>0.99380000000000002</v>
      </c>
      <c r="L5" s="326">
        <f>B324</f>
        <v>0.99239999999999995</v>
      </c>
      <c r="M5" s="326">
        <f>B379</f>
        <v>0.98970000000000002</v>
      </c>
      <c r="N5" s="326">
        <f>B434</f>
        <v>0.9919</v>
      </c>
      <c r="O5" s="326">
        <f>B488</f>
        <v>0.99270000000000003</v>
      </c>
      <c r="P5" s="326">
        <f>B543</f>
        <v>0.99080000000000001</v>
      </c>
      <c r="Q5" s="326">
        <f>B598</f>
        <v>0.98970000000000002</v>
      </c>
      <c r="R5" s="326">
        <f>B652</f>
        <v>0.99160000000000004</v>
      </c>
      <c r="S5" s="326">
        <f>B739</f>
        <v>0.98419999999999996</v>
      </c>
      <c r="T5" s="326">
        <f>B753</f>
        <v>0.97921620417257438</v>
      </c>
    </row>
    <row r="6" spans="1:20">
      <c r="A6" s="326">
        <v>301.5702</v>
      </c>
      <c r="B6" s="326">
        <v>0.41649999999999998</v>
      </c>
    </row>
    <row r="7" spans="1:20">
      <c r="A7" s="326">
        <v>302.61689999999999</v>
      </c>
      <c r="B7" s="326">
        <v>0.41149999999999998</v>
      </c>
    </row>
    <row r="8" spans="1:20">
      <c r="A8" s="326">
        <v>303.66370000000001</v>
      </c>
      <c r="B8" s="326">
        <v>0.40899999999999997</v>
      </c>
    </row>
    <row r="9" spans="1:20">
      <c r="A9" s="326">
        <v>304.71050000000002</v>
      </c>
      <c r="B9" s="326">
        <v>0.40639999999999998</v>
      </c>
    </row>
    <row r="10" spans="1:20">
      <c r="A10" s="326">
        <v>305.75720000000001</v>
      </c>
      <c r="B10" s="326">
        <v>0.40150000000000002</v>
      </c>
    </row>
    <row r="11" spans="1:20">
      <c r="A11" s="326">
        <v>306.80410000000001</v>
      </c>
      <c r="B11" s="326">
        <v>0.40150000000000002</v>
      </c>
    </row>
    <row r="12" spans="1:20">
      <c r="A12" s="326">
        <v>307.85079999999999</v>
      </c>
      <c r="B12" s="326">
        <v>0.40150000000000002</v>
      </c>
    </row>
    <row r="13" spans="1:20">
      <c r="A13" s="326">
        <v>308.89760000000001</v>
      </c>
      <c r="B13" s="326">
        <v>0.39900000000000002</v>
      </c>
    </row>
    <row r="14" spans="1:20">
      <c r="A14" s="326">
        <v>309.94439999999997</v>
      </c>
      <c r="B14" s="326">
        <v>0.40639999999999998</v>
      </c>
    </row>
    <row r="15" spans="1:20">
      <c r="A15" s="326">
        <v>310.99119999999999</v>
      </c>
      <c r="B15" s="326">
        <v>0.41649999999999998</v>
      </c>
    </row>
    <row r="16" spans="1:20">
      <c r="A16" s="326">
        <v>312.03789999999998</v>
      </c>
      <c r="B16" s="326">
        <v>0.4415</v>
      </c>
    </row>
    <row r="17" spans="1:2">
      <c r="A17" s="326">
        <v>313.0847</v>
      </c>
      <c r="B17" s="326">
        <v>0.45650000000000002</v>
      </c>
    </row>
    <row r="18" spans="1:2">
      <c r="A18" s="326">
        <v>314.13150000000002</v>
      </c>
      <c r="B18" s="326">
        <v>0.47160000000000002</v>
      </c>
    </row>
    <row r="19" spans="1:2">
      <c r="A19" s="326">
        <v>315.17829999999998</v>
      </c>
      <c r="B19" s="326">
        <v>0.48909999999999998</v>
      </c>
    </row>
    <row r="20" spans="1:2">
      <c r="A20" s="326">
        <v>316.2251</v>
      </c>
      <c r="B20" s="326">
        <v>0.5091</v>
      </c>
    </row>
    <row r="21" spans="1:2">
      <c r="A21" s="326">
        <v>317.27179999999998</v>
      </c>
      <c r="B21" s="326">
        <v>0.52910000000000001</v>
      </c>
    </row>
    <row r="22" spans="1:2">
      <c r="A22" s="326">
        <v>318.3186</v>
      </c>
      <c r="B22" s="326">
        <v>0.55159999999999998</v>
      </c>
    </row>
    <row r="23" spans="1:2">
      <c r="A23" s="326">
        <v>319.36540000000002</v>
      </c>
      <c r="B23" s="326">
        <v>0.5766</v>
      </c>
    </row>
    <row r="24" spans="1:2">
      <c r="A24" s="326">
        <v>320.41219999999998</v>
      </c>
      <c r="B24" s="326">
        <v>0.60160000000000002</v>
      </c>
    </row>
    <row r="25" spans="1:2">
      <c r="A25" s="326">
        <v>321.4588</v>
      </c>
      <c r="B25" s="326">
        <v>0.62670000000000003</v>
      </c>
    </row>
    <row r="26" spans="1:2">
      <c r="A26" s="326">
        <v>322.50569999999999</v>
      </c>
      <c r="B26" s="326">
        <v>0.65169999999999995</v>
      </c>
    </row>
    <row r="27" spans="1:2">
      <c r="A27" s="326">
        <v>323.55250000000001</v>
      </c>
      <c r="B27" s="326">
        <v>0.67920000000000003</v>
      </c>
    </row>
    <row r="28" spans="1:2">
      <c r="A28" s="326">
        <v>324.59930000000003</v>
      </c>
      <c r="B28" s="326">
        <v>0.70669999999999999</v>
      </c>
    </row>
    <row r="29" spans="1:2">
      <c r="A29" s="326">
        <v>325.64609999999999</v>
      </c>
      <c r="B29" s="326">
        <v>0.73419999999999996</v>
      </c>
    </row>
    <row r="30" spans="1:2">
      <c r="A30" s="326">
        <v>326.69279999999998</v>
      </c>
      <c r="B30" s="326">
        <v>0.76170000000000004</v>
      </c>
    </row>
    <row r="31" spans="1:2">
      <c r="A31" s="326">
        <v>327.7396</v>
      </c>
      <c r="B31" s="326">
        <v>0.78680000000000005</v>
      </c>
    </row>
    <row r="32" spans="1:2">
      <c r="A32" s="326">
        <v>328.78640000000001</v>
      </c>
      <c r="B32" s="326">
        <v>0.81169999999999998</v>
      </c>
    </row>
    <row r="33" spans="1:2">
      <c r="A33" s="326">
        <v>329.83319999999998</v>
      </c>
      <c r="B33" s="326">
        <v>0.83679999999999999</v>
      </c>
    </row>
    <row r="34" spans="1:2">
      <c r="A34" s="326">
        <v>330.87990000000002</v>
      </c>
      <c r="B34" s="326">
        <v>0.85929999999999995</v>
      </c>
    </row>
    <row r="35" spans="1:2">
      <c r="A35" s="326">
        <v>331.92660000000001</v>
      </c>
      <c r="B35" s="326">
        <v>0.87929999999999997</v>
      </c>
    </row>
    <row r="36" spans="1:2">
      <c r="A36" s="326">
        <v>332.9735</v>
      </c>
      <c r="B36" s="326">
        <v>0.89929999999999999</v>
      </c>
    </row>
    <row r="37" spans="1:2">
      <c r="A37" s="326">
        <v>334.02030000000002</v>
      </c>
      <c r="B37" s="326">
        <v>0.91669999999999996</v>
      </c>
    </row>
    <row r="38" spans="1:2">
      <c r="A38" s="326">
        <v>335.06709999999998</v>
      </c>
      <c r="B38" s="326">
        <v>0.93189999999999995</v>
      </c>
    </row>
    <row r="39" spans="1:2">
      <c r="A39" s="326">
        <v>336.11380000000003</v>
      </c>
      <c r="B39" s="326">
        <v>0.94679999999999997</v>
      </c>
    </row>
    <row r="40" spans="1:2">
      <c r="A40" s="326">
        <v>337.16059999999999</v>
      </c>
      <c r="B40" s="326">
        <v>0.95689999999999997</v>
      </c>
    </row>
    <row r="41" spans="1:2">
      <c r="A41" s="326">
        <v>338.20740000000001</v>
      </c>
      <c r="B41" s="326">
        <v>0.96679999999999999</v>
      </c>
    </row>
    <row r="42" spans="1:2">
      <c r="A42" s="326">
        <v>339.25420000000003</v>
      </c>
      <c r="B42" s="326">
        <v>0.97440000000000004</v>
      </c>
    </row>
    <row r="43" spans="1:2">
      <c r="A43" s="326">
        <v>340.30090000000001</v>
      </c>
      <c r="B43" s="326">
        <v>0.98440000000000005</v>
      </c>
    </row>
    <row r="44" spans="1:2">
      <c r="A44" s="326">
        <v>341.34769999999997</v>
      </c>
      <c r="B44" s="326">
        <v>0.98680000000000001</v>
      </c>
    </row>
    <row r="45" spans="1:2">
      <c r="A45" s="326">
        <v>342.39449999999999</v>
      </c>
      <c r="B45" s="326">
        <v>0.98929999999999996</v>
      </c>
    </row>
    <row r="46" spans="1:2">
      <c r="A46" s="326">
        <v>343.44130000000001</v>
      </c>
      <c r="B46" s="326">
        <v>0.9919</v>
      </c>
    </row>
    <row r="47" spans="1:2">
      <c r="A47" s="326">
        <v>344.48809999999997</v>
      </c>
      <c r="B47" s="326">
        <v>0.9919</v>
      </c>
    </row>
    <row r="48" spans="1:2">
      <c r="A48" s="326">
        <v>345.53480000000002</v>
      </c>
      <c r="B48" s="326">
        <v>0.9919</v>
      </c>
    </row>
    <row r="49" spans="1:2">
      <c r="A49" s="326">
        <v>346.58159999999998</v>
      </c>
      <c r="B49" s="326">
        <v>0.9919</v>
      </c>
    </row>
    <row r="50" spans="1:2">
      <c r="A50" s="326">
        <v>347.6284</v>
      </c>
      <c r="B50" s="326">
        <v>0.9919</v>
      </c>
    </row>
    <row r="51" spans="1:2">
      <c r="A51" s="326">
        <v>348.67520000000002</v>
      </c>
      <c r="B51" s="326">
        <v>0.9919</v>
      </c>
    </row>
    <row r="52" spans="1:2">
      <c r="A52" s="326">
        <v>349.72190000000001</v>
      </c>
      <c r="B52" s="326">
        <v>0.98929999999999996</v>
      </c>
    </row>
    <row r="53" spans="1:2">
      <c r="A53" s="326">
        <v>350.76870000000002</v>
      </c>
      <c r="B53" s="326">
        <v>0.98929999999999996</v>
      </c>
    </row>
    <row r="54" spans="1:2">
      <c r="A54" s="326">
        <v>351.81549999999999</v>
      </c>
      <c r="B54" s="326">
        <v>0.98680000000000001</v>
      </c>
    </row>
    <row r="55" spans="1:2">
      <c r="A55" s="326">
        <v>352.86219999999997</v>
      </c>
      <c r="B55" s="326">
        <v>0.98680000000000001</v>
      </c>
    </row>
    <row r="56" spans="1:2">
      <c r="A56" s="326">
        <v>353.90910000000002</v>
      </c>
      <c r="B56" s="326">
        <v>0.98680000000000001</v>
      </c>
    </row>
    <row r="57" spans="1:2">
      <c r="A57" s="326">
        <v>354.95580000000001</v>
      </c>
      <c r="B57" s="326">
        <v>0.98680000000000001</v>
      </c>
    </row>
    <row r="58" spans="1:2">
      <c r="A58" s="326">
        <v>356.00259999999997</v>
      </c>
      <c r="B58" s="326">
        <v>0.98680000000000001</v>
      </c>
    </row>
    <row r="59" spans="1:2">
      <c r="A59" s="326">
        <v>357.04930000000002</v>
      </c>
      <c r="B59" s="326">
        <v>0.98680000000000001</v>
      </c>
    </row>
    <row r="60" spans="1:2">
      <c r="A60" s="326">
        <v>358.09620000000001</v>
      </c>
      <c r="B60" s="326">
        <v>0.98680000000000001</v>
      </c>
    </row>
    <row r="61" spans="1:2">
      <c r="A61" s="326">
        <v>359.15069999999997</v>
      </c>
      <c r="B61" s="326">
        <v>0.98560000000000003</v>
      </c>
    </row>
    <row r="62" spans="1:2">
      <c r="A62" s="326">
        <v>360.06319999999999</v>
      </c>
      <c r="B62" s="326">
        <v>0.98619999999999997</v>
      </c>
    </row>
    <row r="63" spans="1:2">
      <c r="A63" s="326">
        <v>360.97199999999998</v>
      </c>
      <c r="B63" s="326">
        <v>0.98750000000000004</v>
      </c>
    </row>
    <row r="64" spans="1:2">
      <c r="A64" s="326">
        <v>361.88319999999999</v>
      </c>
      <c r="B64" s="326">
        <v>0.98839999999999995</v>
      </c>
    </row>
    <row r="65" spans="1:2">
      <c r="A65" s="326">
        <v>362.79450000000003</v>
      </c>
      <c r="B65" s="326">
        <v>0.98909999999999998</v>
      </c>
    </row>
    <row r="66" spans="1:2">
      <c r="A66" s="326">
        <v>363.70569999999998</v>
      </c>
      <c r="B66" s="326">
        <v>0.99</v>
      </c>
    </row>
    <row r="67" spans="1:2">
      <c r="A67" s="326">
        <v>364.61950000000002</v>
      </c>
      <c r="B67" s="326">
        <v>0.99029999999999996</v>
      </c>
    </row>
    <row r="68" spans="1:2">
      <c r="A68" s="326">
        <v>365.52949999999998</v>
      </c>
      <c r="B68" s="326">
        <v>0.99139999999999995</v>
      </c>
    </row>
    <row r="69" spans="1:2">
      <c r="A69" s="326">
        <v>366.44069999999999</v>
      </c>
      <c r="B69" s="326">
        <v>0.99219999999999997</v>
      </c>
    </row>
    <row r="70" spans="1:2">
      <c r="A70" s="326">
        <v>367.35070000000002</v>
      </c>
      <c r="B70" s="326">
        <v>0.99329999999999996</v>
      </c>
    </row>
    <row r="71" spans="1:2">
      <c r="A71" s="326">
        <v>368.26440000000002</v>
      </c>
      <c r="B71" s="326">
        <v>0.99350000000000005</v>
      </c>
    </row>
    <row r="72" spans="1:2">
      <c r="A72" s="326">
        <v>369.17430000000002</v>
      </c>
      <c r="B72" s="326">
        <v>0.99460000000000004</v>
      </c>
    </row>
    <row r="73" spans="1:2">
      <c r="A73" s="326">
        <v>370.08690000000001</v>
      </c>
      <c r="B73" s="326">
        <v>0.99519999999999997</v>
      </c>
    </row>
    <row r="74" spans="1:2">
      <c r="A74" s="326">
        <v>370.99939999999998</v>
      </c>
      <c r="B74" s="326">
        <v>0.99570000000000003</v>
      </c>
    </row>
    <row r="75" spans="1:2">
      <c r="A75" s="326">
        <v>371.91320000000002</v>
      </c>
      <c r="B75" s="326">
        <v>0.996</v>
      </c>
    </row>
    <row r="76" spans="1:2">
      <c r="A76" s="326">
        <v>372.82560000000001</v>
      </c>
      <c r="B76" s="326">
        <v>0.99650000000000005</v>
      </c>
    </row>
    <row r="77" spans="1:2">
      <c r="A77" s="326">
        <v>373.73930000000001</v>
      </c>
      <c r="B77" s="326">
        <v>0.99680000000000002</v>
      </c>
    </row>
    <row r="78" spans="1:2">
      <c r="A78" s="326">
        <v>374.65309999999999</v>
      </c>
      <c r="B78" s="326">
        <v>0.99709999999999999</v>
      </c>
    </row>
    <row r="79" spans="1:2">
      <c r="A79" s="326">
        <v>375.56810000000002</v>
      </c>
      <c r="B79" s="326">
        <v>0.99709999999999999</v>
      </c>
    </row>
    <row r="80" spans="1:2">
      <c r="A80" s="326">
        <v>376.483</v>
      </c>
      <c r="B80" s="326">
        <v>0.99709999999999999</v>
      </c>
    </row>
    <row r="81" spans="1:2">
      <c r="A81" s="326">
        <v>377.3981</v>
      </c>
      <c r="B81" s="326">
        <v>0.99709999999999999</v>
      </c>
    </row>
    <row r="82" spans="1:2">
      <c r="A82" s="326">
        <v>378.31310000000002</v>
      </c>
      <c r="B82" s="326">
        <v>0.99709999999999999</v>
      </c>
    </row>
    <row r="83" spans="1:2">
      <c r="A83" s="326">
        <v>379.22800000000001</v>
      </c>
      <c r="B83" s="326">
        <v>0.99709999999999999</v>
      </c>
    </row>
    <row r="84" spans="1:2">
      <c r="A84" s="326">
        <v>380.14299999999997</v>
      </c>
      <c r="B84" s="326">
        <v>0.99709999999999999</v>
      </c>
    </row>
    <row r="85" spans="1:2">
      <c r="A85" s="326">
        <v>381.05930000000001</v>
      </c>
      <c r="B85" s="326">
        <v>0.99680000000000002</v>
      </c>
    </row>
    <row r="86" spans="1:2">
      <c r="A86" s="326">
        <v>381.97550000000001</v>
      </c>
      <c r="B86" s="326">
        <v>0.99650000000000005</v>
      </c>
    </row>
    <row r="87" spans="1:2">
      <c r="A87" s="326">
        <v>382.8904</v>
      </c>
      <c r="B87" s="326">
        <v>0.99650000000000005</v>
      </c>
    </row>
    <row r="88" spans="1:2">
      <c r="A88" s="326">
        <v>383.80669999999998</v>
      </c>
      <c r="B88" s="326">
        <v>0.99629999999999996</v>
      </c>
    </row>
    <row r="89" spans="1:2">
      <c r="A89" s="326">
        <v>384.7242</v>
      </c>
      <c r="B89" s="326">
        <v>0.99570000000000003</v>
      </c>
    </row>
    <row r="90" spans="1:2">
      <c r="A90" s="326">
        <v>385.6404</v>
      </c>
      <c r="B90" s="326">
        <v>0.99539999999999995</v>
      </c>
    </row>
    <row r="91" spans="1:2">
      <c r="A91" s="326">
        <v>386.5566</v>
      </c>
      <c r="B91" s="326">
        <v>0.99519999999999997</v>
      </c>
    </row>
    <row r="92" spans="1:2">
      <c r="A92" s="326">
        <v>387.47289999999998</v>
      </c>
      <c r="B92" s="326">
        <v>0.99490000000000001</v>
      </c>
    </row>
    <row r="93" spans="1:2">
      <c r="A93" s="326">
        <v>388.38909999999998</v>
      </c>
      <c r="B93" s="326">
        <v>0.99460000000000004</v>
      </c>
    </row>
    <row r="94" spans="1:2">
      <c r="A94" s="326">
        <v>389.30410000000001</v>
      </c>
      <c r="B94" s="326">
        <v>0.99460000000000004</v>
      </c>
    </row>
    <row r="95" spans="1:2">
      <c r="A95" s="326">
        <v>390.22269999999997</v>
      </c>
      <c r="B95" s="326">
        <v>0.99380000000000002</v>
      </c>
    </row>
    <row r="96" spans="1:2">
      <c r="A96" s="326">
        <v>391.13900000000001</v>
      </c>
      <c r="B96" s="326">
        <v>0.99350000000000005</v>
      </c>
    </row>
    <row r="97" spans="1:2">
      <c r="A97" s="326">
        <v>392.05520000000001</v>
      </c>
      <c r="B97" s="326">
        <v>0.99329999999999996</v>
      </c>
    </row>
    <row r="98" spans="1:2">
      <c r="A98" s="326">
        <v>392.97149999999999</v>
      </c>
      <c r="B98" s="326">
        <v>0.9929</v>
      </c>
    </row>
    <row r="99" spans="1:2">
      <c r="A99" s="326">
        <v>393.88900000000001</v>
      </c>
      <c r="B99" s="326">
        <v>0.99239999999999995</v>
      </c>
    </row>
    <row r="100" spans="1:2">
      <c r="A100" s="326">
        <v>394.80520000000001</v>
      </c>
      <c r="B100" s="326">
        <v>0.99219999999999997</v>
      </c>
    </row>
    <row r="101" spans="1:2">
      <c r="A101" s="326">
        <v>395.72019999999998</v>
      </c>
      <c r="B101" s="326">
        <v>0.99219999999999997</v>
      </c>
    </row>
    <row r="102" spans="1:2">
      <c r="A102" s="326">
        <v>396.63639999999998</v>
      </c>
      <c r="B102" s="326">
        <v>0.9919</v>
      </c>
    </row>
    <row r="103" spans="1:2">
      <c r="A103" s="326">
        <v>397.55259999999998</v>
      </c>
      <c r="B103" s="326">
        <v>0.99160000000000004</v>
      </c>
    </row>
    <row r="104" spans="1:2">
      <c r="A104" s="326">
        <v>398.46890000000002</v>
      </c>
      <c r="B104" s="326">
        <v>0.99139999999999995</v>
      </c>
    </row>
    <row r="105" spans="1:2">
      <c r="A105" s="326">
        <v>399.38510000000002</v>
      </c>
      <c r="B105" s="326">
        <v>0.99099999999999999</v>
      </c>
    </row>
    <row r="106" spans="1:2">
      <c r="A106" s="326">
        <v>400.30009999999999</v>
      </c>
      <c r="B106" s="326">
        <v>0.99099999999999999</v>
      </c>
    </row>
    <row r="107" spans="1:2">
      <c r="A107" s="326">
        <v>401.21629999999999</v>
      </c>
      <c r="B107" s="326">
        <v>0.99080000000000001</v>
      </c>
    </row>
    <row r="108" spans="1:2">
      <c r="A108" s="326">
        <v>402.13130000000001</v>
      </c>
      <c r="B108" s="326">
        <v>0.99080000000000001</v>
      </c>
    </row>
    <row r="109" spans="1:2">
      <c r="A109" s="326">
        <v>403.04629999999997</v>
      </c>
      <c r="B109" s="326">
        <v>0.99080000000000001</v>
      </c>
    </row>
    <row r="110" spans="1:2">
      <c r="A110" s="326">
        <v>403.96249999999998</v>
      </c>
      <c r="B110" s="326">
        <v>0.99050000000000005</v>
      </c>
    </row>
    <row r="111" spans="1:2">
      <c r="A111" s="326">
        <v>404.8775</v>
      </c>
      <c r="B111" s="326">
        <v>0.99050000000000005</v>
      </c>
    </row>
    <row r="112" spans="1:2">
      <c r="A112" s="326">
        <v>405.79250000000002</v>
      </c>
      <c r="B112" s="326">
        <v>0.99050000000000005</v>
      </c>
    </row>
    <row r="113" spans="1:2">
      <c r="A113" s="326">
        <v>406.70740000000001</v>
      </c>
      <c r="B113" s="326">
        <v>0.99050000000000005</v>
      </c>
    </row>
    <row r="114" spans="1:2">
      <c r="A114" s="326">
        <v>407.6223</v>
      </c>
      <c r="B114" s="326">
        <v>0.99050000000000005</v>
      </c>
    </row>
    <row r="115" spans="1:2">
      <c r="A115" s="326">
        <v>408.53730000000002</v>
      </c>
      <c r="B115" s="326">
        <v>0.99050000000000005</v>
      </c>
    </row>
    <row r="116" spans="1:2">
      <c r="A116" s="326">
        <v>409.45240000000001</v>
      </c>
      <c r="B116" s="326">
        <v>0.99050000000000005</v>
      </c>
    </row>
    <row r="117" spans="1:2">
      <c r="A117" s="326">
        <v>410.36739999999998</v>
      </c>
      <c r="B117" s="326">
        <v>0.99050000000000005</v>
      </c>
    </row>
    <row r="118" spans="1:2">
      <c r="A118" s="326">
        <v>411.28109999999998</v>
      </c>
      <c r="B118" s="326">
        <v>0.99080000000000001</v>
      </c>
    </row>
    <row r="119" spans="1:2">
      <c r="A119" s="326">
        <v>412.1961</v>
      </c>
      <c r="B119" s="326">
        <v>0.99080000000000001</v>
      </c>
    </row>
    <row r="120" spans="1:2">
      <c r="A120" s="326">
        <v>413.11110000000002</v>
      </c>
      <c r="B120" s="326">
        <v>0.99080000000000001</v>
      </c>
    </row>
    <row r="121" spans="1:2">
      <c r="A121" s="326">
        <v>414.02480000000003</v>
      </c>
      <c r="B121" s="326">
        <v>0.99099999999999999</v>
      </c>
    </row>
    <row r="122" spans="1:2">
      <c r="A122" s="326">
        <v>414.93979999999999</v>
      </c>
      <c r="B122" s="326">
        <v>0.99099999999999999</v>
      </c>
    </row>
    <row r="123" spans="1:2">
      <c r="A123" s="326">
        <v>415.85480000000001</v>
      </c>
      <c r="B123" s="326">
        <v>0.99099999999999999</v>
      </c>
    </row>
    <row r="124" spans="1:2">
      <c r="A124" s="326">
        <v>416.76979999999998</v>
      </c>
      <c r="B124" s="326">
        <v>0.99099999999999999</v>
      </c>
    </row>
    <row r="125" spans="1:2">
      <c r="A125" s="326">
        <v>417.68349999999998</v>
      </c>
      <c r="B125" s="326">
        <v>0.99119999999999997</v>
      </c>
    </row>
    <row r="126" spans="1:2">
      <c r="A126" s="326">
        <v>418.5985</v>
      </c>
      <c r="B126" s="326">
        <v>0.99119999999999997</v>
      </c>
    </row>
    <row r="127" spans="1:2">
      <c r="A127" s="326">
        <v>419.51220000000001</v>
      </c>
      <c r="B127" s="326">
        <v>0.99160000000000004</v>
      </c>
    </row>
    <row r="128" spans="1:2">
      <c r="A128" s="326">
        <v>420.42720000000003</v>
      </c>
      <c r="B128" s="326">
        <v>0.99160000000000004</v>
      </c>
    </row>
    <row r="129" spans="1:2">
      <c r="A129" s="326">
        <v>421.34219999999999</v>
      </c>
      <c r="B129" s="326">
        <v>0.99160000000000004</v>
      </c>
    </row>
    <row r="130" spans="1:2">
      <c r="A130" s="326">
        <v>422.2559</v>
      </c>
      <c r="B130" s="326">
        <v>0.9919</v>
      </c>
    </row>
    <row r="131" spans="1:2">
      <c r="A131" s="326">
        <v>423.16969999999998</v>
      </c>
      <c r="B131" s="326">
        <v>0.99219999999999997</v>
      </c>
    </row>
    <row r="132" spans="1:2">
      <c r="A132" s="326">
        <v>424.08460000000002</v>
      </c>
      <c r="B132" s="326">
        <v>0.99219999999999997</v>
      </c>
    </row>
    <row r="133" spans="1:2">
      <c r="A133" s="326">
        <v>424.99959999999999</v>
      </c>
      <c r="B133" s="326">
        <v>0.99219999999999997</v>
      </c>
    </row>
    <row r="134" spans="1:2">
      <c r="A134" s="326">
        <v>425.91340000000002</v>
      </c>
      <c r="B134" s="326">
        <v>0.99239999999999995</v>
      </c>
    </row>
    <row r="135" spans="1:2">
      <c r="A135" s="326">
        <v>426.82839999999999</v>
      </c>
      <c r="B135" s="326">
        <v>0.99239999999999995</v>
      </c>
    </row>
    <row r="136" spans="1:2">
      <c r="A136" s="326">
        <v>427.74329999999998</v>
      </c>
      <c r="B136" s="326">
        <v>0.99239999999999995</v>
      </c>
    </row>
    <row r="137" spans="1:2">
      <c r="A137" s="326">
        <v>428.6583</v>
      </c>
      <c r="B137" s="326">
        <v>0.99239999999999995</v>
      </c>
    </row>
    <row r="138" spans="1:2">
      <c r="A138" s="326">
        <v>429.57209999999998</v>
      </c>
      <c r="B138" s="326">
        <v>0.99270000000000003</v>
      </c>
    </row>
    <row r="139" spans="1:2">
      <c r="A139" s="326">
        <v>430.48700000000002</v>
      </c>
      <c r="B139" s="326">
        <v>0.99270000000000003</v>
      </c>
    </row>
    <row r="140" spans="1:2">
      <c r="A140" s="326">
        <v>431.40199999999999</v>
      </c>
      <c r="B140" s="326">
        <v>0.99270000000000003</v>
      </c>
    </row>
    <row r="141" spans="1:2">
      <c r="A141" s="326">
        <v>432.31700000000001</v>
      </c>
      <c r="B141" s="326">
        <v>0.99270000000000003</v>
      </c>
    </row>
    <row r="142" spans="1:2">
      <c r="A142" s="326">
        <v>433.23200000000003</v>
      </c>
      <c r="B142" s="326">
        <v>0.99270000000000003</v>
      </c>
    </row>
    <row r="143" spans="1:2">
      <c r="A143" s="326">
        <v>434.14699999999999</v>
      </c>
      <c r="B143" s="326">
        <v>0.99270000000000003</v>
      </c>
    </row>
    <row r="144" spans="1:2">
      <c r="A144" s="326">
        <v>435.06200000000001</v>
      </c>
      <c r="B144" s="326">
        <v>0.99270000000000003</v>
      </c>
    </row>
    <row r="145" spans="1:2">
      <c r="A145" s="326">
        <v>435.9769</v>
      </c>
      <c r="B145" s="326">
        <v>0.99270000000000003</v>
      </c>
    </row>
    <row r="146" spans="1:2">
      <c r="A146" s="326">
        <v>436.89190000000002</v>
      </c>
      <c r="B146" s="326">
        <v>0.99270000000000003</v>
      </c>
    </row>
    <row r="147" spans="1:2">
      <c r="A147" s="326">
        <v>437.80689999999998</v>
      </c>
      <c r="B147" s="326">
        <v>0.99270000000000003</v>
      </c>
    </row>
    <row r="148" spans="1:2">
      <c r="A148" s="326">
        <v>438.72059999999999</v>
      </c>
      <c r="B148" s="326">
        <v>0.9929</v>
      </c>
    </row>
    <row r="149" spans="1:2">
      <c r="A149" s="326">
        <v>439.63560000000001</v>
      </c>
      <c r="B149" s="326">
        <v>0.9929</v>
      </c>
    </row>
    <row r="150" spans="1:2">
      <c r="A150" s="326">
        <v>440.55059999999997</v>
      </c>
      <c r="B150" s="326">
        <v>0.9929</v>
      </c>
    </row>
    <row r="151" spans="1:2">
      <c r="A151" s="326">
        <v>441.46559999999999</v>
      </c>
      <c r="B151" s="326">
        <v>0.9929</v>
      </c>
    </row>
    <row r="152" spans="1:2">
      <c r="A152" s="326">
        <v>442.38060000000002</v>
      </c>
      <c r="B152" s="326">
        <v>0.9929</v>
      </c>
    </row>
    <row r="153" spans="1:2">
      <c r="A153" s="326">
        <v>443.2955</v>
      </c>
      <c r="B153" s="326">
        <v>0.9929</v>
      </c>
    </row>
    <row r="154" spans="1:2">
      <c r="A154" s="326">
        <v>444.21050000000002</v>
      </c>
      <c r="B154" s="326">
        <v>0.9929</v>
      </c>
    </row>
    <row r="155" spans="1:2">
      <c r="A155" s="326">
        <v>445.1268</v>
      </c>
      <c r="B155" s="326">
        <v>0.99270000000000003</v>
      </c>
    </row>
    <row r="156" spans="1:2">
      <c r="A156" s="326">
        <v>446.04180000000002</v>
      </c>
      <c r="B156" s="326">
        <v>0.99270000000000003</v>
      </c>
    </row>
    <row r="157" spans="1:2">
      <c r="A157" s="326">
        <v>446.95670000000001</v>
      </c>
      <c r="B157" s="326">
        <v>0.99270000000000003</v>
      </c>
    </row>
    <row r="158" spans="1:2">
      <c r="A158" s="326">
        <v>447.87169999999998</v>
      </c>
      <c r="B158" s="326">
        <v>0.99270000000000003</v>
      </c>
    </row>
    <row r="159" spans="1:2">
      <c r="A159" s="326">
        <v>448.7867</v>
      </c>
      <c r="B159" s="326">
        <v>0.99270000000000003</v>
      </c>
    </row>
    <row r="160" spans="1:2">
      <c r="A160" s="326">
        <v>449.70170000000002</v>
      </c>
      <c r="B160" s="326">
        <v>0.99270000000000003</v>
      </c>
    </row>
    <row r="161" spans="1:2">
      <c r="A161" s="326">
        <v>450.61669999999998</v>
      </c>
      <c r="B161" s="326">
        <v>0.99270000000000003</v>
      </c>
    </row>
    <row r="162" spans="1:2">
      <c r="A162" s="326">
        <v>451.53160000000003</v>
      </c>
      <c r="B162" s="326">
        <v>0.99270000000000003</v>
      </c>
    </row>
    <row r="163" spans="1:2">
      <c r="A163" s="326">
        <v>452.44659999999999</v>
      </c>
      <c r="B163" s="326">
        <v>0.99270000000000003</v>
      </c>
    </row>
    <row r="164" spans="1:2">
      <c r="A164" s="326">
        <v>453.36160000000001</v>
      </c>
      <c r="B164" s="326">
        <v>0.99270000000000003</v>
      </c>
    </row>
    <row r="165" spans="1:2">
      <c r="A165" s="326">
        <v>454.27659999999997</v>
      </c>
      <c r="B165" s="326">
        <v>0.99270000000000003</v>
      </c>
    </row>
    <row r="166" spans="1:2">
      <c r="A166" s="326">
        <v>455.19159999999999</v>
      </c>
      <c r="B166" s="326">
        <v>0.99270000000000003</v>
      </c>
    </row>
    <row r="167" spans="1:2">
      <c r="A167" s="326">
        <v>456.10660000000001</v>
      </c>
      <c r="B167" s="326">
        <v>0.99270000000000003</v>
      </c>
    </row>
    <row r="168" spans="1:2">
      <c r="A168" s="326">
        <v>457.02159999999998</v>
      </c>
      <c r="B168" s="326">
        <v>0.99270000000000003</v>
      </c>
    </row>
    <row r="169" spans="1:2">
      <c r="A169" s="326">
        <v>457.93650000000002</v>
      </c>
      <c r="B169" s="326">
        <v>0.99270000000000003</v>
      </c>
    </row>
    <row r="170" spans="1:2">
      <c r="A170" s="326">
        <v>458.85149999999999</v>
      </c>
      <c r="B170" s="326">
        <v>0.99270000000000003</v>
      </c>
    </row>
    <row r="171" spans="1:2">
      <c r="A171" s="326">
        <v>459.76650000000001</v>
      </c>
      <c r="B171" s="326">
        <v>0.99270000000000003</v>
      </c>
    </row>
    <row r="172" spans="1:2">
      <c r="A172" s="326">
        <v>460.68150000000003</v>
      </c>
      <c r="B172" s="326">
        <v>0.99270000000000003</v>
      </c>
    </row>
    <row r="173" spans="1:2">
      <c r="A173" s="326">
        <v>461.59649999999999</v>
      </c>
      <c r="B173" s="326">
        <v>0.99270000000000003</v>
      </c>
    </row>
    <row r="174" spans="1:2">
      <c r="A174" s="326">
        <v>462.51139999999998</v>
      </c>
      <c r="B174" s="326">
        <v>0.99270000000000003</v>
      </c>
    </row>
    <row r="175" spans="1:2">
      <c r="A175" s="326">
        <v>463.4264</v>
      </c>
      <c r="B175" s="326">
        <v>0.99270000000000003</v>
      </c>
    </row>
    <row r="176" spans="1:2">
      <c r="A176" s="326">
        <v>464.34019999999998</v>
      </c>
      <c r="B176" s="326">
        <v>0.9929</v>
      </c>
    </row>
    <row r="177" spans="1:2">
      <c r="A177" s="326">
        <v>465.25510000000003</v>
      </c>
      <c r="B177" s="326">
        <v>0.9929</v>
      </c>
    </row>
    <row r="178" spans="1:2">
      <c r="A178" s="326">
        <v>466.17009999999999</v>
      </c>
      <c r="B178" s="326">
        <v>0.9929</v>
      </c>
    </row>
    <row r="179" spans="1:2">
      <c r="A179" s="326">
        <v>467.08510000000001</v>
      </c>
      <c r="B179" s="326">
        <v>0.9929</v>
      </c>
    </row>
    <row r="180" spans="1:2">
      <c r="A180" s="326">
        <v>468.00009999999997</v>
      </c>
      <c r="B180" s="326">
        <v>0.9929</v>
      </c>
    </row>
    <row r="181" spans="1:2">
      <c r="A181" s="326">
        <v>468.9151</v>
      </c>
      <c r="B181" s="326">
        <v>0.9929</v>
      </c>
    </row>
    <row r="182" spans="1:2">
      <c r="A182" s="326">
        <v>469.83</v>
      </c>
      <c r="B182" s="326">
        <v>0.9929</v>
      </c>
    </row>
    <row r="183" spans="1:2">
      <c r="A183" s="326">
        <v>470.74380000000002</v>
      </c>
      <c r="B183" s="326">
        <v>0.99309999999999998</v>
      </c>
    </row>
    <row r="184" spans="1:2">
      <c r="A184" s="326">
        <v>471.65879999999999</v>
      </c>
      <c r="B184" s="326">
        <v>0.99309999999999998</v>
      </c>
    </row>
    <row r="185" spans="1:2">
      <c r="A185" s="326">
        <v>472.57369999999997</v>
      </c>
      <c r="B185" s="326">
        <v>0.99309999999999998</v>
      </c>
    </row>
    <row r="186" spans="1:2">
      <c r="A186" s="326">
        <v>473.48880000000003</v>
      </c>
      <c r="B186" s="326">
        <v>0.99309999999999998</v>
      </c>
    </row>
    <row r="187" spans="1:2">
      <c r="A187" s="326">
        <v>474.40370000000001</v>
      </c>
      <c r="B187" s="326">
        <v>0.99309999999999998</v>
      </c>
    </row>
    <row r="188" spans="1:2">
      <c r="A188" s="326">
        <v>475.31869999999998</v>
      </c>
      <c r="B188" s="326">
        <v>0.99309999999999998</v>
      </c>
    </row>
    <row r="189" spans="1:2">
      <c r="A189" s="326">
        <v>476.2337</v>
      </c>
      <c r="B189" s="326">
        <v>0.99309999999999998</v>
      </c>
    </row>
    <row r="190" spans="1:2">
      <c r="A190" s="326">
        <v>477.14749999999998</v>
      </c>
      <c r="B190" s="326">
        <v>0.99350000000000005</v>
      </c>
    </row>
    <row r="191" spans="1:2">
      <c r="A191" s="326">
        <v>478.06240000000003</v>
      </c>
      <c r="B191" s="326">
        <v>0.99350000000000005</v>
      </c>
    </row>
    <row r="192" spans="1:2">
      <c r="A192" s="326">
        <v>478.97739999999999</v>
      </c>
      <c r="B192" s="326">
        <v>0.99350000000000005</v>
      </c>
    </row>
    <row r="193" spans="1:2">
      <c r="A193" s="326">
        <v>479.89229999999998</v>
      </c>
      <c r="B193" s="326">
        <v>0.99350000000000005</v>
      </c>
    </row>
    <row r="194" spans="1:2">
      <c r="A194" s="326">
        <v>480.80739999999997</v>
      </c>
      <c r="B194" s="326">
        <v>0.99350000000000005</v>
      </c>
    </row>
    <row r="195" spans="1:2">
      <c r="A195" s="326">
        <v>481.72239999999999</v>
      </c>
      <c r="B195" s="326">
        <v>0.99350000000000005</v>
      </c>
    </row>
    <row r="196" spans="1:2">
      <c r="A196" s="326">
        <v>482.63740000000001</v>
      </c>
      <c r="B196" s="326">
        <v>0.99350000000000005</v>
      </c>
    </row>
    <row r="197" spans="1:2">
      <c r="A197" s="326">
        <v>483.5523</v>
      </c>
      <c r="B197" s="326">
        <v>0.99350000000000005</v>
      </c>
    </row>
    <row r="198" spans="1:2">
      <c r="A198" s="326">
        <v>484.46730000000002</v>
      </c>
      <c r="B198" s="326">
        <v>0.99350000000000005</v>
      </c>
    </row>
    <row r="199" spans="1:2">
      <c r="A199" s="326">
        <v>485.38220000000001</v>
      </c>
      <c r="B199" s="326">
        <v>0.99350000000000005</v>
      </c>
    </row>
    <row r="200" spans="1:2">
      <c r="A200" s="326">
        <v>486.29730000000001</v>
      </c>
      <c r="B200" s="326">
        <v>0.99350000000000005</v>
      </c>
    </row>
    <row r="201" spans="1:2">
      <c r="A201" s="326">
        <v>487.21230000000003</v>
      </c>
      <c r="B201" s="326">
        <v>0.99350000000000005</v>
      </c>
    </row>
    <row r="202" spans="1:2">
      <c r="A202" s="326">
        <v>488.12729999999999</v>
      </c>
      <c r="B202" s="326">
        <v>0.99350000000000005</v>
      </c>
    </row>
    <row r="203" spans="1:2">
      <c r="A203" s="326">
        <v>489.04219999999998</v>
      </c>
      <c r="B203" s="326">
        <v>0.99350000000000005</v>
      </c>
    </row>
    <row r="204" spans="1:2">
      <c r="A204" s="326">
        <v>489.9572</v>
      </c>
      <c r="B204" s="326">
        <v>0.99350000000000005</v>
      </c>
    </row>
    <row r="205" spans="1:2">
      <c r="A205" s="326">
        <v>490.87209999999999</v>
      </c>
      <c r="B205" s="326">
        <v>0.99350000000000005</v>
      </c>
    </row>
    <row r="206" spans="1:2">
      <c r="A206" s="326">
        <v>491.78719999999998</v>
      </c>
      <c r="B206" s="326">
        <v>0.99350000000000005</v>
      </c>
    </row>
    <row r="207" spans="1:2">
      <c r="A207" s="326">
        <v>492.7022</v>
      </c>
      <c r="B207" s="326">
        <v>0.99350000000000005</v>
      </c>
    </row>
    <row r="208" spans="1:2">
      <c r="A208" s="326">
        <v>493.61720000000003</v>
      </c>
      <c r="B208" s="326">
        <v>0.99350000000000005</v>
      </c>
    </row>
    <row r="209" spans="1:2">
      <c r="A209" s="326">
        <v>494.53210000000001</v>
      </c>
      <c r="B209" s="326">
        <v>0.99350000000000005</v>
      </c>
    </row>
    <row r="210" spans="1:2">
      <c r="A210" s="326">
        <v>495.44709999999998</v>
      </c>
      <c r="B210" s="326">
        <v>0.99350000000000005</v>
      </c>
    </row>
    <row r="211" spans="1:2">
      <c r="A211" s="326">
        <v>496.36200000000002</v>
      </c>
      <c r="B211" s="326">
        <v>0.99350000000000005</v>
      </c>
    </row>
    <row r="212" spans="1:2">
      <c r="A212" s="326">
        <v>497.27710000000002</v>
      </c>
      <c r="B212" s="326">
        <v>0.99350000000000005</v>
      </c>
    </row>
    <row r="213" spans="1:2">
      <c r="A213" s="326">
        <v>498.19209999999998</v>
      </c>
      <c r="B213" s="326">
        <v>0.99350000000000005</v>
      </c>
    </row>
    <row r="214" spans="1:2">
      <c r="A214" s="326">
        <v>499.1071</v>
      </c>
      <c r="B214" s="326">
        <v>0.99350000000000005</v>
      </c>
    </row>
    <row r="215" spans="1:2">
      <c r="A215" s="326">
        <v>500.02199999999999</v>
      </c>
      <c r="B215" s="326">
        <v>0.99350000000000005</v>
      </c>
    </row>
    <row r="216" spans="1:2">
      <c r="A216" s="326">
        <v>500.93700000000001</v>
      </c>
      <c r="B216" s="326">
        <v>0.99350000000000005</v>
      </c>
    </row>
    <row r="217" spans="1:2">
      <c r="A217" s="326">
        <v>501.8519</v>
      </c>
      <c r="B217" s="326">
        <v>0.99350000000000005</v>
      </c>
    </row>
    <row r="218" spans="1:2">
      <c r="A218" s="326">
        <v>502.767</v>
      </c>
      <c r="B218" s="326">
        <v>0.99350000000000005</v>
      </c>
    </row>
    <row r="219" spans="1:2">
      <c r="A219" s="326">
        <v>503.6832</v>
      </c>
      <c r="B219" s="326">
        <v>0.99309999999999998</v>
      </c>
    </row>
    <row r="220" spans="1:2">
      <c r="A220" s="326">
        <v>504.59809999999999</v>
      </c>
      <c r="B220" s="326">
        <v>0.99309999999999998</v>
      </c>
    </row>
    <row r="221" spans="1:2">
      <c r="A221" s="326">
        <v>505.51310000000001</v>
      </c>
      <c r="B221" s="326">
        <v>0.99309999999999998</v>
      </c>
    </row>
    <row r="222" spans="1:2">
      <c r="A222" s="326">
        <v>506.4282</v>
      </c>
      <c r="B222" s="326">
        <v>0.99309999999999998</v>
      </c>
    </row>
    <row r="223" spans="1:2">
      <c r="A223" s="326">
        <v>507.34309999999999</v>
      </c>
      <c r="B223" s="326">
        <v>0.99309999999999998</v>
      </c>
    </row>
    <row r="224" spans="1:2">
      <c r="A224" s="326">
        <v>508.25810000000001</v>
      </c>
      <c r="B224" s="326">
        <v>0.99309999999999998</v>
      </c>
    </row>
    <row r="225" spans="1:2">
      <c r="A225" s="326">
        <v>509.17309999999998</v>
      </c>
      <c r="B225" s="326">
        <v>0.99309999999999998</v>
      </c>
    </row>
    <row r="226" spans="1:2">
      <c r="A226" s="326">
        <v>510.08929999999998</v>
      </c>
      <c r="B226" s="326">
        <v>0.9929</v>
      </c>
    </row>
    <row r="227" spans="1:2">
      <c r="A227" s="326">
        <v>511.0043</v>
      </c>
      <c r="B227" s="326">
        <v>0.9929</v>
      </c>
    </row>
    <row r="228" spans="1:2">
      <c r="A228" s="326">
        <v>511.91930000000002</v>
      </c>
      <c r="B228" s="326">
        <v>0.9929</v>
      </c>
    </row>
    <row r="229" spans="1:2">
      <c r="A229" s="326">
        <v>512.83429999999998</v>
      </c>
      <c r="B229" s="326">
        <v>0.9929</v>
      </c>
    </row>
    <row r="230" spans="1:2">
      <c r="A230" s="326">
        <v>513.74919999999997</v>
      </c>
      <c r="B230" s="326">
        <v>0.9929</v>
      </c>
    </row>
    <row r="231" spans="1:2">
      <c r="A231" s="326">
        <v>514.66430000000003</v>
      </c>
      <c r="B231" s="326">
        <v>0.9929</v>
      </c>
    </row>
    <row r="232" spans="1:2">
      <c r="A232" s="326">
        <v>515.57920000000001</v>
      </c>
      <c r="B232" s="326">
        <v>0.9929</v>
      </c>
    </row>
    <row r="233" spans="1:2">
      <c r="A233" s="326">
        <v>516.49419999999998</v>
      </c>
      <c r="B233" s="326">
        <v>0.9929</v>
      </c>
    </row>
    <row r="234" spans="1:2">
      <c r="A234" s="326">
        <v>517.40920000000006</v>
      </c>
      <c r="B234" s="326">
        <v>0.9929</v>
      </c>
    </row>
    <row r="235" spans="1:2">
      <c r="A235" s="326">
        <v>518.32420000000002</v>
      </c>
      <c r="B235" s="326">
        <v>0.9929</v>
      </c>
    </row>
    <row r="236" spans="1:2">
      <c r="A236" s="326">
        <v>519.23919999999998</v>
      </c>
      <c r="B236" s="326">
        <v>0.9929</v>
      </c>
    </row>
    <row r="237" spans="1:2">
      <c r="A237" s="326">
        <v>520.15539999999999</v>
      </c>
      <c r="B237" s="326">
        <v>0.99270000000000003</v>
      </c>
    </row>
    <row r="238" spans="1:2">
      <c r="A238" s="326">
        <v>521.07039999999995</v>
      </c>
      <c r="B238" s="326">
        <v>0.99270000000000003</v>
      </c>
    </row>
    <row r="239" spans="1:2">
      <c r="A239" s="326">
        <v>521.98540000000003</v>
      </c>
      <c r="B239" s="326">
        <v>0.99270000000000003</v>
      </c>
    </row>
    <row r="240" spans="1:2">
      <c r="A240" s="326">
        <v>522.90030000000002</v>
      </c>
      <c r="B240" s="326">
        <v>0.99270000000000003</v>
      </c>
    </row>
    <row r="241" spans="1:2">
      <c r="A241" s="326">
        <v>523.81529999999998</v>
      </c>
      <c r="B241" s="326">
        <v>0.99270000000000003</v>
      </c>
    </row>
    <row r="242" spans="1:2">
      <c r="A242" s="326">
        <v>524.73030000000006</v>
      </c>
      <c r="B242" s="326">
        <v>0.99270000000000003</v>
      </c>
    </row>
    <row r="243" spans="1:2">
      <c r="A243" s="326">
        <v>525.64530000000002</v>
      </c>
      <c r="B243" s="326">
        <v>0.99270000000000003</v>
      </c>
    </row>
    <row r="244" spans="1:2">
      <c r="A244" s="326">
        <v>526.56029999999998</v>
      </c>
      <c r="B244" s="326">
        <v>0.99270000000000003</v>
      </c>
    </row>
    <row r="245" spans="1:2">
      <c r="A245" s="326">
        <v>527.47529999999995</v>
      </c>
      <c r="B245" s="326">
        <v>0.99270000000000003</v>
      </c>
    </row>
    <row r="246" spans="1:2">
      <c r="A246" s="326">
        <v>528.39020000000005</v>
      </c>
      <c r="B246" s="326">
        <v>0.99270000000000003</v>
      </c>
    </row>
    <row r="247" spans="1:2">
      <c r="A247" s="326">
        <v>529.30520000000001</v>
      </c>
      <c r="B247" s="326">
        <v>0.99270000000000003</v>
      </c>
    </row>
    <row r="248" spans="1:2">
      <c r="A248" s="326">
        <v>530.22019999999998</v>
      </c>
      <c r="B248" s="326">
        <v>0.99270000000000003</v>
      </c>
    </row>
    <row r="249" spans="1:2">
      <c r="A249" s="326">
        <v>531.13400000000001</v>
      </c>
      <c r="B249" s="326">
        <v>0.9929</v>
      </c>
    </row>
    <row r="250" spans="1:2">
      <c r="A250" s="326">
        <v>532.0489</v>
      </c>
      <c r="B250" s="326">
        <v>0.9929</v>
      </c>
    </row>
    <row r="251" spans="1:2">
      <c r="A251" s="326">
        <v>532.96389999999997</v>
      </c>
      <c r="B251" s="326">
        <v>0.9929</v>
      </c>
    </row>
    <row r="252" spans="1:2">
      <c r="A252" s="326">
        <v>533.87890000000004</v>
      </c>
      <c r="B252" s="326">
        <v>0.9929</v>
      </c>
    </row>
    <row r="253" spans="1:2">
      <c r="A253" s="326">
        <v>534.79390000000001</v>
      </c>
      <c r="B253" s="326">
        <v>0.9929</v>
      </c>
    </row>
    <row r="254" spans="1:2">
      <c r="A254" s="326">
        <v>535.7088</v>
      </c>
      <c r="B254" s="326">
        <v>0.9929</v>
      </c>
    </row>
    <row r="255" spans="1:2">
      <c r="A255" s="326">
        <v>536.62390000000005</v>
      </c>
      <c r="B255" s="326">
        <v>0.9929</v>
      </c>
    </row>
    <row r="256" spans="1:2">
      <c r="A256" s="326">
        <v>537.53880000000004</v>
      </c>
      <c r="B256" s="326">
        <v>0.9929</v>
      </c>
    </row>
    <row r="257" spans="1:2">
      <c r="A257" s="326">
        <v>538.4538</v>
      </c>
      <c r="B257" s="326">
        <v>0.9929</v>
      </c>
    </row>
    <row r="258" spans="1:2">
      <c r="A258" s="326">
        <v>539.36760000000004</v>
      </c>
      <c r="B258" s="326">
        <v>0.99309999999999998</v>
      </c>
    </row>
    <row r="259" spans="1:2">
      <c r="A259" s="326">
        <v>540.28250000000003</v>
      </c>
      <c r="B259" s="326">
        <v>0.99309999999999998</v>
      </c>
    </row>
    <row r="260" spans="1:2">
      <c r="A260" s="326">
        <v>541.19749999999999</v>
      </c>
      <c r="B260" s="326">
        <v>0.99309999999999998</v>
      </c>
    </row>
    <row r="261" spans="1:2">
      <c r="A261" s="326">
        <v>542.11249999999995</v>
      </c>
      <c r="B261" s="326">
        <v>0.99309999999999998</v>
      </c>
    </row>
    <row r="262" spans="1:2">
      <c r="A262" s="326">
        <v>543.02750000000003</v>
      </c>
      <c r="B262" s="326">
        <v>0.99309999999999998</v>
      </c>
    </row>
    <row r="263" spans="1:2">
      <c r="A263" s="326">
        <v>543.9425</v>
      </c>
      <c r="B263" s="326">
        <v>0.99309999999999998</v>
      </c>
    </row>
    <row r="264" spans="1:2">
      <c r="A264" s="326">
        <v>544.85609999999997</v>
      </c>
      <c r="B264" s="326">
        <v>0.99350000000000005</v>
      </c>
    </row>
    <row r="265" spans="1:2">
      <c r="A265" s="326">
        <v>545.77110000000005</v>
      </c>
      <c r="B265" s="326">
        <v>0.99350000000000005</v>
      </c>
    </row>
    <row r="266" spans="1:2">
      <c r="A266" s="326">
        <v>546.68619999999999</v>
      </c>
      <c r="B266" s="326">
        <v>0.99350000000000005</v>
      </c>
    </row>
    <row r="267" spans="1:2">
      <c r="A267" s="326">
        <v>547.60119999999995</v>
      </c>
      <c r="B267" s="326">
        <v>0.99350000000000005</v>
      </c>
    </row>
    <row r="268" spans="1:2">
      <c r="A268" s="326">
        <v>548.51610000000005</v>
      </c>
      <c r="B268" s="326">
        <v>0.99350000000000005</v>
      </c>
    </row>
    <row r="269" spans="1:2">
      <c r="A269" s="326">
        <v>549.43110000000001</v>
      </c>
      <c r="B269" s="326">
        <v>0.99350000000000005</v>
      </c>
    </row>
    <row r="270" spans="1:2">
      <c r="A270" s="326">
        <v>550.34490000000005</v>
      </c>
      <c r="B270" s="326">
        <v>0.99380000000000002</v>
      </c>
    </row>
    <row r="271" spans="1:2">
      <c r="A271" s="326">
        <v>551.25990000000002</v>
      </c>
      <c r="B271" s="326">
        <v>0.99380000000000002</v>
      </c>
    </row>
    <row r="272" spans="1:2">
      <c r="A272" s="326">
        <v>552.1748</v>
      </c>
      <c r="B272" s="326">
        <v>0.99380000000000002</v>
      </c>
    </row>
    <row r="273" spans="1:2">
      <c r="A273" s="326">
        <v>553.08979999999997</v>
      </c>
      <c r="B273" s="326">
        <v>0.99380000000000002</v>
      </c>
    </row>
    <row r="274" spans="1:2">
      <c r="A274" s="326">
        <v>554.00480000000005</v>
      </c>
      <c r="B274" s="326">
        <v>0.99380000000000002</v>
      </c>
    </row>
    <row r="275" spans="1:2">
      <c r="A275" s="326">
        <v>554.91980000000001</v>
      </c>
      <c r="B275" s="326">
        <v>0.99380000000000002</v>
      </c>
    </row>
    <row r="276" spans="1:2">
      <c r="A276" s="326">
        <v>555.83479999999997</v>
      </c>
      <c r="B276" s="326">
        <v>0.99380000000000002</v>
      </c>
    </row>
    <row r="277" spans="1:2">
      <c r="A277" s="326">
        <v>556.74850000000004</v>
      </c>
      <c r="B277" s="326">
        <v>0.99409999999999998</v>
      </c>
    </row>
    <row r="278" spans="1:2">
      <c r="A278" s="326">
        <v>557.6635</v>
      </c>
      <c r="B278" s="326">
        <v>0.99409999999999998</v>
      </c>
    </row>
    <row r="279" spans="1:2">
      <c r="A279" s="326">
        <v>558.57849999999996</v>
      </c>
      <c r="B279" s="326">
        <v>0.99409999999999998</v>
      </c>
    </row>
    <row r="280" spans="1:2">
      <c r="A280" s="326">
        <v>559.49350000000004</v>
      </c>
      <c r="B280" s="326">
        <v>0.99409999999999998</v>
      </c>
    </row>
    <row r="281" spans="1:2">
      <c r="A281" s="326">
        <v>560.40830000000005</v>
      </c>
      <c r="B281" s="326">
        <v>0.99409999999999998</v>
      </c>
    </row>
    <row r="282" spans="1:2">
      <c r="A282" s="326">
        <v>561.32339999999999</v>
      </c>
      <c r="B282" s="326">
        <v>0.99409999999999998</v>
      </c>
    </row>
    <row r="283" spans="1:2">
      <c r="A283" s="326">
        <v>562.23839999999996</v>
      </c>
      <c r="B283" s="326">
        <v>0.99409999999999998</v>
      </c>
    </row>
    <row r="284" spans="1:2">
      <c r="A284" s="326">
        <v>563.15340000000003</v>
      </c>
      <c r="B284" s="326">
        <v>0.99409999999999998</v>
      </c>
    </row>
    <row r="285" spans="1:2">
      <c r="A285" s="326">
        <v>564.0684</v>
      </c>
      <c r="B285" s="326">
        <v>0.99409999999999998</v>
      </c>
    </row>
    <row r="286" spans="1:2">
      <c r="A286" s="326">
        <v>564.98339999999996</v>
      </c>
      <c r="B286" s="326">
        <v>0.99409999999999998</v>
      </c>
    </row>
    <row r="287" spans="1:2">
      <c r="A287" s="326">
        <v>565.89819999999997</v>
      </c>
      <c r="B287" s="326">
        <v>0.99409999999999998</v>
      </c>
    </row>
    <row r="288" spans="1:2">
      <c r="A288" s="326">
        <v>566.81330000000003</v>
      </c>
      <c r="B288" s="326">
        <v>0.99409999999999998</v>
      </c>
    </row>
    <row r="289" spans="1:2">
      <c r="A289" s="326">
        <v>567.72829999999999</v>
      </c>
      <c r="B289" s="326">
        <v>0.99409999999999998</v>
      </c>
    </row>
    <row r="290" spans="1:2">
      <c r="A290" s="326">
        <v>568.64329999999995</v>
      </c>
      <c r="B290" s="326">
        <v>0.99409999999999998</v>
      </c>
    </row>
    <row r="291" spans="1:2">
      <c r="A291" s="326">
        <v>569.55830000000003</v>
      </c>
      <c r="B291" s="326">
        <v>0.99409999999999998</v>
      </c>
    </row>
    <row r="292" spans="1:2">
      <c r="A292" s="326">
        <v>570.47329999999999</v>
      </c>
      <c r="B292" s="326">
        <v>0.99409999999999998</v>
      </c>
    </row>
    <row r="293" spans="1:2">
      <c r="A293" s="326">
        <v>571.38810000000001</v>
      </c>
      <c r="B293" s="326">
        <v>0.99409999999999998</v>
      </c>
    </row>
    <row r="294" spans="1:2">
      <c r="A294" s="326">
        <v>572.30319999999995</v>
      </c>
      <c r="B294" s="326">
        <v>0.99409999999999998</v>
      </c>
    </row>
    <row r="295" spans="1:2">
      <c r="A295" s="326">
        <v>573.21820000000002</v>
      </c>
      <c r="B295" s="326">
        <v>0.99409999999999998</v>
      </c>
    </row>
    <row r="296" spans="1:2">
      <c r="A296" s="326">
        <v>574.13319999999999</v>
      </c>
      <c r="B296" s="326">
        <v>0.99409999999999998</v>
      </c>
    </row>
    <row r="297" spans="1:2">
      <c r="A297" s="326">
        <v>575.04819999999995</v>
      </c>
      <c r="B297" s="326">
        <v>0.99409999999999998</v>
      </c>
    </row>
    <row r="298" spans="1:2">
      <c r="A298" s="326">
        <v>575.96320000000003</v>
      </c>
      <c r="B298" s="326">
        <v>0.99409999999999998</v>
      </c>
    </row>
    <row r="299" spans="1:2">
      <c r="A299" s="326">
        <v>576.87800000000004</v>
      </c>
      <c r="B299" s="326">
        <v>0.99409999999999998</v>
      </c>
    </row>
    <row r="300" spans="1:2">
      <c r="A300" s="326">
        <v>577.79309999999998</v>
      </c>
      <c r="B300" s="326">
        <v>0.99409999999999998</v>
      </c>
    </row>
    <row r="301" spans="1:2">
      <c r="A301" s="326">
        <v>578.70939999999996</v>
      </c>
      <c r="B301" s="326">
        <v>0.99380000000000002</v>
      </c>
    </row>
    <row r="302" spans="1:2">
      <c r="A302" s="326">
        <v>579.62419999999997</v>
      </c>
      <c r="B302" s="326">
        <v>0.99380000000000002</v>
      </c>
    </row>
    <row r="303" spans="1:2">
      <c r="A303" s="326">
        <v>580.53930000000003</v>
      </c>
      <c r="B303" s="326">
        <v>0.99380000000000002</v>
      </c>
    </row>
    <row r="304" spans="1:2">
      <c r="A304" s="326">
        <v>581.45429999999999</v>
      </c>
      <c r="B304" s="326">
        <v>0.99380000000000002</v>
      </c>
    </row>
    <row r="305" spans="1:2">
      <c r="A305" s="326">
        <v>582.36929999999995</v>
      </c>
      <c r="B305" s="326">
        <v>0.99380000000000002</v>
      </c>
    </row>
    <row r="306" spans="1:2">
      <c r="A306" s="326">
        <v>583.28430000000003</v>
      </c>
      <c r="B306" s="326">
        <v>0.99380000000000002</v>
      </c>
    </row>
    <row r="307" spans="1:2">
      <c r="A307" s="326">
        <v>584.20050000000003</v>
      </c>
      <c r="B307" s="326">
        <v>0.99350000000000005</v>
      </c>
    </row>
    <row r="308" spans="1:2">
      <c r="A308" s="326">
        <v>585.1155</v>
      </c>
      <c r="B308" s="326">
        <v>0.99350000000000005</v>
      </c>
    </row>
    <row r="309" spans="1:2">
      <c r="A309" s="326">
        <v>586.03049999999996</v>
      </c>
      <c r="B309" s="326">
        <v>0.99350000000000005</v>
      </c>
    </row>
    <row r="310" spans="1:2">
      <c r="A310" s="326">
        <v>586.94539999999995</v>
      </c>
      <c r="B310" s="326">
        <v>0.99350000000000005</v>
      </c>
    </row>
    <row r="311" spans="1:2">
      <c r="A311" s="326">
        <v>587.86040000000003</v>
      </c>
      <c r="B311" s="326">
        <v>0.99350000000000005</v>
      </c>
    </row>
    <row r="312" spans="1:2">
      <c r="A312" s="326">
        <v>588.77670000000001</v>
      </c>
      <c r="B312" s="326">
        <v>0.99309999999999998</v>
      </c>
    </row>
    <row r="313" spans="1:2">
      <c r="A313" s="326">
        <v>589.69159999999999</v>
      </c>
      <c r="B313" s="326">
        <v>0.99309999999999998</v>
      </c>
    </row>
    <row r="314" spans="1:2">
      <c r="A314" s="326">
        <v>590.60659999999996</v>
      </c>
      <c r="B314" s="326">
        <v>0.99309999999999998</v>
      </c>
    </row>
    <row r="315" spans="1:2">
      <c r="A315" s="326">
        <v>591.52290000000005</v>
      </c>
      <c r="B315" s="326">
        <v>0.9929</v>
      </c>
    </row>
    <row r="316" spans="1:2">
      <c r="A316" s="326">
        <v>592.43780000000004</v>
      </c>
      <c r="B316" s="326">
        <v>0.9929</v>
      </c>
    </row>
    <row r="317" spans="1:2">
      <c r="A317" s="326">
        <v>593.3528</v>
      </c>
      <c r="B317" s="326">
        <v>0.9929</v>
      </c>
    </row>
    <row r="318" spans="1:2">
      <c r="A318" s="326">
        <v>594.26779999999997</v>
      </c>
      <c r="B318" s="326">
        <v>0.9929</v>
      </c>
    </row>
    <row r="319" spans="1:2">
      <c r="A319" s="326">
        <v>595.18399999999997</v>
      </c>
      <c r="B319" s="326">
        <v>0.99270000000000003</v>
      </c>
    </row>
    <row r="320" spans="1:2">
      <c r="A320" s="326">
        <v>596.09900000000005</v>
      </c>
      <c r="B320" s="326">
        <v>0.99270000000000003</v>
      </c>
    </row>
    <row r="321" spans="1:2">
      <c r="A321" s="326">
        <v>597.01400000000001</v>
      </c>
      <c r="B321" s="326">
        <v>0.99270000000000003</v>
      </c>
    </row>
    <row r="322" spans="1:2">
      <c r="A322" s="326">
        <v>597.92899999999997</v>
      </c>
      <c r="B322" s="326">
        <v>0.99270000000000003</v>
      </c>
    </row>
    <row r="323" spans="1:2">
      <c r="A323" s="326">
        <v>598.84519999999998</v>
      </c>
      <c r="B323" s="326">
        <v>0.99239999999999995</v>
      </c>
    </row>
    <row r="324" spans="1:2">
      <c r="A324" s="326">
        <v>599.76020000000005</v>
      </c>
      <c r="B324" s="326">
        <v>0.99239999999999995</v>
      </c>
    </row>
    <row r="325" spans="1:2">
      <c r="A325" s="326">
        <v>600.67520000000002</v>
      </c>
      <c r="B325" s="326">
        <v>0.99239999999999995</v>
      </c>
    </row>
    <row r="326" spans="1:2">
      <c r="A326" s="326">
        <v>601.59140000000002</v>
      </c>
      <c r="B326" s="326">
        <v>0.99209999999999998</v>
      </c>
    </row>
    <row r="327" spans="1:2">
      <c r="A327" s="326">
        <v>602.50639999999999</v>
      </c>
      <c r="B327" s="326">
        <v>0.99209999999999998</v>
      </c>
    </row>
    <row r="328" spans="1:2">
      <c r="A328" s="326">
        <v>603.42139999999995</v>
      </c>
      <c r="B328" s="326">
        <v>0.99209999999999998</v>
      </c>
    </row>
    <row r="329" spans="1:2">
      <c r="A329" s="326">
        <v>604.33759999999995</v>
      </c>
      <c r="B329" s="326">
        <v>0.9919</v>
      </c>
    </row>
    <row r="330" spans="1:2">
      <c r="A330" s="326">
        <v>605.25260000000003</v>
      </c>
      <c r="B330" s="326">
        <v>0.9919</v>
      </c>
    </row>
    <row r="331" spans="1:2">
      <c r="A331" s="326">
        <v>606.16759999999999</v>
      </c>
      <c r="B331" s="326">
        <v>0.9919</v>
      </c>
    </row>
    <row r="332" spans="1:2">
      <c r="A332" s="326">
        <v>607.0838</v>
      </c>
      <c r="B332" s="326">
        <v>0.99160000000000004</v>
      </c>
    </row>
    <row r="333" spans="1:2">
      <c r="A333" s="326">
        <v>607.99879999999996</v>
      </c>
      <c r="B333" s="326">
        <v>0.99160000000000004</v>
      </c>
    </row>
    <row r="334" spans="1:2">
      <c r="A334" s="326">
        <v>608.91380000000004</v>
      </c>
      <c r="B334" s="326">
        <v>0.99160000000000004</v>
      </c>
    </row>
    <row r="335" spans="1:2">
      <c r="A335" s="326">
        <v>609.8288</v>
      </c>
      <c r="B335" s="326">
        <v>0.99160000000000004</v>
      </c>
    </row>
    <row r="336" spans="1:2">
      <c r="A336" s="326">
        <v>610.745</v>
      </c>
      <c r="B336" s="326">
        <v>0.99119999999999997</v>
      </c>
    </row>
    <row r="337" spans="1:2">
      <c r="A337" s="326">
        <v>611.66</v>
      </c>
      <c r="B337" s="326">
        <v>0.99119999999999997</v>
      </c>
    </row>
    <row r="338" spans="1:2">
      <c r="A338" s="326">
        <v>612.57489999999996</v>
      </c>
      <c r="B338" s="326">
        <v>0.99119999999999997</v>
      </c>
    </row>
    <row r="339" spans="1:2">
      <c r="A339" s="326">
        <v>613.49120000000005</v>
      </c>
      <c r="B339" s="326">
        <v>0.99099999999999999</v>
      </c>
    </row>
    <row r="340" spans="1:2">
      <c r="A340" s="326">
        <v>614.40620000000001</v>
      </c>
      <c r="B340" s="326">
        <v>0.99099999999999999</v>
      </c>
    </row>
    <row r="341" spans="1:2">
      <c r="A341" s="326">
        <v>615.3211</v>
      </c>
      <c r="B341" s="326">
        <v>0.99099999999999999</v>
      </c>
    </row>
    <row r="342" spans="1:2">
      <c r="A342" s="326">
        <v>616.23609999999996</v>
      </c>
      <c r="B342" s="326">
        <v>0.99099999999999999</v>
      </c>
    </row>
    <row r="343" spans="1:2">
      <c r="A343" s="326">
        <v>617.15239999999994</v>
      </c>
      <c r="B343" s="326">
        <v>0.99080000000000001</v>
      </c>
    </row>
    <row r="344" spans="1:2">
      <c r="A344" s="326">
        <v>618.06730000000005</v>
      </c>
      <c r="B344" s="326">
        <v>0.99080000000000001</v>
      </c>
    </row>
    <row r="345" spans="1:2">
      <c r="A345" s="326">
        <v>618.98230000000001</v>
      </c>
      <c r="B345" s="326">
        <v>0.99080000000000001</v>
      </c>
    </row>
    <row r="346" spans="1:2">
      <c r="A346" s="326">
        <v>619.89859999999999</v>
      </c>
      <c r="B346" s="326">
        <v>0.99050000000000005</v>
      </c>
    </row>
    <row r="347" spans="1:2">
      <c r="A347" s="326">
        <v>620.81349999999998</v>
      </c>
      <c r="B347" s="326">
        <v>0.99050000000000005</v>
      </c>
    </row>
    <row r="348" spans="1:2">
      <c r="A348" s="326">
        <v>621.72850000000005</v>
      </c>
      <c r="B348" s="326">
        <v>0.99050000000000005</v>
      </c>
    </row>
    <row r="349" spans="1:2">
      <c r="A349" s="326">
        <v>622.64350000000002</v>
      </c>
      <c r="B349" s="326">
        <v>0.99050000000000005</v>
      </c>
    </row>
    <row r="350" spans="1:2">
      <c r="A350" s="326">
        <v>623.55849999999998</v>
      </c>
      <c r="B350" s="326">
        <v>0.99050000000000005</v>
      </c>
    </row>
    <row r="351" spans="1:2">
      <c r="A351" s="326">
        <v>624.47469999999998</v>
      </c>
      <c r="B351" s="326">
        <v>0.99019999999999997</v>
      </c>
    </row>
    <row r="352" spans="1:2">
      <c r="A352" s="326">
        <v>625.38969999999995</v>
      </c>
      <c r="B352" s="326">
        <v>0.99019999999999997</v>
      </c>
    </row>
    <row r="353" spans="1:2">
      <c r="A353" s="326">
        <v>626.30470000000003</v>
      </c>
      <c r="B353" s="326">
        <v>0.99019999999999997</v>
      </c>
    </row>
    <row r="354" spans="1:2">
      <c r="A354" s="326">
        <v>627.21969999999999</v>
      </c>
      <c r="B354" s="326">
        <v>0.99019999999999997</v>
      </c>
    </row>
    <row r="355" spans="1:2">
      <c r="A355" s="326">
        <v>628.13459999999998</v>
      </c>
      <c r="B355" s="326">
        <v>0.99019999999999997</v>
      </c>
    </row>
    <row r="356" spans="1:2">
      <c r="A356" s="326">
        <v>629.05089999999996</v>
      </c>
      <c r="B356" s="326">
        <v>0.99</v>
      </c>
    </row>
    <row r="357" spans="1:2">
      <c r="A357" s="326">
        <v>629.96590000000003</v>
      </c>
      <c r="B357" s="326">
        <v>0.99</v>
      </c>
    </row>
    <row r="358" spans="1:2">
      <c r="A358" s="326">
        <v>630.88080000000002</v>
      </c>
      <c r="B358" s="326">
        <v>0.99</v>
      </c>
    </row>
    <row r="359" spans="1:2">
      <c r="A359" s="326">
        <v>631.79570000000001</v>
      </c>
      <c r="B359" s="326">
        <v>0.99</v>
      </c>
    </row>
    <row r="360" spans="1:2">
      <c r="A360" s="326">
        <v>632.71069999999997</v>
      </c>
      <c r="B360" s="326">
        <v>0.99</v>
      </c>
    </row>
    <row r="361" spans="1:2">
      <c r="A361" s="326">
        <v>633.62580000000003</v>
      </c>
      <c r="B361" s="326">
        <v>0.99</v>
      </c>
    </row>
    <row r="362" spans="1:2">
      <c r="A362" s="326">
        <v>634.54079999999999</v>
      </c>
      <c r="B362" s="326">
        <v>0.99</v>
      </c>
    </row>
    <row r="363" spans="1:2">
      <c r="A363" s="326">
        <v>635.45579999999995</v>
      </c>
      <c r="B363" s="326">
        <v>0.99</v>
      </c>
    </row>
    <row r="364" spans="1:2">
      <c r="A364" s="326">
        <v>636.37189999999998</v>
      </c>
      <c r="B364" s="326">
        <v>0.98970000000000002</v>
      </c>
    </row>
    <row r="365" spans="1:2">
      <c r="A365" s="326">
        <v>637.28700000000003</v>
      </c>
      <c r="B365" s="326">
        <v>0.98970000000000002</v>
      </c>
    </row>
    <row r="366" spans="1:2">
      <c r="A366" s="326">
        <v>638.202</v>
      </c>
      <c r="B366" s="326">
        <v>0.98970000000000002</v>
      </c>
    </row>
    <row r="367" spans="1:2">
      <c r="A367" s="326">
        <v>639.11689999999999</v>
      </c>
      <c r="B367" s="326">
        <v>0.98970000000000002</v>
      </c>
    </row>
    <row r="368" spans="1:2">
      <c r="A368" s="326">
        <v>640.03189999999995</v>
      </c>
      <c r="B368" s="326">
        <v>0.98970000000000002</v>
      </c>
    </row>
    <row r="369" spans="1:2">
      <c r="A369" s="326">
        <v>640.94680000000005</v>
      </c>
      <c r="B369" s="326">
        <v>0.98970000000000002</v>
      </c>
    </row>
    <row r="370" spans="1:2">
      <c r="A370" s="326">
        <v>641.86180000000002</v>
      </c>
      <c r="B370" s="326">
        <v>0.98970000000000002</v>
      </c>
    </row>
    <row r="371" spans="1:2">
      <c r="A371" s="326">
        <v>642.77689999999996</v>
      </c>
      <c r="B371" s="326">
        <v>0.98970000000000002</v>
      </c>
    </row>
    <row r="372" spans="1:2">
      <c r="A372" s="326">
        <v>643.69190000000003</v>
      </c>
      <c r="B372" s="326">
        <v>0.98970000000000002</v>
      </c>
    </row>
    <row r="373" spans="1:2">
      <c r="A373" s="326">
        <v>644.60680000000002</v>
      </c>
      <c r="B373" s="326">
        <v>0.98970000000000002</v>
      </c>
    </row>
    <row r="374" spans="1:2">
      <c r="A374" s="326">
        <v>645.52179999999998</v>
      </c>
      <c r="B374" s="326">
        <v>0.98970000000000002</v>
      </c>
    </row>
    <row r="375" spans="1:2">
      <c r="A375" s="326">
        <v>646.43679999999995</v>
      </c>
      <c r="B375" s="326">
        <v>0.98970000000000002</v>
      </c>
    </row>
    <row r="376" spans="1:2">
      <c r="A376" s="326">
        <v>647.35180000000003</v>
      </c>
      <c r="B376" s="326">
        <v>0.98970000000000002</v>
      </c>
    </row>
    <row r="377" spans="1:2">
      <c r="A377" s="326">
        <v>648.26679999999999</v>
      </c>
      <c r="B377" s="326">
        <v>0.98970000000000002</v>
      </c>
    </row>
    <row r="378" spans="1:2">
      <c r="A378" s="326">
        <v>649.18179999999995</v>
      </c>
      <c r="B378" s="326">
        <v>0.98970000000000002</v>
      </c>
    </row>
    <row r="379" spans="1:2">
      <c r="A379" s="326">
        <v>650.09670000000006</v>
      </c>
      <c r="B379" s="326">
        <v>0.98970000000000002</v>
      </c>
    </row>
    <row r="380" spans="1:2">
      <c r="A380" s="326">
        <v>651.01170000000002</v>
      </c>
      <c r="B380" s="326">
        <v>0.98970000000000002</v>
      </c>
    </row>
    <row r="381" spans="1:2">
      <c r="A381" s="326">
        <v>651.92660000000001</v>
      </c>
      <c r="B381" s="326">
        <v>0.98970000000000002</v>
      </c>
    </row>
    <row r="382" spans="1:2">
      <c r="A382" s="326">
        <v>652.84169999999995</v>
      </c>
      <c r="B382" s="326">
        <v>0.98970000000000002</v>
      </c>
    </row>
    <row r="383" spans="1:2">
      <c r="A383" s="326">
        <v>653.75670000000002</v>
      </c>
      <c r="B383" s="326">
        <v>0.98970000000000002</v>
      </c>
    </row>
    <row r="384" spans="1:2">
      <c r="A384" s="326">
        <v>654.67169999999999</v>
      </c>
      <c r="B384" s="326">
        <v>0.98970000000000002</v>
      </c>
    </row>
    <row r="385" spans="1:2">
      <c r="A385" s="326">
        <v>655.58659999999998</v>
      </c>
      <c r="B385" s="326">
        <v>0.98970000000000002</v>
      </c>
    </row>
    <row r="386" spans="1:2">
      <c r="A386" s="326">
        <v>656.50160000000005</v>
      </c>
      <c r="B386" s="326">
        <v>0.98970000000000002</v>
      </c>
    </row>
    <row r="387" spans="1:2">
      <c r="A387" s="326">
        <v>657.41660000000002</v>
      </c>
      <c r="B387" s="326">
        <v>0.98970000000000002</v>
      </c>
    </row>
    <row r="388" spans="1:2">
      <c r="A388" s="326">
        <v>658.33159999999998</v>
      </c>
      <c r="B388" s="326">
        <v>0.98970000000000002</v>
      </c>
    </row>
    <row r="389" spans="1:2">
      <c r="A389" s="326">
        <v>659.24530000000004</v>
      </c>
      <c r="B389" s="326">
        <v>0.99</v>
      </c>
    </row>
    <row r="390" spans="1:2">
      <c r="A390" s="326">
        <v>660.16020000000003</v>
      </c>
      <c r="B390" s="326">
        <v>0.99</v>
      </c>
    </row>
    <row r="391" spans="1:2">
      <c r="A391" s="326">
        <v>661.07529999999997</v>
      </c>
      <c r="B391" s="326">
        <v>0.99</v>
      </c>
    </row>
    <row r="392" spans="1:2">
      <c r="A392" s="326">
        <v>661.99030000000005</v>
      </c>
      <c r="B392" s="326">
        <v>0.99</v>
      </c>
    </row>
    <row r="393" spans="1:2">
      <c r="A393" s="326">
        <v>662.90530000000001</v>
      </c>
      <c r="B393" s="326">
        <v>0.99</v>
      </c>
    </row>
    <row r="394" spans="1:2">
      <c r="A394" s="326">
        <v>663.8202</v>
      </c>
      <c r="B394" s="326">
        <v>0.99</v>
      </c>
    </row>
    <row r="395" spans="1:2">
      <c r="A395" s="326">
        <v>664.73509999999999</v>
      </c>
      <c r="B395" s="326">
        <v>0.99</v>
      </c>
    </row>
    <row r="396" spans="1:2">
      <c r="A396" s="326">
        <v>665.65020000000004</v>
      </c>
      <c r="B396" s="326">
        <v>0.99</v>
      </c>
    </row>
    <row r="397" spans="1:2">
      <c r="A397" s="326">
        <v>666.56380000000001</v>
      </c>
      <c r="B397" s="326">
        <v>0.99019999999999997</v>
      </c>
    </row>
    <row r="398" spans="1:2">
      <c r="A398" s="326">
        <v>667.47879999999998</v>
      </c>
      <c r="B398" s="326">
        <v>0.99019999999999997</v>
      </c>
    </row>
    <row r="399" spans="1:2">
      <c r="A399" s="326">
        <v>668.39390000000003</v>
      </c>
      <c r="B399" s="326">
        <v>0.99019999999999997</v>
      </c>
    </row>
    <row r="400" spans="1:2">
      <c r="A400" s="326">
        <v>669.30889999999999</v>
      </c>
      <c r="B400" s="326">
        <v>0.99019999999999997</v>
      </c>
    </row>
    <row r="401" spans="1:2">
      <c r="A401" s="326">
        <v>670.22389999999996</v>
      </c>
      <c r="B401" s="326">
        <v>0.99019999999999997</v>
      </c>
    </row>
    <row r="402" spans="1:2">
      <c r="A402" s="326">
        <v>671.13890000000004</v>
      </c>
      <c r="B402" s="326">
        <v>0.99019999999999997</v>
      </c>
    </row>
    <row r="403" spans="1:2">
      <c r="A403" s="326">
        <v>672.05259999999998</v>
      </c>
      <c r="B403" s="326">
        <v>0.99050000000000005</v>
      </c>
    </row>
    <row r="404" spans="1:2">
      <c r="A404" s="326">
        <v>672.96759999999995</v>
      </c>
      <c r="B404" s="326">
        <v>0.99050000000000005</v>
      </c>
    </row>
    <row r="405" spans="1:2">
      <c r="A405" s="326">
        <v>673.88260000000002</v>
      </c>
      <c r="B405" s="326">
        <v>0.99050000000000005</v>
      </c>
    </row>
    <row r="406" spans="1:2">
      <c r="A406" s="326">
        <v>674.79759999999999</v>
      </c>
      <c r="B406" s="326">
        <v>0.99050000000000005</v>
      </c>
    </row>
    <row r="407" spans="1:2">
      <c r="A407" s="326">
        <v>675.71249999999998</v>
      </c>
      <c r="B407" s="326">
        <v>0.99050000000000005</v>
      </c>
    </row>
    <row r="408" spans="1:2">
      <c r="A408" s="326">
        <v>676.62750000000005</v>
      </c>
      <c r="B408" s="326">
        <v>0.99050000000000005</v>
      </c>
    </row>
    <row r="409" spans="1:2">
      <c r="A409" s="326">
        <v>677.54129999999998</v>
      </c>
      <c r="B409" s="326">
        <v>0.99080000000000001</v>
      </c>
    </row>
    <row r="410" spans="1:2">
      <c r="A410" s="326">
        <v>678.45619999999997</v>
      </c>
      <c r="B410" s="326">
        <v>0.99080000000000001</v>
      </c>
    </row>
    <row r="411" spans="1:2">
      <c r="A411" s="326">
        <v>679.37120000000004</v>
      </c>
      <c r="B411" s="326">
        <v>0.99080000000000001</v>
      </c>
    </row>
    <row r="412" spans="1:2">
      <c r="A412" s="326">
        <v>680.28620000000001</v>
      </c>
      <c r="B412" s="326">
        <v>0.99080000000000001</v>
      </c>
    </row>
    <row r="413" spans="1:2">
      <c r="A413" s="326">
        <v>681.20119999999997</v>
      </c>
      <c r="B413" s="326">
        <v>0.99080000000000001</v>
      </c>
    </row>
    <row r="414" spans="1:2">
      <c r="A414" s="326">
        <v>682.11490000000003</v>
      </c>
      <c r="B414" s="326">
        <v>0.99099999999999999</v>
      </c>
    </row>
    <row r="415" spans="1:2">
      <c r="A415" s="326">
        <v>683.0299</v>
      </c>
      <c r="B415" s="326">
        <v>0.99099999999999999</v>
      </c>
    </row>
    <row r="416" spans="1:2">
      <c r="A416" s="326">
        <v>683.94489999999996</v>
      </c>
      <c r="B416" s="326">
        <v>0.99099999999999999</v>
      </c>
    </row>
    <row r="417" spans="1:2">
      <c r="A417" s="326">
        <v>684.85990000000004</v>
      </c>
      <c r="B417" s="326">
        <v>0.99099999999999999</v>
      </c>
    </row>
    <row r="418" spans="1:2">
      <c r="A418" s="326">
        <v>685.7749</v>
      </c>
      <c r="B418" s="326">
        <v>0.99099999999999999</v>
      </c>
    </row>
    <row r="419" spans="1:2">
      <c r="A419" s="326">
        <v>686.68979999999999</v>
      </c>
      <c r="B419" s="326">
        <v>0.99099999999999999</v>
      </c>
    </row>
    <row r="420" spans="1:2">
      <c r="A420" s="326">
        <v>687.60360000000003</v>
      </c>
      <c r="B420" s="326">
        <v>0.99119999999999997</v>
      </c>
    </row>
    <row r="421" spans="1:2">
      <c r="A421" s="326">
        <v>688.51859999999999</v>
      </c>
      <c r="B421" s="326">
        <v>0.99119999999999997</v>
      </c>
    </row>
    <row r="422" spans="1:2">
      <c r="A422" s="326">
        <v>689.43349999999998</v>
      </c>
      <c r="B422" s="326">
        <v>0.99119999999999997</v>
      </c>
    </row>
    <row r="423" spans="1:2">
      <c r="A423" s="326">
        <v>690.34849999999994</v>
      </c>
      <c r="B423" s="326">
        <v>0.99119999999999997</v>
      </c>
    </row>
    <row r="424" spans="1:2">
      <c r="A424" s="326">
        <v>691.26350000000002</v>
      </c>
      <c r="B424" s="326">
        <v>0.99119999999999997</v>
      </c>
    </row>
    <row r="425" spans="1:2">
      <c r="A425" s="326">
        <v>692.17729999999995</v>
      </c>
      <c r="B425" s="326">
        <v>0.99160000000000004</v>
      </c>
    </row>
    <row r="426" spans="1:2">
      <c r="A426" s="326">
        <v>693.09220000000005</v>
      </c>
      <c r="B426" s="326">
        <v>0.99160000000000004</v>
      </c>
    </row>
    <row r="427" spans="1:2">
      <c r="A427" s="326">
        <v>694.00720000000001</v>
      </c>
      <c r="B427" s="326">
        <v>0.99160000000000004</v>
      </c>
    </row>
    <row r="428" spans="1:2">
      <c r="A428" s="326">
        <v>694.92219999999998</v>
      </c>
      <c r="B428" s="326">
        <v>0.99160000000000004</v>
      </c>
    </row>
    <row r="429" spans="1:2">
      <c r="A429" s="326">
        <v>695.83720000000005</v>
      </c>
      <c r="B429" s="326">
        <v>0.99160000000000004</v>
      </c>
    </row>
    <row r="430" spans="1:2">
      <c r="A430" s="326">
        <v>696.75220000000002</v>
      </c>
      <c r="B430" s="326">
        <v>0.99160000000000004</v>
      </c>
    </row>
    <row r="431" spans="1:2">
      <c r="A431" s="326">
        <v>697.66589999999997</v>
      </c>
      <c r="B431" s="326">
        <v>0.9919</v>
      </c>
    </row>
    <row r="432" spans="1:2">
      <c r="A432" s="326">
        <v>698.58090000000004</v>
      </c>
      <c r="B432" s="326">
        <v>0.9919</v>
      </c>
    </row>
    <row r="433" spans="1:2">
      <c r="A433" s="326">
        <v>699.49590000000001</v>
      </c>
      <c r="B433" s="326">
        <v>0.9919</v>
      </c>
    </row>
    <row r="434" spans="1:2">
      <c r="A434" s="326">
        <v>700.41089999999997</v>
      </c>
      <c r="B434" s="326">
        <v>0.9919</v>
      </c>
    </row>
    <row r="435" spans="1:2">
      <c r="A435" s="326">
        <v>701.32579999999996</v>
      </c>
      <c r="B435" s="326">
        <v>0.9919</v>
      </c>
    </row>
    <row r="436" spans="1:2">
      <c r="A436" s="326">
        <v>702.24080000000004</v>
      </c>
      <c r="B436" s="326">
        <v>0.9919</v>
      </c>
    </row>
    <row r="437" spans="1:2">
      <c r="A437" s="326">
        <v>703.15459999999996</v>
      </c>
      <c r="B437" s="326">
        <v>0.99209999999999998</v>
      </c>
    </row>
    <row r="438" spans="1:2">
      <c r="A438" s="326">
        <v>704.06949999999995</v>
      </c>
      <c r="B438" s="326">
        <v>0.99209999999999998</v>
      </c>
    </row>
    <row r="439" spans="1:2">
      <c r="A439" s="326">
        <v>704.98450000000003</v>
      </c>
      <c r="B439" s="326">
        <v>0.99209999999999998</v>
      </c>
    </row>
    <row r="440" spans="1:2">
      <c r="A440" s="326">
        <v>705.89949999999999</v>
      </c>
      <c r="B440" s="326">
        <v>0.99209999999999998</v>
      </c>
    </row>
    <row r="441" spans="1:2">
      <c r="A441" s="326">
        <v>706.81449999999995</v>
      </c>
      <c r="B441" s="326">
        <v>0.99209999999999998</v>
      </c>
    </row>
    <row r="442" spans="1:2">
      <c r="A442" s="326">
        <v>707.72950000000003</v>
      </c>
      <c r="B442" s="326">
        <v>0.99209999999999998</v>
      </c>
    </row>
    <row r="443" spans="1:2">
      <c r="A443" s="326">
        <v>708.64440000000002</v>
      </c>
      <c r="B443" s="326">
        <v>0.99209999999999998</v>
      </c>
    </row>
    <row r="444" spans="1:2">
      <c r="A444" s="326">
        <v>709.55939999999998</v>
      </c>
      <c r="B444" s="326">
        <v>0.99209999999999998</v>
      </c>
    </row>
    <row r="445" spans="1:2">
      <c r="A445" s="326">
        <v>710.47320000000002</v>
      </c>
      <c r="B445" s="326">
        <v>0.99239999999999995</v>
      </c>
    </row>
    <row r="446" spans="1:2">
      <c r="A446" s="326">
        <v>711.38810000000001</v>
      </c>
      <c r="B446" s="326">
        <v>0.99239999999999995</v>
      </c>
    </row>
    <row r="447" spans="1:2">
      <c r="A447" s="326">
        <v>712.30309999999997</v>
      </c>
      <c r="B447" s="326">
        <v>0.99239999999999995</v>
      </c>
    </row>
    <row r="448" spans="1:2">
      <c r="A448" s="326">
        <v>713.21810000000005</v>
      </c>
      <c r="B448" s="326">
        <v>0.99239999999999995</v>
      </c>
    </row>
    <row r="449" spans="1:2">
      <c r="A449" s="326">
        <v>714.13310000000001</v>
      </c>
      <c r="B449" s="326">
        <v>0.99239999999999995</v>
      </c>
    </row>
    <row r="450" spans="1:2">
      <c r="A450" s="326">
        <v>715.04809999999998</v>
      </c>
      <c r="B450" s="326">
        <v>0.99239999999999995</v>
      </c>
    </row>
    <row r="451" spans="1:2">
      <c r="A451" s="326">
        <v>715.96299999999997</v>
      </c>
      <c r="B451" s="326">
        <v>0.99239999999999995</v>
      </c>
    </row>
    <row r="452" spans="1:2">
      <c r="A452" s="326">
        <v>716.87800000000004</v>
      </c>
      <c r="B452" s="326">
        <v>0.99239999999999995</v>
      </c>
    </row>
    <row r="453" spans="1:2">
      <c r="A453" s="326">
        <v>717.79300000000001</v>
      </c>
      <c r="B453" s="326">
        <v>0.99239999999999995</v>
      </c>
    </row>
    <row r="454" spans="1:2">
      <c r="A454" s="326">
        <v>718.70799999999997</v>
      </c>
      <c r="B454" s="326">
        <v>0.99239999999999995</v>
      </c>
    </row>
    <row r="455" spans="1:2">
      <c r="A455" s="326">
        <v>719.62180000000001</v>
      </c>
      <c r="B455" s="326">
        <v>0.99270000000000003</v>
      </c>
    </row>
    <row r="456" spans="1:2">
      <c r="A456" s="326">
        <v>720.53679999999997</v>
      </c>
      <c r="B456" s="326">
        <v>0.99270000000000003</v>
      </c>
    </row>
    <row r="457" spans="1:2">
      <c r="A457" s="326">
        <v>721.45169999999996</v>
      </c>
      <c r="B457" s="326">
        <v>0.99270000000000003</v>
      </c>
    </row>
    <row r="458" spans="1:2">
      <c r="A458" s="326">
        <v>722.36670000000004</v>
      </c>
      <c r="B458" s="326">
        <v>0.99270000000000003</v>
      </c>
    </row>
    <row r="459" spans="1:2">
      <c r="A459" s="326">
        <v>723.2817</v>
      </c>
      <c r="B459" s="326">
        <v>0.99270000000000003</v>
      </c>
    </row>
    <row r="460" spans="1:2">
      <c r="A460" s="326">
        <v>724.19669999999996</v>
      </c>
      <c r="B460" s="326">
        <v>0.99270000000000003</v>
      </c>
    </row>
    <row r="461" spans="1:2">
      <c r="A461" s="326">
        <v>725.11170000000004</v>
      </c>
      <c r="B461" s="326">
        <v>0.99270000000000003</v>
      </c>
    </row>
    <row r="462" spans="1:2">
      <c r="A462" s="326">
        <v>726.02670000000001</v>
      </c>
      <c r="B462" s="326">
        <v>0.99270000000000003</v>
      </c>
    </row>
    <row r="463" spans="1:2">
      <c r="A463" s="326">
        <v>726.94159999999999</v>
      </c>
      <c r="B463" s="326">
        <v>0.99270000000000003</v>
      </c>
    </row>
    <row r="464" spans="1:2">
      <c r="A464" s="326">
        <v>727.85659999999996</v>
      </c>
      <c r="B464" s="326">
        <v>0.99270000000000003</v>
      </c>
    </row>
    <row r="465" spans="1:2">
      <c r="A465" s="326">
        <v>728.77149999999995</v>
      </c>
      <c r="B465" s="326">
        <v>0.99270000000000003</v>
      </c>
    </row>
    <row r="466" spans="1:2">
      <c r="A466" s="326">
        <v>729.68650000000002</v>
      </c>
      <c r="B466" s="326">
        <v>0.99270000000000003</v>
      </c>
    </row>
    <row r="467" spans="1:2">
      <c r="A467" s="326">
        <v>730.60159999999996</v>
      </c>
      <c r="B467" s="326">
        <v>0.99270000000000003</v>
      </c>
    </row>
    <row r="468" spans="1:2">
      <c r="A468" s="326">
        <v>731.51660000000004</v>
      </c>
      <c r="B468" s="326">
        <v>0.99270000000000003</v>
      </c>
    </row>
    <row r="469" spans="1:2">
      <c r="A469" s="326">
        <v>732.43150000000003</v>
      </c>
      <c r="B469" s="326">
        <v>0.99270000000000003</v>
      </c>
    </row>
    <row r="470" spans="1:2">
      <c r="A470" s="326">
        <v>733.34649999999999</v>
      </c>
      <c r="B470" s="326">
        <v>0.99270000000000003</v>
      </c>
    </row>
    <row r="471" spans="1:2">
      <c r="A471" s="326">
        <v>734.26149999999996</v>
      </c>
      <c r="B471" s="326">
        <v>0.99270000000000003</v>
      </c>
    </row>
    <row r="472" spans="1:2">
      <c r="A472" s="326">
        <v>735.17639999999994</v>
      </c>
      <c r="B472" s="326">
        <v>0.99270000000000003</v>
      </c>
    </row>
    <row r="473" spans="1:2">
      <c r="A473" s="326">
        <v>736.0915</v>
      </c>
      <c r="B473" s="326">
        <v>0.99270000000000003</v>
      </c>
    </row>
    <row r="474" spans="1:2">
      <c r="A474" s="326">
        <v>737.00649999999996</v>
      </c>
      <c r="B474" s="326">
        <v>0.99270000000000003</v>
      </c>
    </row>
    <row r="475" spans="1:2">
      <c r="A475" s="326">
        <v>737.92139999999995</v>
      </c>
      <c r="B475" s="326">
        <v>0.99270000000000003</v>
      </c>
    </row>
    <row r="476" spans="1:2">
      <c r="A476" s="326">
        <v>738.83640000000003</v>
      </c>
      <c r="B476" s="326">
        <v>0.99270000000000003</v>
      </c>
    </row>
    <row r="477" spans="1:2">
      <c r="A477" s="326">
        <v>739.75130000000001</v>
      </c>
      <c r="B477" s="326">
        <v>0.99270000000000003</v>
      </c>
    </row>
    <row r="478" spans="1:2">
      <c r="A478" s="326">
        <v>740.66629999999998</v>
      </c>
      <c r="B478" s="326">
        <v>0.99270000000000003</v>
      </c>
    </row>
    <row r="479" spans="1:2">
      <c r="A479" s="326">
        <v>741.58140000000003</v>
      </c>
      <c r="B479" s="326">
        <v>0.99270000000000003</v>
      </c>
    </row>
    <row r="480" spans="1:2">
      <c r="A480" s="326">
        <v>742.49639999999999</v>
      </c>
      <c r="B480" s="326">
        <v>0.99270000000000003</v>
      </c>
    </row>
    <row r="481" spans="1:2">
      <c r="A481" s="326">
        <v>743.41129999999998</v>
      </c>
      <c r="B481" s="326">
        <v>0.99270000000000003</v>
      </c>
    </row>
    <row r="482" spans="1:2">
      <c r="A482" s="326">
        <v>744.32629999999995</v>
      </c>
      <c r="B482" s="326">
        <v>0.99270000000000003</v>
      </c>
    </row>
    <row r="483" spans="1:2">
      <c r="A483" s="326">
        <v>745.24130000000002</v>
      </c>
      <c r="B483" s="326">
        <v>0.99270000000000003</v>
      </c>
    </row>
    <row r="484" spans="1:2">
      <c r="A484" s="326">
        <v>746.15620000000001</v>
      </c>
      <c r="B484" s="326">
        <v>0.99270000000000003</v>
      </c>
    </row>
    <row r="485" spans="1:2">
      <c r="A485" s="326">
        <v>747.07129999999995</v>
      </c>
      <c r="B485" s="326">
        <v>0.99270000000000003</v>
      </c>
    </row>
    <row r="486" spans="1:2">
      <c r="A486" s="326">
        <v>747.98630000000003</v>
      </c>
      <c r="B486" s="326">
        <v>0.99270000000000003</v>
      </c>
    </row>
    <row r="487" spans="1:2">
      <c r="A487" s="326">
        <v>748.90120000000002</v>
      </c>
      <c r="B487" s="326">
        <v>0.99270000000000003</v>
      </c>
    </row>
    <row r="488" spans="1:2">
      <c r="A488" s="326">
        <v>749.81619999999998</v>
      </c>
      <c r="B488" s="326">
        <v>0.99270000000000003</v>
      </c>
    </row>
    <row r="489" spans="1:2">
      <c r="A489" s="326">
        <v>750.73109999999997</v>
      </c>
      <c r="B489" s="326">
        <v>0.99270000000000003</v>
      </c>
    </row>
    <row r="490" spans="1:2">
      <c r="A490" s="326">
        <v>751.64610000000005</v>
      </c>
      <c r="B490" s="326">
        <v>0.99270000000000003</v>
      </c>
    </row>
    <row r="491" spans="1:2">
      <c r="A491" s="326">
        <v>752.56119999999999</v>
      </c>
      <c r="B491" s="326">
        <v>0.99270000000000003</v>
      </c>
    </row>
    <row r="492" spans="1:2">
      <c r="A492" s="326">
        <v>753.47739999999999</v>
      </c>
      <c r="B492" s="326">
        <v>0.99239999999999995</v>
      </c>
    </row>
    <row r="493" spans="1:2">
      <c r="A493" s="326">
        <v>754.39239999999995</v>
      </c>
      <c r="B493" s="326">
        <v>0.99239999999999995</v>
      </c>
    </row>
    <row r="494" spans="1:2">
      <c r="A494" s="326">
        <v>755.30740000000003</v>
      </c>
      <c r="B494" s="326">
        <v>0.99239999999999995</v>
      </c>
    </row>
    <row r="495" spans="1:2">
      <c r="A495" s="326">
        <v>756.22230000000002</v>
      </c>
      <c r="B495" s="326">
        <v>0.99239999999999995</v>
      </c>
    </row>
    <row r="496" spans="1:2">
      <c r="A496" s="326">
        <v>757.13729999999998</v>
      </c>
      <c r="B496" s="326">
        <v>0.99239999999999995</v>
      </c>
    </row>
    <row r="497" spans="1:2">
      <c r="A497" s="326">
        <v>758.05229999999995</v>
      </c>
      <c r="B497" s="326">
        <v>0.99239999999999995</v>
      </c>
    </row>
    <row r="498" spans="1:2">
      <c r="A498" s="326">
        <v>758.96730000000002</v>
      </c>
      <c r="B498" s="326">
        <v>0.99239999999999995</v>
      </c>
    </row>
    <row r="499" spans="1:2">
      <c r="A499" s="326">
        <v>759.88220000000001</v>
      </c>
      <c r="B499" s="326">
        <v>0.99239999999999995</v>
      </c>
    </row>
    <row r="500" spans="1:2">
      <c r="A500" s="326">
        <v>760.79729999999995</v>
      </c>
      <c r="B500" s="326">
        <v>0.99239999999999995</v>
      </c>
    </row>
    <row r="501" spans="1:2">
      <c r="A501" s="326">
        <v>761.71220000000005</v>
      </c>
      <c r="B501" s="326">
        <v>0.99239999999999995</v>
      </c>
    </row>
    <row r="502" spans="1:2">
      <c r="A502" s="326">
        <v>762.62840000000006</v>
      </c>
      <c r="B502" s="326">
        <v>0.99209999999999998</v>
      </c>
    </row>
    <row r="503" spans="1:2">
      <c r="A503" s="326">
        <v>763.54340000000002</v>
      </c>
      <c r="B503" s="326">
        <v>0.99209999999999998</v>
      </c>
    </row>
    <row r="504" spans="1:2">
      <c r="A504" s="326">
        <v>764.45839999999998</v>
      </c>
      <c r="B504" s="326">
        <v>0.99209999999999998</v>
      </c>
    </row>
    <row r="505" spans="1:2">
      <c r="A505" s="326">
        <v>765.37339999999995</v>
      </c>
      <c r="B505" s="326">
        <v>0.99209999999999998</v>
      </c>
    </row>
    <row r="506" spans="1:2">
      <c r="A506" s="326">
        <v>766.28840000000002</v>
      </c>
      <c r="B506" s="326">
        <v>0.99209999999999998</v>
      </c>
    </row>
    <row r="507" spans="1:2">
      <c r="A507" s="326">
        <v>767.20339999999999</v>
      </c>
      <c r="B507" s="326">
        <v>0.99209999999999998</v>
      </c>
    </row>
    <row r="508" spans="1:2">
      <c r="A508" s="326">
        <v>768.11839999999995</v>
      </c>
      <c r="B508" s="326">
        <v>0.99209999999999998</v>
      </c>
    </row>
    <row r="509" spans="1:2">
      <c r="A509" s="326">
        <v>769.03340000000003</v>
      </c>
      <c r="B509" s="326">
        <v>0.99209999999999998</v>
      </c>
    </row>
    <row r="510" spans="1:2">
      <c r="A510" s="326">
        <v>769.94960000000003</v>
      </c>
      <c r="B510" s="326">
        <v>0.9919</v>
      </c>
    </row>
    <row r="511" spans="1:2">
      <c r="A511" s="326">
        <v>770.8646</v>
      </c>
      <c r="B511" s="326">
        <v>0.9919</v>
      </c>
    </row>
    <row r="512" spans="1:2">
      <c r="A512" s="326">
        <v>771.77949999999998</v>
      </c>
      <c r="B512" s="326">
        <v>0.9919</v>
      </c>
    </row>
    <row r="513" spans="1:2">
      <c r="A513" s="326">
        <v>772.69449999999995</v>
      </c>
      <c r="B513" s="326">
        <v>0.9919</v>
      </c>
    </row>
    <row r="514" spans="1:2">
      <c r="A514" s="326">
        <v>773.60950000000003</v>
      </c>
      <c r="B514" s="326">
        <v>0.9919</v>
      </c>
    </row>
    <row r="515" spans="1:2">
      <c r="A515" s="326">
        <v>774.52449999999999</v>
      </c>
      <c r="B515" s="326">
        <v>0.9919</v>
      </c>
    </row>
    <row r="516" spans="1:2">
      <c r="A516" s="326">
        <v>775.43949999999995</v>
      </c>
      <c r="B516" s="326">
        <v>0.9919</v>
      </c>
    </row>
    <row r="517" spans="1:2">
      <c r="A517" s="326">
        <v>776.35569999999996</v>
      </c>
      <c r="B517" s="326">
        <v>0.99160000000000004</v>
      </c>
    </row>
    <row r="518" spans="1:2">
      <c r="A518" s="326">
        <v>777.27070000000003</v>
      </c>
      <c r="B518" s="326">
        <v>0.99160000000000004</v>
      </c>
    </row>
    <row r="519" spans="1:2">
      <c r="A519" s="326">
        <v>778.1857</v>
      </c>
      <c r="B519" s="326">
        <v>0.99160000000000004</v>
      </c>
    </row>
    <row r="520" spans="1:2">
      <c r="A520" s="326">
        <v>779.10069999999996</v>
      </c>
      <c r="B520" s="326">
        <v>0.99160000000000004</v>
      </c>
    </row>
    <row r="521" spans="1:2">
      <c r="A521" s="326">
        <v>780.01559999999995</v>
      </c>
      <c r="B521" s="326">
        <v>0.99160000000000004</v>
      </c>
    </row>
    <row r="522" spans="1:2">
      <c r="A522" s="326">
        <v>780.93060000000003</v>
      </c>
      <c r="B522" s="326">
        <v>0.99160000000000004</v>
      </c>
    </row>
    <row r="523" spans="1:2">
      <c r="A523" s="326">
        <v>781.84559999999999</v>
      </c>
      <c r="B523" s="326">
        <v>0.99160000000000004</v>
      </c>
    </row>
    <row r="524" spans="1:2">
      <c r="A524" s="326">
        <v>782.76179999999999</v>
      </c>
      <c r="B524" s="326">
        <v>0.99119999999999997</v>
      </c>
    </row>
    <row r="525" spans="1:2">
      <c r="A525" s="326">
        <v>783.67679999999996</v>
      </c>
      <c r="B525" s="326">
        <v>0.99119999999999997</v>
      </c>
    </row>
    <row r="526" spans="1:2">
      <c r="A526" s="326">
        <v>784.59180000000003</v>
      </c>
      <c r="B526" s="326">
        <v>0.99119999999999997</v>
      </c>
    </row>
    <row r="527" spans="1:2">
      <c r="A527" s="326">
        <v>785.5068</v>
      </c>
      <c r="B527" s="326">
        <v>0.99119999999999997</v>
      </c>
    </row>
    <row r="528" spans="1:2">
      <c r="A528" s="326">
        <v>786.42179999999996</v>
      </c>
      <c r="B528" s="326">
        <v>0.99119999999999997</v>
      </c>
    </row>
    <row r="529" spans="1:2">
      <c r="A529" s="326">
        <v>787.33680000000004</v>
      </c>
      <c r="B529" s="326">
        <v>0.99119999999999997</v>
      </c>
    </row>
    <row r="530" spans="1:2">
      <c r="A530" s="326">
        <v>788.25170000000003</v>
      </c>
      <c r="B530" s="326">
        <v>0.99119999999999997</v>
      </c>
    </row>
    <row r="531" spans="1:2">
      <c r="A531" s="326">
        <v>789.16800000000001</v>
      </c>
      <c r="B531" s="326">
        <v>0.99099999999999999</v>
      </c>
    </row>
    <row r="532" spans="1:2">
      <c r="A532" s="326">
        <v>790.08299999999997</v>
      </c>
      <c r="B532" s="326">
        <v>0.99099999999999999</v>
      </c>
    </row>
    <row r="533" spans="1:2">
      <c r="A533" s="326">
        <v>790.99789999999996</v>
      </c>
      <c r="B533" s="326">
        <v>0.99099999999999999</v>
      </c>
    </row>
    <row r="534" spans="1:2">
      <c r="A534" s="326">
        <v>791.91290000000004</v>
      </c>
      <c r="B534" s="326">
        <v>0.99099999999999999</v>
      </c>
    </row>
    <row r="535" spans="1:2">
      <c r="A535" s="326">
        <v>792.8279</v>
      </c>
      <c r="B535" s="326">
        <v>0.99099999999999999</v>
      </c>
    </row>
    <row r="536" spans="1:2">
      <c r="A536" s="326">
        <v>793.74289999999996</v>
      </c>
      <c r="B536" s="326">
        <v>0.99099999999999999</v>
      </c>
    </row>
    <row r="537" spans="1:2">
      <c r="A537" s="326">
        <v>794.65790000000004</v>
      </c>
      <c r="B537" s="326">
        <v>0.99099999999999999</v>
      </c>
    </row>
    <row r="538" spans="1:2">
      <c r="A538" s="326">
        <v>795.5729</v>
      </c>
      <c r="B538" s="326">
        <v>0.99099999999999999</v>
      </c>
    </row>
    <row r="539" spans="1:2">
      <c r="A539" s="326">
        <v>796.48779999999999</v>
      </c>
      <c r="B539" s="326">
        <v>0.99099999999999999</v>
      </c>
    </row>
    <row r="540" spans="1:2">
      <c r="A540" s="326">
        <v>797.40409999999997</v>
      </c>
      <c r="B540" s="326">
        <v>0.99080000000000001</v>
      </c>
    </row>
    <row r="541" spans="1:2">
      <c r="A541" s="326">
        <v>798.31910000000005</v>
      </c>
      <c r="B541" s="326">
        <v>0.99080000000000001</v>
      </c>
    </row>
    <row r="542" spans="1:2">
      <c r="A542" s="326">
        <v>799.23400000000004</v>
      </c>
      <c r="B542" s="326">
        <v>0.99080000000000001</v>
      </c>
    </row>
    <row r="543" spans="1:2">
      <c r="A543" s="326">
        <v>800.149</v>
      </c>
      <c r="B543" s="326">
        <v>0.99080000000000001</v>
      </c>
    </row>
    <row r="544" spans="1:2">
      <c r="A544" s="326">
        <v>801.06399999999996</v>
      </c>
      <c r="B544" s="326">
        <v>0.99080000000000001</v>
      </c>
    </row>
    <row r="545" spans="1:2">
      <c r="A545" s="326">
        <v>801.97900000000004</v>
      </c>
      <c r="B545" s="326">
        <v>0.99080000000000001</v>
      </c>
    </row>
    <row r="546" spans="1:2">
      <c r="A546" s="326">
        <v>802.89400000000001</v>
      </c>
      <c r="B546" s="326">
        <v>0.99080000000000001</v>
      </c>
    </row>
    <row r="547" spans="1:2">
      <c r="A547" s="326">
        <v>803.80899999999997</v>
      </c>
      <c r="B547" s="326">
        <v>0.99080000000000001</v>
      </c>
    </row>
    <row r="548" spans="1:2">
      <c r="A548" s="326">
        <v>804.72389999999996</v>
      </c>
      <c r="B548" s="326">
        <v>0.99080000000000001</v>
      </c>
    </row>
    <row r="549" spans="1:2">
      <c r="A549" s="326">
        <v>805.64020000000005</v>
      </c>
      <c r="B549" s="326">
        <v>0.99050000000000005</v>
      </c>
    </row>
    <row r="550" spans="1:2">
      <c r="A550" s="326">
        <v>806.55510000000004</v>
      </c>
      <c r="B550" s="326">
        <v>0.99050000000000005</v>
      </c>
    </row>
    <row r="551" spans="1:2">
      <c r="A551" s="326">
        <v>807.4701</v>
      </c>
      <c r="B551" s="326">
        <v>0.99050000000000005</v>
      </c>
    </row>
    <row r="552" spans="1:2">
      <c r="A552" s="326">
        <v>808.38509999999997</v>
      </c>
      <c r="B552" s="326">
        <v>0.99050000000000005</v>
      </c>
    </row>
    <row r="553" spans="1:2">
      <c r="A553" s="326">
        <v>809.30010000000004</v>
      </c>
      <c r="B553" s="326">
        <v>0.99050000000000005</v>
      </c>
    </row>
    <row r="554" spans="1:2">
      <c r="A554" s="326">
        <v>810.21510000000001</v>
      </c>
      <c r="B554" s="326">
        <v>0.99050000000000005</v>
      </c>
    </row>
    <row r="555" spans="1:2">
      <c r="A555" s="326">
        <v>811.13009999999997</v>
      </c>
      <c r="B555" s="326">
        <v>0.99050000000000005</v>
      </c>
    </row>
    <row r="556" spans="1:2">
      <c r="A556" s="326">
        <v>812.04499999999996</v>
      </c>
      <c r="B556" s="326">
        <v>0.99050000000000005</v>
      </c>
    </row>
    <row r="557" spans="1:2">
      <c r="A557" s="326">
        <v>812.96</v>
      </c>
      <c r="B557" s="326">
        <v>0.99050000000000005</v>
      </c>
    </row>
    <row r="558" spans="1:2">
      <c r="A558" s="326">
        <v>813.875</v>
      </c>
      <c r="B558" s="326">
        <v>0.99050000000000005</v>
      </c>
    </row>
    <row r="559" spans="1:2">
      <c r="A559" s="326">
        <v>814.79</v>
      </c>
      <c r="B559" s="326">
        <v>0.99050000000000005</v>
      </c>
    </row>
    <row r="560" spans="1:2">
      <c r="A560" s="326">
        <v>815.70619999999997</v>
      </c>
      <c r="B560" s="326">
        <v>0.99019999999999997</v>
      </c>
    </row>
    <row r="561" spans="1:2">
      <c r="A561" s="326">
        <v>816.62120000000004</v>
      </c>
      <c r="B561" s="326">
        <v>0.99019999999999997</v>
      </c>
    </row>
    <row r="562" spans="1:2">
      <c r="A562" s="326">
        <v>817.53620000000001</v>
      </c>
      <c r="B562" s="326">
        <v>0.99019999999999997</v>
      </c>
    </row>
    <row r="563" spans="1:2">
      <c r="A563" s="326">
        <v>818.45240000000001</v>
      </c>
      <c r="B563" s="326">
        <v>0.9899</v>
      </c>
    </row>
    <row r="564" spans="1:2">
      <c r="A564" s="326">
        <v>819.36739999999998</v>
      </c>
      <c r="B564" s="326">
        <v>0.9899</v>
      </c>
    </row>
    <row r="565" spans="1:2">
      <c r="A565" s="326">
        <v>820.28240000000005</v>
      </c>
      <c r="B565" s="326">
        <v>0.9899</v>
      </c>
    </row>
    <row r="566" spans="1:2">
      <c r="A566" s="326">
        <v>821.19740000000002</v>
      </c>
      <c r="B566" s="326">
        <v>0.9899</v>
      </c>
    </row>
    <row r="567" spans="1:2">
      <c r="A567" s="326">
        <v>822.11360000000002</v>
      </c>
      <c r="B567" s="326">
        <v>0.98970000000000002</v>
      </c>
    </row>
    <row r="568" spans="1:2">
      <c r="A568" s="326">
        <v>823.02859999999998</v>
      </c>
      <c r="B568" s="326">
        <v>0.98970000000000002</v>
      </c>
    </row>
    <row r="569" spans="1:2">
      <c r="A569" s="326">
        <v>823.94359999999995</v>
      </c>
      <c r="B569" s="326">
        <v>0.98970000000000002</v>
      </c>
    </row>
    <row r="570" spans="1:2">
      <c r="A570" s="326">
        <v>824.85860000000002</v>
      </c>
      <c r="B570" s="326">
        <v>0.98970000000000002</v>
      </c>
    </row>
    <row r="571" spans="1:2">
      <c r="A571" s="326">
        <v>825.77480000000003</v>
      </c>
      <c r="B571" s="326">
        <v>0.98929999999999996</v>
      </c>
    </row>
    <row r="572" spans="1:2">
      <c r="A572" s="326">
        <v>826.68979999999999</v>
      </c>
      <c r="B572" s="326">
        <v>0.98929999999999996</v>
      </c>
    </row>
    <row r="573" spans="1:2">
      <c r="A573" s="326">
        <v>827.60469999999998</v>
      </c>
      <c r="B573" s="326">
        <v>0.98929999999999996</v>
      </c>
    </row>
    <row r="574" spans="1:2">
      <c r="A574" s="326">
        <v>828.51969999999994</v>
      </c>
      <c r="B574" s="326">
        <v>0.98929999999999996</v>
      </c>
    </row>
    <row r="575" spans="1:2">
      <c r="A575" s="326">
        <v>829.43460000000005</v>
      </c>
      <c r="B575" s="326">
        <v>0.98929999999999996</v>
      </c>
    </row>
    <row r="576" spans="1:2">
      <c r="A576" s="326">
        <v>830.34969999999998</v>
      </c>
      <c r="B576" s="326">
        <v>0.98929999999999996</v>
      </c>
    </row>
    <row r="577" spans="1:2">
      <c r="A577" s="326">
        <v>831.26469999999995</v>
      </c>
      <c r="B577" s="326">
        <v>0.98929999999999996</v>
      </c>
    </row>
    <row r="578" spans="1:2">
      <c r="A578" s="326">
        <v>832.17970000000003</v>
      </c>
      <c r="B578" s="326">
        <v>0.98929999999999996</v>
      </c>
    </row>
    <row r="579" spans="1:2">
      <c r="A579" s="326">
        <v>833.09460000000001</v>
      </c>
      <c r="B579" s="326">
        <v>0.98929999999999996</v>
      </c>
    </row>
    <row r="580" spans="1:2">
      <c r="A580" s="326">
        <v>834.00959999999998</v>
      </c>
      <c r="B580" s="326">
        <v>0.98929999999999996</v>
      </c>
    </row>
    <row r="581" spans="1:2">
      <c r="A581" s="326">
        <v>834.92449999999997</v>
      </c>
      <c r="B581" s="326">
        <v>0.98929999999999996</v>
      </c>
    </row>
    <row r="582" spans="1:2">
      <c r="A582" s="326">
        <v>835.83960000000002</v>
      </c>
      <c r="B582" s="326">
        <v>0.98929999999999996</v>
      </c>
    </row>
    <row r="583" spans="1:2">
      <c r="A583" s="326">
        <v>836.75459999999998</v>
      </c>
      <c r="B583" s="326">
        <v>0.98929999999999996</v>
      </c>
    </row>
    <row r="584" spans="1:2">
      <c r="A584" s="326">
        <v>837.66959999999995</v>
      </c>
      <c r="B584" s="326">
        <v>0.98929999999999996</v>
      </c>
    </row>
    <row r="585" spans="1:2">
      <c r="A585" s="326">
        <v>838.58450000000005</v>
      </c>
      <c r="B585" s="326">
        <v>0.98929999999999996</v>
      </c>
    </row>
    <row r="586" spans="1:2">
      <c r="A586" s="326">
        <v>839.49950000000001</v>
      </c>
      <c r="B586" s="326">
        <v>0.98929999999999996</v>
      </c>
    </row>
    <row r="587" spans="1:2">
      <c r="A587" s="326">
        <v>840.4144</v>
      </c>
      <c r="B587" s="326">
        <v>0.98929999999999996</v>
      </c>
    </row>
    <row r="588" spans="1:2">
      <c r="A588" s="326">
        <v>841.32950000000005</v>
      </c>
      <c r="B588" s="326">
        <v>0.98929999999999996</v>
      </c>
    </row>
    <row r="589" spans="1:2">
      <c r="A589" s="326">
        <v>842.24450000000002</v>
      </c>
      <c r="B589" s="326">
        <v>0.98929999999999996</v>
      </c>
    </row>
    <row r="590" spans="1:2">
      <c r="A590" s="326">
        <v>843.15949999999998</v>
      </c>
      <c r="B590" s="326">
        <v>0.98929999999999996</v>
      </c>
    </row>
    <row r="591" spans="1:2">
      <c r="A591" s="326">
        <v>844.07439999999997</v>
      </c>
      <c r="B591" s="326">
        <v>0.98929999999999996</v>
      </c>
    </row>
    <row r="592" spans="1:2">
      <c r="A592" s="326">
        <v>844.98929999999996</v>
      </c>
      <c r="B592" s="326">
        <v>0.98929999999999996</v>
      </c>
    </row>
    <row r="593" spans="1:2">
      <c r="A593" s="326">
        <v>845.90430000000003</v>
      </c>
      <c r="B593" s="326">
        <v>0.98929999999999996</v>
      </c>
    </row>
    <row r="594" spans="1:2">
      <c r="A594" s="326">
        <v>846.81939999999997</v>
      </c>
      <c r="B594" s="326">
        <v>0.98929999999999996</v>
      </c>
    </row>
    <row r="595" spans="1:2">
      <c r="A595" s="326">
        <v>847.73299999999995</v>
      </c>
      <c r="B595" s="326">
        <v>0.98970000000000002</v>
      </c>
    </row>
    <row r="596" spans="1:2">
      <c r="A596" s="326">
        <v>848.6481</v>
      </c>
      <c r="B596" s="326">
        <v>0.98970000000000002</v>
      </c>
    </row>
    <row r="597" spans="1:2">
      <c r="A597" s="326">
        <v>849.56309999999996</v>
      </c>
      <c r="B597" s="326">
        <v>0.98970000000000002</v>
      </c>
    </row>
    <row r="598" spans="1:2">
      <c r="A598" s="326">
        <v>850.47810000000004</v>
      </c>
      <c r="B598" s="326">
        <v>0.98970000000000002</v>
      </c>
    </row>
    <row r="599" spans="1:2">
      <c r="A599" s="326">
        <v>851.3931</v>
      </c>
      <c r="B599" s="326">
        <v>0.98970000000000002</v>
      </c>
    </row>
    <row r="600" spans="1:2">
      <c r="A600" s="326">
        <v>852.30809999999997</v>
      </c>
      <c r="B600" s="326">
        <v>0.98970000000000002</v>
      </c>
    </row>
    <row r="601" spans="1:2">
      <c r="A601" s="326">
        <v>853.22299999999996</v>
      </c>
      <c r="B601" s="326">
        <v>0.98970000000000002</v>
      </c>
    </row>
    <row r="602" spans="1:2">
      <c r="A602" s="326">
        <v>854.13800000000003</v>
      </c>
      <c r="B602" s="326">
        <v>0.98970000000000002</v>
      </c>
    </row>
    <row r="603" spans="1:2">
      <c r="A603" s="326">
        <v>855.053</v>
      </c>
      <c r="B603" s="326">
        <v>0.98970000000000002</v>
      </c>
    </row>
    <row r="604" spans="1:2">
      <c r="A604" s="326">
        <v>855.96799999999996</v>
      </c>
      <c r="B604" s="326">
        <v>0.98970000000000002</v>
      </c>
    </row>
    <row r="605" spans="1:2">
      <c r="A605" s="326">
        <v>856.88300000000004</v>
      </c>
      <c r="B605" s="326">
        <v>0.98970000000000002</v>
      </c>
    </row>
    <row r="606" spans="1:2">
      <c r="A606" s="326">
        <v>857.79669999999999</v>
      </c>
      <c r="B606" s="326">
        <v>0.9899</v>
      </c>
    </row>
    <row r="607" spans="1:2">
      <c r="A607" s="326">
        <v>858.71169999999995</v>
      </c>
      <c r="B607" s="326">
        <v>0.9899</v>
      </c>
    </row>
    <row r="608" spans="1:2">
      <c r="A608" s="326">
        <v>859.62670000000003</v>
      </c>
      <c r="B608" s="326">
        <v>0.9899</v>
      </c>
    </row>
    <row r="609" spans="1:2">
      <c r="A609" s="326">
        <v>860.54169999999999</v>
      </c>
      <c r="B609" s="326">
        <v>0.9899</v>
      </c>
    </row>
    <row r="610" spans="1:2">
      <c r="A610" s="326">
        <v>861.45659999999998</v>
      </c>
      <c r="B610" s="326">
        <v>0.9899</v>
      </c>
    </row>
    <row r="611" spans="1:2">
      <c r="A611" s="326">
        <v>862.37159999999994</v>
      </c>
      <c r="B611" s="326">
        <v>0.9899</v>
      </c>
    </row>
    <row r="612" spans="1:2">
      <c r="A612" s="326">
        <v>863.28660000000002</v>
      </c>
      <c r="B612" s="326">
        <v>0.9899</v>
      </c>
    </row>
    <row r="613" spans="1:2">
      <c r="A613" s="326">
        <v>864.20029999999997</v>
      </c>
      <c r="B613" s="326">
        <v>0.99019999999999997</v>
      </c>
    </row>
    <row r="614" spans="1:2">
      <c r="A614" s="326">
        <v>865.11530000000005</v>
      </c>
      <c r="B614" s="326">
        <v>0.99019999999999997</v>
      </c>
    </row>
    <row r="615" spans="1:2">
      <c r="A615" s="326">
        <v>866.03030000000001</v>
      </c>
      <c r="B615" s="326">
        <v>0.99019999999999997</v>
      </c>
    </row>
    <row r="616" spans="1:2">
      <c r="A616" s="326">
        <v>866.94529999999997</v>
      </c>
      <c r="B616" s="326">
        <v>0.99019999999999997</v>
      </c>
    </row>
    <row r="617" spans="1:2">
      <c r="A617" s="326">
        <v>867.86030000000005</v>
      </c>
      <c r="B617" s="326">
        <v>0.99019999999999997</v>
      </c>
    </row>
    <row r="618" spans="1:2">
      <c r="A618" s="326">
        <v>868.77530000000002</v>
      </c>
      <c r="B618" s="326">
        <v>0.99019999999999997</v>
      </c>
    </row>
    <row r="619" spans="1:2">
      <c r="A619" s="326">
        <v>869.68899999999996</v>
      </c>
      <c r="B619" s="326">
        <v>0.99050000000000005</v>
      </c>
    </row>
    <row r="620" spans="1:2">
      <c r="A620" s="326">
        <v>870.60400000000004</v>
      </c>
      <c r="B620" s="326">
        <v>0.99050000000000005</v>
      </c>
    </row>
    <row r="621" spans="1:2">
      <c r="A621" s="326">
        <v>871.51900000000001</v>
      </c>
      <c r="B621" s="326">
        <v>0.99050000000000005</v>
      </c>
    </row>
    <row r="622" spans="1:2">
      <c r="A622" s="326">
        <v>872.43389999999999</v>
      </c>
      <c r="B622" s="326">
        <v>0.99050000000000005</v>
      </c>
    </row>
    <row r="623" spans="1:2">
      <c r="A623" s="326">
        <v>873.34889999999996</v>
      </c>
      <c r="B623" s="326">
        <v>0.99050000000000005</v>
      </c>
    </row>
    <row r="624" spans="1:2">
      <c r="A624" s="326">
        <v>874.26390000000004</v>
      </c>
      <c r="B624" s="326">
        <v>0.99050000000000005</v>
      </c>
    </row>
    <row r="625" spans="1:2">
      <c r="A625" s="326">
        <v>875.1789</v>
      </c>
      <c r="B625" s="326">
        <v>0.99050000000000005</v>
      </c>
    </row>
    <row r="626" spans="1:2">
      <c r="A626" s="326">
        <v>876.09259999999995</v>
      </c>
      <c r="B626" s="326">
        <v>0.99080000000000001</v>
      </c>
    </row>
    <row r="627" spans="1:2">
      <c r="A627" s="326">
        <v>877.00760000000002</v>
      </c>
      <c r="B627" s="326">
        <v>0.99080000000000001</v>
      </c>
    </row>
    <row r="628" spans="1:2">
      <c r="A628" s="326">
        <v>877.92259999999999</v>
      </c>
      <c r="B628" s="326">
        <v>0.99080000000000001</v>
      </c>
    </row>
    <row r="629" spans="1:2">
      <c r="A629" s="326">
        <v>878.83759999999995</v>
      </c>
      <c r="B629" s="326">
        <v>0.99080000000000001</v>
      </c>
    </row>
    <row r="630" spans="1:2">
      <c r="A630" s="326">
        <v>879.75260000000003</v>
      </c>
      <c r="B630" s="326">
        <v>0.99080000000000001</v>
      </c>
    </row>
    <row r="631" spans="1:2">
      <c r="A631" s="326">
        <v>880.66759999999999</v>
      </c>
      <c r="B631" s="326">
        <v>0.99080000000000001</v>
      </c>
    </row>
    <row r="632" spans="1:2">
      <c r="A632" s="326">
        <v>881.58249999999998</v>
      </c>
      <c r="B632" s="326">
        <v>0.99080000000000001</v>
      </c>
    </row>
    <row r="633" spans="1:2">
      <c r="A633" s="326">
        <v>882.49749999999995</v>
      </c>
      <c r="B633" s="326">
        <v>0.99080000000000001</v>
      </c>
    </row>
    <row r="634" spans="1:2">
      <c r="A634" s="326">
        <v>883.41129999999998</v>
      </c>
      <c r="B634" s="326">
        <v>0.99099999999999999</v>
      </c>
    </row>
    <row r="635" spans="1:2">
      <c r="A635" s="326">
        <v>884.32619999999997</v>
      </c>
      <c r="B635" s="326">
        <v>0.99099999999999999</v>
      </c>
    </row>
    <row r="636" spans="1:2">
      <c r="A636" s="326">
        <v>885.24120000000005</v>
      </c>
      <c r="B636" s="326">
        <v>0.99099999999999999</v>
      </c>
    </row>
    <row r="637" spans="1:2">
      <c r="A637" s="326">
        <v>886.15620000000001</v>
      </c>
      <c r="B637" s="326">
        <v>0.99099999999999999</v>
      </c>
    </row>
    <row r="638" spans="1:2">
      <c r="A638" s="326">
        <v>887.07119999999998</v>
      </c>
      <c r="B638" s="326">
        <v>0.99099999999999999</v>
      </c>
    </row>
    <row r="639" spans="1:2">
      <c r="A639" s="326">
        <v>887.98620000000005</v>
      </c>
      <c r="B639" s="326">
        <v>0.99099999999999999</v>
      </c>
    </row>
    <row r="640" spans="1:2">
      <c r="A640" s="326">
        <v>888.90120000000002</v>
      </c>
      <c r="B640" s="326">
        <v>0.99099999999999999</v>
      </c>
    </row>
    <row r="641" spans="1:2">
      <c r="A641" s="326">
        <v>889.81610000000001</v>
      </c>
      <c r="B641" s="326">
        <v>0.99099999999999999</v>
      </c>
    </row>
    <row r="642" spans="1:2">
      <c r="A642" s="326">
        <v>890.72990000000004</v>
      </c>
      <c r="B642" s="326">
        <v>0.99119999999999997</v>
      </c>
    </row>
    <row r="643" spans="1:2">
      <c r="A643" s="326">
        <v>891.64490000000001</v>
      </c>
      <c r="B643" s="326">
        <v>0.99119999999999997</v>
      </c>
    </row>
    <row r="644" spans="1:2">
      <c r="A644" s="326">
        <v>892.5598</v>
      </c>
      <c r="B644" s="326">
        <v>0.99119999999999997</v>
      </c>
    </row>
    <row r="645" spans="1:2">
      <c r="A645" s="326">
        <v>893.47479999999996</v>
      </c>
      <c r="B645" s="326">
        <v>0.99119999999999997</v>
      </c>
    </row>
    <row r="646" spans="1:2">
      <c r="A646" s="326">
        <v>894.38980000000004</v>
      </c>
      <c r="B646" s="326">
        <v>0.99119999999999997</v>
      </c>
    </row>
    <row r="647" spans="1:2">
      <c r="A647" s="326">
        <v>895.3048</v>
      </c>
      <c r="B647" s="326">
        <v>0.99119999999999997</v>
      </c>
    </row>
    <row r="648" spans="1:2">
      <c r="A648" s="326">
        <v>896.21979999999996</v>
      </c>
      <c r="B648" s="326">
        <v>0.99119999999999997</v>
      </c>
    </row>
    <row r="649" spans="1:2">
      <c r="A649" s="326">
        <v>897.13480000000004</v>
      </c>
      <c r="B649" s="326">
        <v>0.99119999999999997</v>
      </c>
    </row>
    <row r="650" spans="1:2">
      <c r="A650" s="326">
        <v>898.04970000000003</v>
      </c>
      <c r="B650" s="326">
        <v>0.99119999999999997</v>
      </c>
    </row>
    <row r="651" spans="1:2">
      <c r="A651" s="326">
        <v>898.96469999999999</v>
      </c>
      <c r="B651" s="326">
        <v>0.99119999999999997</v>
      </c>
    </row>
    <row r="652" spans="1:2">
      <c r="A652" s="326">
        <v>899.87840000000006</v>
      </c>
      <c r="B652" s="326">
        <v>0.99160000000000004</v>
      </c>
    </row>
    <row r="653" spans="1:2">
      <c r="A653" s="326">
        <v>900.79340000000002</v>
      </c>
      <c r="B653" s="326">
        <v>0.99160000000000004</v>
      </c>
    </row>
    <row r="654" spans="1:2">
      <c r="A654" s="326">
        <v>901.70839999999998</v>
      </c>
      <c r="B654" s="326">
        <v>0.99160000000000004</v>
      </c>
    </row>
    <row r="655" spans="1:2">
      <c r="A655" s="326">
        <v>902.62339999999995</v>
      </c>
      <c r="B655" s="326">
        <v>0.99160000000000004</v>
      </c>
    </row>
    <row r="656" spans="1:2">
      <c r="A656" s="326">
        <v>903.53840000000002</v>
      </c>
      <c r="B656" s="326">
        <v>0.99160000000000004</v>
      </c>
    </row>
    <row r="657" spans="1:2">
      <c r="A657" s="326">
        <v>904.45339999999999</v>
      </c>
      <c r="B657" s="326">
        <v>0.99160000000000004</v>
      </c>
    </row>
    <row r="658" spans="1:2">
      <c r="A658" s="326">
        <v>905.36839999999995</v>
      </c>
      <c r="B658" s="326">
        <v>0.99160000000000004</v>
      </c>
    </row>
    <row r="659" spans="1:2">
      <c r="A659" s="326">
        <v>906.28330000000005</v>
      </c>
      <c r="B659" s="326">
        <v>0.99160000000000004</v>
      </c>
    </row>
    <row r="660" spans="1:2">
      <c r="A660" s="326">
        <v>907.19830000000002</v>
      </c>
      <c r="B660" s="326">
        <v>0.99160000000000004</v>
      </c>
    </row>
    <row r="661" spans="1:2">
      <c r="A661" s="326">
        <v>908.11329999999998</v>
      </c>
      <c r="B661" s="326">
        <v>0.99160000000000004</v>
      </c>
    </row>
    <row r="662" spans="1:2">
      <c r="A662" s="326">
        <v>909.02829999999994</v>
      </c>
      <c r="B662" s="326">
        <v>0.99160000000000004</v>
      </c>
    </row>
    <row r="663" spans="1:2">
      <c r="A663" s="326">
        <v>909.94330000000002</v>
      </c>
      <c r="B663" s="326">
        <v>0.99160000000000004</v>
      </c>
    </row>
    <row r="664" spans="1:2">
      <c r="A664" s="326">
        <v>910.85820000000001</v>
      </c>
      <c r="B664" s="326">
        <v>0.99160000000000004</v>
      </c>
    </row>
    <row r="665" spans="1:2">
      <c r="A665" s="326">
        <v>911.77319999999997</v>
      </c>
      <c r="B665" s="326">
        <v>0.99160000000000004</v>
      </c>
    </row>
    <row r="666" spans="1:2">
      <c r="A666" s="326">
        <v>912.68820000000005</v>
      </c>
      <c r="B666" s="326">
        <v>0.99160000000000004</v>
      </c>
    </row>
    <row r="667" spans="1:2">
      <c r="A667" s="326">
        <v>913.60320000000002</v>
      </c>
      <c r="B667" s="326">
        <v>0.99160000000000004</v>
      </c>
    </row>
    <row r="668" spans="1:2">
      <c r="A668" s="326">
        <v>914.51819999999998</v>
      </c>
      <c r="B668" s="326">
        <v>0.99160000000000004</v>
      </c>
    </row>
    <row r="669" spans="1:2">
      <c r="A669" s="326">
        <v>915.43320000000006</v>
      </c>
      <c r="B669" s="326">
        <v>0.99160000000000004</v>
      </c>
    </row>
    <row r="670" spans="1:2">
      <c r="A670" s="326">
        <v>916.34820000000002</v>
      </c>
      <c r="B670" s="326">
        <v>0.99160000000000004</v>
      </c>
    </row>
    <row r="671" spans="1:2">
      <c r="A671" s="326">
        <v>917.26310000000001</v>
      </c>
      <c r="B671" s="326">
        <v>0.99160000000000004</v>
      </c>
    </row>
    <row r="672" spans="1:2">
      <c r="A672" s="326">
        <v>918.17809999999997</v>
      </c>
      <c r="B672" s="326">
        <v>0.99160000000000004</v>
      </c>
    </row>
    <row r="673" spans="1:2">
      <c r="A673" s="326">
        <v>919.09310000000005</v>
      </c>
      <c r="B673" s="326">
        <v>0.99160000000000004</v>
      </c>
    </row>
    <row r="674" spans="1:2">
      <c r="A674" s="326">
        <v>920.00810000000001</v>
      </c>
      <c r="B674" s="326">
        <v>0.99160000000000004</v>
      </c>
    </row>
    <row r="675" spans="1:2">
      <c r="A675" s="326">
        <v>920.92309999999998</v>
      </c>
      <c r="B675" s="326">
        <v>0.99160000000000004</v>
      </c>
    </row>
    <row r="676" spans="1:2">
      <c r="A676" s="326">
        <v>921.83799999999997</v>
      </c>
      <c r="B676" s="326">
        <v>0.99160000000000004</v>
      </c>
    </row>
    <row r="677" spans="1:2">
      <c r="A677" s="326">
        <v>922.75300000000004</v>
      </c>
      <c r="B677" s="326">
        <v>0.99160000000000004</v>
      </c>
    </row>
    <row r="678" spans="1:2">
      <c r="A678" s="326">
        <v>923.66800000000001</v>
      </c>
      <c r="B678" s="326">
        <v>0.99160000000000004</v>
      </c>
    </row>
    <row r="679" spans="1:2">
      <c r="A679" s="326">
        <v>924.58299999999997</v>
      </c>
      <c r="B679" s="326">
        <v>0.99160000000000004</v>
      </c>
    </row>
    <row r="680" spans="1:2">
      <c r="A680" s="326">
        <v>925.49800000000005</v>
      </c>
      <c r="B680" s="326">
        <v>0.99160000000000004</v>
      </c>
    </row>
    <row r="681" spans="1:2">
      <c r="A681" s="326">
        <v>926.41420000000005</v>
      </c>
      <c r="B681" s="326">
        <v>0.99119999999999997</v>
      </c>
    </row>
    <row r="682" spans="1:2">
      <c r="A682" s="326">
        <v>927.32920000000001</v>
      </c>
      <c r="B682" s="326">
        <v>0.99119999999999997</v>
      </c>
    </row>
    <row r="683" spans="1:2">
      <c r="A683" s="326">
        <v>928.24419999999998</v>
      </c>
      <c r="B683" s="326">
        <v>0.99119999999999997</v>
      </c>
    </row>
    <row r="684" spans="1:2">
      <c r="A684" s="326">
        <v>929.15920000000006</v>
      </c>
      <c r="B684" s="326">
        <v>0.99119999999999997</v>
      </c>
    </row>
    <row r="685" spans="1:2">
      <c r="A685" s="326">
        <v>930.07420000000002</v>
      </c>
      <c r="B685" s="326">
        <v>0.99119999999999997</v>
      </c>
    </row>
    <row r="686" spans="1:2">
      <c r="A686" s="326">
        <v>930.98910000000001</v>
      </c>
      <c r="B686" s="326">
        <v>0.99119999999999997</v>
      </c>
    </row>
    <row r="687" spans="1:2">
      <c r="A687" s="326">
        <v>931.90409999999997</v>
      </c>
      <c r="B687" s="326">
        <v>0.99119999999999997</v>
      </c>
    </row>
    <row r="688" spans="1:2">
      <c r="A688" s="326">
        <v>932.82039999999995</v>
      </c>
      <c r="B688" s="326">
        <v>0.99099999999999999</v>
      </c>
    </row>
    <row r="689" spans="1:2">
      <c r="A689" s="326">
        <v>933.73530000000005</v>
      </c>
      <c r="B689" s="326">
        <v>0.99099999999999999</v>
      </c>
    </row>
    <row r="690" spans="1:2">
      <c r="A690" s="326">
        <v>934.65030000000002</v>
      </c>
      <c r="B690" s="326">
        <v>0.99099999999999999</v>
      </c>
    </row>
    <row r="691" spans="1:2">
      <c r="A691" s="326">
        <v>935.56529999999998</v>
      </c>
      <c r="B691" s="326">
        <v>0.99099999999999999</v>
      </c>
    </row>
    <row r="692" spans="1:2">
      <c r="A692" s="326">
        <v>936.48030000000006</v>
      </c>
      <c r="B692" s="326">
        <v>0.99099999999999999</v>
      </c>
    </row>
    <row r="693" spans="1:2">
      <c r="A693" s="326">
        <v>937.39649999999995</v>
      </c>
      <c r="B693" s="326">
        <v>0.99070000000000003</v>
      </c>
    </row>
    <row r="694" spans="1:2">
      <c r="A694" s="326">
        <v>938.31150000000002</v>
      </c>
      <c r="B694" s="326">
        <v>0.99070000000000003</v>
      </c>
    </row>
    <row r="695" spans="1:2">
      <c r="A695" s="326">
        <v>939.22649999999999</v>
      </c>
      <c r="B695" s="326">
        <v>0.99070000000000003</v>
      </c>
    </row>
    <row r="696" spans="1:2">
      <c r="A696" s="326">
        <v>940.14149999999995</v>
      </c>
      <c r="B696" s="326">
        <v>0.99070000000000003</v>
      </c>
    </row>
    <row r="697" spans="1:2">
      <c r="A697" s="326">
        <v>941.05769999999995</v>
      </c>
      <c r="B697" s="326">
        <v>0.99050000000000005</v>
      </c>
    </row>
    <row r="698" spans="1:2">
      <c r="A698" s="326">
        <v>941.97270000000003</v>
      </c>
      <c r="B698" s="326">
        <v>0.99050000000000005</v>
      </c>
    </row>
    <row r="699" spans="1:2">
      <c r="A699" s="326">
        <v>942.8877</v>
      </c>
      <c r="B699" s="326">
        <v>0.99050000000000005</v>
      </c>
    </row>
    <row r="700" spans="1:2">
      <c r="A700" s="326">
        <v>943.8039</v>
      </c>
      <c r="B700" s="326">
        <v>0.99019999999999997</v>
      </c>
    </row>
    <row r="701" spans="1:2">
      <c r="A701" s="326">
        <v>944.71889999999996</v>
      </c>
      <c r="B701" s="326">
        <v>0.99019999999999997</v>
      </c>
    </row>
    <row r="702" spans="1:2">
      <c r="A702" s="326">
        <v>945.63390000000004</v>
      </c>
      <c r="B702" s="326">
        <v>0.99019999999999997</v>
      </c>
    </row>
    <row r="703" spans="1:2">
      <c r="A703" s="326">
        <v>946.55010000000004</v>
      </c>
      <c r="B703" s="326">
        <v>0.9899</v>
      </c>
    </row>
    <row r="704" spans="1:2">
      <c r="A704" s="326">
        <v>947.46510000000001</v>
      </c>
      <c r="B704" s="326">
        <v>0.9899</v>
      </c>
    </row>
    <row r="705" spans="1:2">
      <c r="A705" s="326">
        <v>948.38009999999997</v>
      </c>
      <c r="B705" s="326">
        <v>0.9899</v>
      </c>
    </row>
    <row r="706" spans="1:2">
      <c r="A706" s="326">
        <v>949.29629999999997</v>
      </c>
      <c r="B706" s="326">
        <v>0.98970000000000002</v>
      </c>
    </row>
    <row r="707" spans="1:2">
      <c r="A707" s="326">
        <v>950.21130000000005</v>
      </c>
      <c r="B707" s="326">
        <v>0.98970000000000002</v>
      </c>
    </row>
    <row r="708" spans="1:2">
      <c r="A708" s="326">
        <v>951.12750000000005</v>
      </c>
      <c r="B708" s="326">
        <v>0.98929999999999996</v>
      </c>
    </row>
    <row r="709" spans="1:2">
      <c r="A709" s="326">
        <v>952.04250000000002</v>
      </c>
      <c r="B709" s="326">
        <v>0.98929999999999996</v>
      </c>
    </row>
    <row r="710" spans="1:2">
      <c r="A710" s="326">
        <v>952.95749999999998</v>
      </c>
      <c r="B710" s="326">
        <v>0.98929999999999996</v>
      </c>
    </row>
    <row r="711" spans="1:2">
      <c r="A711" s="326">
        <v>953.87369999999999</v>
      </c>
      <c r="B711" s="326">
        <v>0.98909999999999998</v>
      </c>
    </row>
    <row r="712" spans="1:2">
      <c r="A712" s="326">
        <v>954.78869999999995</v>
      </c>
      <c r="B712" s="326">
        <v>0.98909999999999998</v>
      </c>
    </row>
    <row r="713" spans="1:2">
      <c r="A713" s="326">
        <v>955.70479999999998</v>
      </c>
      <c r="B713" s="326">
        <v>0.98880000000000001</v>
      </c>
    </row>
    <row r="714" spans="1:2">
      <c r="A714" s="326">
        <v>956.61990000000003</v>
      </c>
      <c r="B714" s="326">
        <v>0.98880000000000001</v>
      </c>
    </row>
    <row r="715" spans="1:2">
      <c r="A715" s="326">
        <v>957.53610000000003</v>
      </c>
      <c r="B715" s="326">
        <v>0.98860000000000003</v>
      </c>
    </row>
    <row r="716" spans="1:2">
      <c r="A716" s="326">
        <v>958.4511</v>
      </c>
      <c r="B716" s="326">
        <v>0.98860000000000003</v>
      </c>
    </row>
    <row r="717" spans="1:2">
      <c r="A717" s="326">
        <v>959.3673</v>
      </c>
      <c r="B717" s="326">
        <v>0.98829999999999996</v>
      </c>
    </row>
    <row r="718" spans="1:2">
      <c r="A718" s="326">
        <v>960.28229999999996</v>
      </c>
      <c r="B718" s="326">
        <v>0.98829999999999996</v>
      </c>
    </row>
    <row r="719" spans="1:2">
      <c r="A719" s="326">
        <v>961.19849999999997</v>
      </c>
      <c r="B719" s="326">
        <v>0.98799999999999999</v>
      </c>
    </row>
    <row r="720" spans="1:2">
      <c r="A720" s="326">
        <v>962.11350000000004</v>
      </c>
      <c r="B720" s="326">
        <v>0.98799999999999999</v>
      </c>
    </row>
    <row r="721" spans="1:2">
      <c r="A721" s="326">
        <v>963.02980000000002</v>
      </c>
      <c r="B721" s="326">
        <v>0.98770000000000002</v>
      </c>
    </row>
    <row r="722" spans="1:2">
      <c r="A722" s="326">
        <v>963.94470000000001</v>
      </c>
      <c r="B722" s="326">
        <v>0.98770000000000002</v>
      </c>
    </row>
    <row r="723" spans="1:2">
      <c r="A723" s="326">
        <v>964.86099999999999</v>
      </c>
      <c r="B723" s="326">
        <v>0.98750000000000004</v>
      </c>
    </row>
    <row r="724" spans="1:2">
      <c r="A724" s="326">
        <v>965.77719999999999</v>
      </c>
      <c r="B724" s="326">
        <v>0.98719999999999997</v>
      </c>
    </row>
    <row r="725" spans="1:2">
      <c r="A725" s="326">
        <v>966.69219999999996</v>
      </c>
      <c r="B725" s="326">
        <v>0.98719999999999997</v>
      </c>
    </row>
    <row r="726" spans="1:2">
      <c r="A726" s="326">
        <v>967.60839999999996</v>
      </c>
      <c r="B726" s="326">
        <v>0.98680000000000001</v>
      </c>
    </row>
    <row r="727" spans="1:2">
      <c r="A727" s="326">
        <v>968.52459999999996</v>
      </c>
      <c r="B727" s="326">
        <v>0.98670000000000002</v>
      </c>
    </row>
    <row r="728" spans="1:2">
      <c r="A728" s="326">
        <v>969.43960000000004</v>
      </c>
      <c r="B728" s="326">
        <v>0.98670000000000002</v>
      </c>
    </row>
    <row r="729" spans="1:2">
      <c r="A729" s="326">
        <v>970.35580000000004</v>
      </c>
      <c r="B729" s="326">
        <v>0.98640000000000005</v>
      </c>
    </row>
    <row r="730" spans="1:2">
      <c r="A730" s="326">
        <v>971.27210000000002</v>
      </c>
      <c r="B730" s="326">
        <v>0.98609999999999998</v>
      </c>
    </row>
    <row r="731" spans="1:2">
      <c r="A731" s="326">
        <v>972.18709999999999</v>
      </c>
      <c r="B731" s="326">
        <v>0.98609999999999998</v>
      </c>
    </row>
    <row r="732" spans="1:2">
      <c r="A732" s="326">
        <v>973.10329999999999</v>
      </c>
      <c r="B732" s="326">
        <v>0.98580000000000001</v>
      </c>
    </row>
    <row r="733" spans="1:2">
      <c r="A733" s="326">
        <v>974.01949999999999</v>
      </c>
      <c r="B733" s="326">
        <v>0.98560000000000003</v>
      </c>
    </row>
    <row r="734" spans="1:2">
      <c r="A734" s="326">
        <v>974.93439999999998</v>
      </c>
      <c r="B734" s="326">
        <v>0.98560000000000003</v>
      </c>
    </row>
    <row r="735" spans="1:2">
      <c r="A735" s="326">
        <v>975.85069999999996</v>
      </c>
      <c r="B735" s="326">
        <v>0.98529999999999995</v>
      </c>
    </row>
    <row r="736" spans="1:2">
      <c r="A736" s="326">
        <v>976.76700000000005</v>
      </c>
      <c r="B736" s="326">
        <v>0.9849</v>
      </c>
    </row>
    <row r="737" spans="1:2">
      <c r="A737" s="326">
        <v>977.68320000000006</v>
      </c>
      <c r="B737" s="326">
        <v>0.98470000000000002</v>
      </c>
    </row>
    <row r="738" spans="1:2">
      <c r="A738" s="326">
        <v>978.59939999999995</v>
      </c>
      <c r="B738" s="326">
        <v>0.98450000000000004</v>
      </c>
    </row>
    <row r="739" spans="1:2">
      <c r="A739" s="326">
        <v>979.51559999999995</v>
      </c>
      <c r="B739" s="326">
        <v>0.98419999999999996</v>
      </c>
    </row>
    <row r="740" spans="1:2">
      <c r="A740" s="326">
        <v>980.92899999999997</v>
      </c>
      <c r="B740" s="326">
        <v>0.98419999999999996</v>
      </c>
    </row>
    <row r="741" spans="1:2">
      <c r="A741" s="326">
        <v>981.97580000000005</v>
      </c>
      <c r="B741" s="326">
        <v>0.98419999999999996</v>
      </c>
    </row>
    <row r="742" spans="1:2">
      <c r="A742" s="326">
        <v>983.02260000000001</v>
      </c>
      <c r="B742" s="326">
        <v>0.98419999999999996</v>
      </c>
    </row>
    <row r="743" spans="1:2">
      <c r="A743" s="326">
        <v>984.0693</v>
      </c>
      <c r="B743" s="326">
        <v>0.98170810208628712</v>
      </c>
    </row>
    <row r="744" spans="1:2">
      <c r="A744" s="326">
        <v>985.11609999999996</v>
      </c>
      <c r="B744" s="326">
        <v>0.98170810208628712</v>
      </c>
    </row>
    <row r="745" spans="1:2">
      <c r="A745" s="326">
        <v>986.16290000000004</v>
      </c>
      <c r="B745" s="326">
        <v>0.98170810208628712</v>
      </c>
    </row>
    <row r="746" spans="1:2">
      <c r="A746" s="326">
        <v>987.2097</v>
      </c>
      <c r="B746" s="326">
        <v>0.98170810208628712</v>
      </c>
    </row>
    <row r="747" spans="1:2">
      <c r="A747" s="326">
        <v>988.25649999999996</v>
      </c>
      <c r="B747" s="326">
        <v>0.98170810208628712</v>
      </c>
    </row>
    <row r="748" spans="1:2">
      <c r="A748" s="326">
        <v>989.30319999999995</v>
      </c>
      <c r="B748" s="326">
        <v>0.98170810208628712</v>
      </c>
    </row>
    <row r="749" spans="1:2">
      <c r="A749" s="326">
        <v>990.35</v>
      </c>
      <c r="B749" s="326">
        <v>0.98170810208628712</v>
      </c>
    </row>
    <row r="750" spans="1:2">
      <c r="A750" s="326">
        <v>991.39679999999998</v>
      </c>
      <c r="B750" s="326">
        <v>0.98170810208628712</v>
      </c>
    </row>
    <row r="751" spans="1:2">
      <c r="A751" s="326">
        <v>992.44359999999995</v>
      </c>
      <c r="B751" s="326">
        <v>0.97921620417257438</v>
      </c>
    </row>
    <row r="752" spans="1:2">
      <c r="A752" s="326">
        <v>993.49040000000002</v>
      </c>
      <c r="B752" s="326">
        <v>0.97921620417257438</v>
      </c>
    </row>
    <row r="753" spans="1:2">
      <c r="A753" s="326">
        <v>994.53710000000001</v>
      </c>
      <c r="B753" s="326">
        <v>0.97921620417257438</v>
      </c>
    </row>
    <row r="754" spans="1:2">
      <c r="A754" s="326">
        <v>995.5838</v>
      </c>
      <c r="B754" s="326">
        <v>0.97921620417257438</v>
      </c>
    </row>
    <row r="755" spans="1:2">
      <c r="A755" s="326">
        <v>996.63070000000005</v>
      </c>
      <c r="B755" s="326">
        <v>0.97921620417257438</v>
      </c>
    </row>
    <row r="756" spans="1:2">
      <c r="A756" s="326">
        <v>997.67750000000001</v>
      </c>
      <c r="B756" s="326">
        <v>0.97921620417257438</v>
      </c>
    </row>
    <row r="757" spans="1:2">
      <c r="A757" s="326">
        <v>998.7242</v>
      </c>
      <c r="B757" s="326">
        <v>0.97921620417257438</v>
      </c>
    </row>
    <row r="758" spans="1:2">
      <c r="A758" s="326">
        <v>999.77099999999996</v>
      </c>
      <c r="B758" s="326">
        <v>0.97921620417257438</v>
      </c>
    </row>
    <row r="759" spans="1:2">
      <c r="A759" s="326">
        <v>1000.8178</v>
      </c>
      <c r="B759" s="326">
        <v>0.97672430625886164</v>
      </c>
    </row>
    <row r="760" spans="1:2">
      <c r="A760" s="326">
        <v>1001.8646</v>
      </c>
      <c r="B760" s="326">
        <v>0.97672430625886164</v>
      </c>
    </row>
    <row r="761" spans="1:2">
      <c r="A761" s="326">
        <v>1002.9114</v>
      </c>
      <c r="B761" s="326">
        <v>0.97672430625886164</v>
      </c>
    </row>
    <row r="762" spans="1:2">
      <c r="A762" s="326">
        <v>1003.9580999999999</v>
      </c>
      <c r="B762" s="326">
        <v>0.97672430625886164</v>
      </c>
    </row>
    <row r="763" spans="1:2">
      <c r="A763" s="326">
        <v>1005.0049</v>
      </c>
      <c r="B763" s="326">
        <v>0.97672430625886164</v>
      </c>
    </row>
    <row r="764" spans="1:2">
      <c r="A764" s="326">
        <v>1006.0517</v>
      </c>
      <c r="B764" s="326">
        <v>0.97672430625886164</v>
      </c>
    </row>
    <row r="765" spans="1:2">
      <c r="A765" s="326">
        <v>1007.0984999999999</v>
      </c>
      <c r="B765" s="326">
        <v>0.97672430625886164</v>
      </c>
    </row>
    <row r="766" spans="1:2">
      <c r="A766" s="326">
        <v>1008.1452</v>
      </c>
      <c r="B766" s="326">
        <v>0.97423240834514879</v>
      </c>
    </row>
    <row r="767" spans="1:2">
      <c r="A767" s="326">
        <v>1009.192</v>
      </c>
      <c r="B767" s="326">
        <v>0.97423240834514879</v>
      </c>
    </row>
    <row r="768" spans="1:2">
      <c r="A768" s="326">
        <v>1010.2388</v>
      </c>
      <c r="B768" s="326">
        <v>0.97423240834514879</v>
      </c>
    </row>
    <row r="769" spans="1:2">
      <c r="A769" s="326">
        <v>1011.2856</v>
      </c>
      <c r="B769" s="326">
        <v>0.97423240834514879</v>
      </c>
    </row>
    <row r="770" spans="1:2">
      <c r="A770" s="326">
        <v>1012.3324</v>
      </c>
      <c r="B770" s="326">
        <v>0.97423240834514879</v>
      </c>
    </row>
    <row r="771" spans="1:2">
      <c r="A771" s="326">
        <v>1013.3791</v>
      </c>
      <c r="B771" s="326">
        <v>0.97423240834514879</v>
      </c>
    </row>
    <row r="772" spans="1:2">
      <c r="A772" s="326">
        <v>1014.4259</v>
      </c>
      <c r="B772" s="326">
        <v>0.97164083451488747</v>
      </c>
    </row>
    <row r="773" spans="1:2">
      <c r="A773" s="326">
        <v>1015.4727</v>
      </c>
      <c r="B773" s="326">
        <v>0.97164083451488747</v>
      </c>
    </row>
    <row r="774" spans="1:2">
      <c r="A774" s="326">
        <v>1016.5194</v>
      </c>
      <c r="B774" s="326">
        <v>0.97164083451488747</v>
      </c>
    </row>
    <row r="775" spans="1:2">
      <c r="A775" s="326">
        <v>1017.5662</v>
      </c>
      <c r="B775" s="326">
        <v>0.97164083451488747</v>
      </c>
    </row>
    <row r="776" spans="1:2">
      <c r="A776" s="326">
        <v>1018.6130000000001</v>
      </c>
      <c r="B776" s="326">
        <v>0.97164083451488747</v>
      </c>
    </row>
    <row r="777" spans="1:2">
      <c r="A777" s="326">
        <v>1019.6598</v>
      </c>
      <c r="B777" s="326">
        <v>0.97164083451488747</v>
      </c>
    </row>
    <row r="778" spans="1:2">
      <c r="A778" s="326">
        <v>1020.7066</v>
      </c>
      <c r="B778" s="326">
        <v>0.96924861251772321</v>
      </c>
    </row>
    <row r="779" spans="1:2">
      <c r="A779" s="326">
        <v>1021.7534000000001</v>
      </c>
      <c r="B779" s="326">
        <v>0.96924861251772321</v>
      </c>
    </row>
    <row r="780" spans="1:2">
      <c r="A780" s="326">
        <v>1022.8001</v>
      </c>
      <c r="B780" s="326">
        <v>0.96924861251772321</v>
      </c>
    </row>
    <row r="781" spans="1:2">
      <c r="A781" s="326">
        <v>1023.8469</v>
      </c>
      <c r="B781" s="326">
        <v>0.96924861251772321</v>
      </c>
    </row>
    <row r="782" spans="1:2">
      <c r="A782" s="326">
        <v>1024.8937000000001</v>
      </c>
      <c r="B782" s="326">
        <v>0.96924861251772321</v>
      </c>
    </row>
    <row r="783" spans="1:2">
      <c r="A783" s="326">
        <v>1025.9404999999999</v>
      </c>
      <c r="B783" s="326">
        <v>0.96675671460401047</v>
      </c>
    </row>
    <row r="784" spans="1:2">
      <c r="A784" s="326">
        <v>1026.9872</v>
      </c>
      <c r="B784" s="326">
        <v>0.96675671460401047</v>
      </c>
    </row>
    <row r="785" spans="1:2">
      <c r="A785" s="326">
        <v>1028.0340000000001</v>
      </c>
      <c r="B785" s="326">
        <v>0.96675671460401047</v>
      </c>
    </row>
    <row r="786" spans="1:2">
      <c r="A786" s="326">
        <v>1029.0808</v>
      </c>
      <c r="B786" s="326">
        <v>0.96675671460401047</v>
      </c>
    </row>
    <row r="787" spans="1:2">
      <c r="A787" s="326">
        <v>1030.1276</v>
      </c>
      <c r="B787" s="326">
        <v>0.96675671460401047</v>
      </c>
    </row>
    <row r="788" spans="1:2">
      <c r="A788" s="326">
        <v>1031.1742999999999</v>
      </c>
      <c r="B788" s="326">
        <v>0.96675671460401047</v>
      </c>
    </row>
    <row r="789" spans="1:2">
      <c r="A789" s="326">
        <v>1032.2211</v>
      </c>
      <c r="B789" s="326">
        <v>0.96426481669029773</v>
      </c>
    </row>
    <row r="790" spans="1:2">
      <c r="A790" s="326">
        <v>1033.2679000000001</v>
      </c>
      <c r="B790" s="326">
        <v>0.96426481669029773</v>
      </c>
    </row>
    <row r="791" spans="1:2">
      <c r="A791" s="326">
        <v>1034.3146999999999</v>
      </c>
      <c r="B791" s="326">
        <v>0.96426481669029773</v>
      </c>
    </row>
    <row r="792" spans="1:2">
      <c r="A792" s="326">
        <v>1035.3615</v>
      </c>
      <c r="B792" s="326">
        <v>0.96426481669029773</v>
      </c>
    </row>
    <row r="793" spans="1:2">
      <c r="A793" s="326">
        <v>1036.4082000000001</v>
      </c>
      <c r="B793" s="326">
        <v>0.96426481669029773</v>
      </c>
    </row>
    <row r="794" spans="1:2">
      <c r="A794" s="326">
        <v>1037.4549999999999</v>
      </c>
      <c r="B794" s="326">
        <v>0.96177291877658488</v>
      </c>
    </row>
    <row r="795" spans="1:2">
      <c r="A795" s="326">
        <v>1038.5018</v>
      </c>
      <c r="B795" s="326">
        <v>0.96177291877658488</v>
      </c>
    </row>
    <row r="796" spans="1:2">
      <c r="A796" s="326">
        <v>1039.5486000000001</v>
      </c>
      <c r="B796" s="326">
        <v>0.96177291877658488</v>
      </c>
    </row>
    <row r="797" spans="1:2">
      <c r="A797" s="326">
        <v>1040.5953999999999</v>
      </c>
      <c r="B797" s="326">
        <v>0.96177291877658488</v>
      </c>
    </row>
    <row r="798" spans="1:2">
      <c r="A798" s="326">
        <v>1041.6421</v>
      </c>
      <c r="B798" s="326">
        <v>0.96177291877658488</v>
      </c>
    </row>
    <row r="799" spans="1:2">
      <c r="A799" s="326">
        <v>1042.6887999999999</v>
      </c>
      <c r="B799" s="326">
        <v>0.95928102086287215</v>
      </c>
    </row>
    <row r="800" spans="1:2">
      <c r="A800" s="326">
        <v>1043.7357</v>
      </c>
      <c r="B800" s="326">
        <v>0.95928102086287215</v>
      </c>
    </row>
    <row r="801" spans="1:2">
      <c r="A801" s="326">
        <v>1044.7825</v>
      </c>
      <c r="B801" s="326">
        <v>0.95928102086287215</v>
      </c>
    </row>
    <row r="802" spans="1:2">
      <c r="A802" s="326">
        <v>1045.8291999999999</v>
      </c>
      <c r="B802" s="326">
        <v>0.95928102086287215</v>
      </c>
    </row>
    <row r="803" spans="1:2">
      <c r="A803" s="326">
        <v>1046.876</v>
      </c>
      <c r="B803" s="326">
        <v>0.9567891229491593</v>
      </c>
    </row>
    <row r="804" spans="1:2">
      <c r="A804" s="326">
        <v>1047.9228000000001</v>
      </c>
      <c r="B804" s="326">
        <v>0.9567891229491593</v>
      </c>
    </row>
    <row r="805" spans="1:2">
      <c r="A805" s="326">
        <v>1048.9695999999999</v>
      </c>
      <c r="B805" s="326">
        <v>0.9567891229491593</v>
      </c>
    </row>
    <row r="806" spans="1:2">
      <c r="A806" s="326">
        <v>1050.0164</v>
      </c>
      <c r="B806" s="326">
        <v>0.9567891229491593</v>
      </c>
    </row>
    <row r="807" spans="1:2">
      <c r="A807" s="326">
        <v>1051.0631000000001</v>
      </c>
      <c r="B807" s="326">
        <v>0.9567891229491593</v>
      </c>
    </row>
    <row r="808" spans="1:2">
      <c r="A808" s="326">
        <v>1052.1098999999999</v>
      </c>
      <c r="B808" s="326">
        <v>0.95429722503544656</v>
      </c>
    </row>
    <row r="809" spans="1:2">
      <c r="A809" s="326">
        <v>1053.1567</v>
      </c>
      <c r="B809" s="326">
        <v>0.95429722503544656</v>
      </c>
    </row>
    <row r="810" spans="1:2">
      <c r="A810" s="326">
        <v>1054.2035000000001</v>
      </c>
      <c r="B810" s="326">
        <v>0.95429722503544656</v>
      </c>
    </row>
    <row r="811" spans="1:2">
      <c r="A811" s="326">
        <v>1055.2501999999999</v>
      </c>
      <c r="B811" s="326">
        <v>0.95429722503544656</v>
      </c>
    </row>
    <row r="812" spans="1:2">
      <c r="A812" s="326">
        <v>1056.297</v>
      </c>
      <c r="B812" s="326">
        <v>0.95170565120518524</v>
      </c>
    </row>
    <row r="813" spans="1:2">
      <c r="A813" s="326">
        <v>1057.3436999999999</v>
      </c>
      <c r="B813" s="326">
        <v>0.95170565120518524</v>
      </c>
    </row>
    <row r="814" spans="1:2">
      <c r="A814" s="326">
        <v>1058.3905999999999</v>
      </c>
      <c r="B814" s="326">
        <v>0.95170565120518524</v>
      </c>
    </row>
    <row r="815" spans="1:2">
      <c r="A815" s="326">
        <v>1059.4374</v>
      </c>
      <c r="B815" s="326">
        <v>0.95170565120518524</v>
      </c>
    </row>
    <row r="816" spans="1:2">
      <c r="A816" s="326">
        <v>1060.4840999999999</v>
      </c>
      <c r="B816" s="326">
        <v>0.94931342920802109</v>
      </c>
    </row>
    <row r="817" spans="1:2">
      <c r="A817" s="326">
        <v>1061.5309</v>
      </c>
      <c r="B817" s="326">
        <v>0.94931342920802109</v>
      </c>
    </row>
    <row r="818" spans="1:2">
      <c r="A818" s="326">
        <v>1062.5777</v>
      </c>
      <c r="B818" s="326">
        <v>0.94931342920802109</v>
      </c>
    </row>
    <row r="819" spans="1:2">
      <c r="A819" s="326">
        <v>1063.6244999999999</v>
      </c>
      <c r="B819" s="326">
        <v>0.94931342920802109</v>
      </c>
    </row>
    <row r="820" spans="1:2">
      <c r="A820" s="326">
        <v>1064.6712</v>
      </c>
      <c r="B820" s="326">
        <v>0.94931342920802109</v>
      </c>
    </row>
    <row r="821" spans="1:2">
      <c r="A821" s="326">
        <v>1065.7180000000001</v>
      </c>
      <c r="B821" s="326">
        <v>0.94682153129430813</v>
      </c>
    </row>
    <row r="822" spans="1:2">
      <c r="A822" s="326">
        <v>1066.7647999999999</v>
      </c>
      <c r="B822" s="326">
        <v>0.94682153129430813</v>
      </c>
    </row>
    <row r="823" spans="1:2">
      <c r="A823" s="326">
        <v>1067.8115</v>
      </c>
      <c r="B823" s="326">
        <v>0.94682153129430813</v>
      </c>
    </row>
    <row r="824" spans="1:2">
      <c r="A824" s="326">
        <v>1068.8584000000001</v>
      </c>
      <c r="B824" s="326">
        <v>0.94682153129430813</v>
      </c>
    </row>
    <row r="825" spans="1:2">
      <c r="A825" s="326">
        <v>1069.9050999999999</v>
      </c>
      <c r="B825" s="326">
        <v>0.94682153129430813</v>
      </c>
    </row>
    <row r="826" spans="1:2">
      <c r="A826" s="326">
        <v>1070.9519</v>
      </c>
      <c r="B826" s="326">
        <v>0.94432963338059539</v>
      </c>
    </row>
    <row r="827" spans="1:2">
      <c r="A827" s="326">
        <v>1071.9987000000001</v>
      </c>
      <c r="B827" s="326">
        <v>0.94432963338059539</v>
      </c>
    </row>
    <row r="828" spans="1:2">
      <c r="A828" s="326">
        <v>1073.0454999999999</v>
      </c>
      <c r="B828" s="326">
        <v>0.94432963338059539</v>
      </c>
    </row>
    <row r="829" spans="1:2">
      <c r="A829" s="326">
        <v>1074.0922</v>
      </c>
      <c r="B829" s="326">
        <v>0.94432963338059539</v>
      </c>
    </row>
    <row r="830" spans="1:2">
      <c r="A830" s="326">
        <v>1075.1389999999999</v>
      </c>
      <c r="B830" s="326">
        <v>0.94183773546688254</v>
      </c>
    </row>
    <row r="831" spans="1:2">
      <c r="A831" s="326">
        <v>1076.1858</v>
      </c>
      <c r="B831" s="326">
        <v>0.94183773546688254</v>
      </c>
    </row>
    <row r="832" spans="1:2">
      <c r="A832" s="326">
        <v>1077.2326</v>
      </c>
      <c r="B832" s="326">
        <v>0.94183773546688254</v>
      </c>
    </row>
    <row r="833" spans="1:2">
      <c r="A833" s="326">
        <v>1078.2792999999999</v>
      </c>
      <c r="B833" s="326">
        <v>0.94183773546688254</v>
      </c>
    </row>
    <row r="834" spans="1:2">
      <c r="A834" s="326">
        <v>1079.3261</v>
      </c>
      <c r="B834" s="326">
        <v>0.93934583755316992</v>
      </c>
    </row>
    <row r="835" spans="1:2">
      <c r="A835" s="326">
        <v>1080.3729000000001</v>
      </c>
      <c r="B835" s="326">
        <v>0.93934583755316992</v>
      </c>
    </row>
    <row r="836" spans="1:2">
      <c r="A836" s="326">
        <v>1081.4196999999999</v>
      </c>
      <c r="B836" s="326">
        <v>0.93934583755316992</v>
      </c>
    </row>
    <row r="837" spans="1:2">
      <c r="A837" s="326">
        <v>1082.4665</v>
      </c>
      <c r="B837" s="326">
        <v>0.93944551346971839</v>
      </c>
    </row>
    <row r="838" spans="1:2">
      <c r="A838" s="326">
        <v>1083.5130999999999</v>
      </c>
      <c r="B838" s="326">
        <v>0.93685393963945707</v>
      </c>
    </row>
    <row r="839" spans="1:2">
      <c r="A839" s="326">
        <v>1084.56</v>
      </c>
      <c r="B839" s="326">
        <v>0.93695361555600543</v>
      </c>
    </row>
    <row r="840" spans="1:2">
      <c r="A840" s="326">
        <v>1085.6068</v>
      </c>
      <c r="B840" s="326">
        <v>0.93695361555600543</v>
      </c>
    </row>
    <row r="841" spans="1:2">
      <c r="A841" s="326">
        <v>1086.6536000000001</v>
      </c>
      <c r="B841" s="326">
        <v>0.93695361555600543</v>
      </c>
    </row>
    <row r="842" spans="1:2">
      <c r="A842" s="326">
        <v>1087.7003999999999</v>
      </c>
      <c r="B842" s="326">
        <v>0.9344617176422928</v>
      </c>
    </row>
    <row r="843" spans="1:2">
      <c r="A843" s="326">
        <v>1088.7471</v>
      </c>
      <c r="B843" s="326">
        <v>0.9344617176422928</v>
      </c>
    </row>
    <row r="844" spans="1:2">
      <c r="A844" s="326">
        <v>1089.7938999999999</v>
      </c>
      <c r="B844" s="326">
        <v>0.9344617176422928</v>
      </c>
    </row>
    <row r="845" spans="1:2">
      <c r="A845" s="326">
        <v>1090.8407</v>
      </c>
      <c r="B845" s="326">
        <v>0.9344617176422928</v>
      </c>
    </row>
    <row r="846" spans="1:2">
      <c r="A846" s="326">
        <v>1091.8875</v>
      </c>
      <c r="B846" s="326">
        <v>0.93196981972858006</v>
      </c>
    </row>
    <row r="847" spans="1:2">
      <c r="A847" s="326">
        <v>1092.9341999999999</v>
      </c>
      <c r="B847" s="326">
        <v>0.93196981972858006</v>
      </c>
    </row>
    <row r="848" spans="1:2">
      <c r="A848" s="326">
        <v>1093.9809</v>
      </c>
      <c r="B848" s="326">
        <v>0.93196981972858006</v>
      </c>
    </row>
    <row r="849" spans="1:2">
      <c r="A849" s="326">
        <v>1095.0278000000001</v>
      </c>
      <c r="B849" s="326">
        <v>0.93196981972858006</v>
      </c>
    </row>
    <row r="850" spans="1:2">
      <c r="A850" s="326">
        <v>1096.0745999999999</v>
      </c>
      <c r="B850" s="326">
        <v>0.93196981972858006</v>
      </c>
    </row>
    <row r="851" spans="1:2">
      <c r="A851" s="326">
        <v>1097.1214</v>
      </c>
      <c r="B851" s="326">
        <v>0.92947792181486721</v>
      </c>
    </row>
    <row r="852" spans="1:2">
      <c r="A852" s="326">
        <v>1098.1681000000001</v>
      </c>
      <c r="B852" s="326">
        <v>0.92947792181486721</v>
      </c>
    </row>
    <row r="853" spans="1:2">
      <c r="A853" s="326">
        <v>1099.2148999999999</v>
      </c>
      <c r="B853" s="326">
        <v>0.92698602390115459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4"/>
  <sheetViews>
    <sheetView workbookViewId="0">
      <selection activeCell="C53" sqref="C53"/>
    </sheetView>
  </sheetViews>
  <sheetFormatPr defaultColWidth="8.88671875" defaultRowHeight="14.4"/>
  <cols>
    <col min="1" max="1" width="59.44140625" style="80" customWidth="1"/>
    <col min="5" max="5" width="9.6640625" customWidth="1"/>
    <col min="6" max="7" width="11.44140625" bestFit="1" customWidth="1"/>
  </cols>
  <sheetData>
    <row r="1" spans="1:17">
      <c r="B1" s="66" t="s">
        <v>89</v>
      </c>
      <c r="C1" s="67"/>
      <c r="D1" s="67"/>
      <c r="E1" s="67"/>
      <c r="F1" s="67"/>
      <c r="G1" s="67"/>
      <c r="H1" s="56"/>
      <c r="I1" s="56"/>
      <c r="J1" s="56"/>
      <c r="K1" s="56"/>
      <c r="L1" s="56"/>
      <c r="M1" s="56"/>
      <c r="N1" s="56"/>
      <c r="O1" s="56"/>
      <c r="P1" s="56"/>
      <c r="Q1" s="56"/>
    </row>
    <row r="2" spans="1:17">
      <c r="B2" s="56" t="s">
        <v>267</v>
      </c>
      <c r="C2" s="67"/>
      <c r="D2" s="67"/>
      <c r="E2" s="67"/>
      <c r="F2" s="67"/>
      <c r="G2" s="67"/>
      <c r="H2" s="56"/>
      <c r="I2" s="56"/>
      <c r="J2" s="56"/>
      <c r="K2" s="56"/>
      <c r="L2" s="56"/>
      <c r="M2" s="56"/>
      <c r="N2" s="56"/>
      <c r="O2" s="56"/>
      <c r="P2" s="56"/>
      <c r="Q2" s="56"/>
    </row>
    <row r="3" spans="1:17">
      <c r="B3" s="56"/>
      <c r="C3" s="67"/>
      <c r="D3" s="67"/>
      <c r="E3" s="67"/>
      <c r="F3" s="67"/>
      <c r="G3" s="67"/>
      <c r="H3" s="56"/>
      <c r="I3" s="56"/>
      <c r="J3" s="56"/>
      <c r="K3" s="56"/>
      <c r="L3" s="56"/>
      <c r="M3" s="56"/>
      <c r="N3" s="56"/>
      <c r="O3" s="56"/>
      <c r="P3" s="56"/>
      <c r="Q3" s="56"/>
    </row>
    <row r="4" spans="1:17">
      <c r="B4" s="56" t="s">
        <v>90</v>
      </c>
      <c r="C4" s="67"/>
      <c r="D4" s="67"/>
      <c r="E4" s="67"/>
      <c r="F4" s="67"/>
      <c r="G4" s="67"/>
      <c r="H4" s="56"/>
      <c r="I4" s="56"/>
      <c r="J4" s="56"/>
      <c r="K4" s="56"/>
      <c r="L4" s="56"/>
      <c r="M4" s="56"/>
      <c r="N4" s="56"/>
      <c r="O4" s="56"/>
      <c r="P4" s="56"/>
      <c r="Q4" s="56"/>
    </row>
    <row r="5" spans="1:17">
      <c r="B5" s="56" t="s">
        <v>91</v>
      </c>
      <c r="C5" s="67"/>
      <c r="D5" s="67"/>
      <c r="E5" s="67"/>
      <c r="F5" s="67"/>
      <c r="G5" s="67"/>
      <c r="H5" s="56"/>
      <c r="I5" s="56"/>
      <c r="J5" s="56"/>
      <c r="K5" s="56"/>
      <c r="L5" s="56"/>
      <c r="M5" s="56"/>
      <c r="N5" s="56"/>
      <c r="O5" s="56"/>
      <c r="P5" s="56"/>
      <c r="Q5" s="56"/>
    </row>
    <row r="6" spans="1:17">
      <c r="B6" s="56" t="s">
        <v>92</v>
      </c>
      <c r="C6" s="67"/>
      <c r="D6" s="67"/>
      <c r="E6" s="67"/>
      <c r="F6" s="67"/>
      <c r="G6" s="67"/>
      <c r="H6" s="56"/>
      <c r="I6" s="56"/>
      <c r="J6" s="56"/>
      <c r="K6" s="56"/>
      <c r="L6" s="56"/>
      <c r="M6" s="56"/>
      <c r="N6" s="56"/>
      <c r="O6" s="56"/>
      <c r="P6" s="56"/>
      <c r="Q6" s="56"/>
    </row>
    <row r="7" spans="1:17">
      <c r="B7" s="56" t="s">
        <v>93</v>
      </c>
      <c r="C7" s="67"/>
      <c r="D7" s="67"/>
      <c r="E7" s="67"/>
      <c r="F7" s="67"/>
      <c r="G7" s="67"/>
      <c r="H7" s="56"/>
      <c r="I7" s="56"/>
      <c r="J7" s="56"/>
      <c r="K7" s="56"/>
      <c r="L7" s="56"/>
      <c r="M7" s="56"/>
      <c r="N7" s="56"/>
      <c r="O7" s="56"/>
      <c r="P7" s="56"/>
      <c r="Q7" s="56"/>
    </row>
    <row r="8" spans="1:17">
      <c r="B8" s="56" t="s">
        <v>94</v>
      </c>
      <c r="C8" s="67"/>
      <c r="D8" s="67"/>
      <c r="E8" s="67"/>
      <c r="F8" s="67"/>
      <c r="G8" s="67"/>
      <c r="H8" s="56"/>
      <c r="I8" s="56"/>
      <c r="J8" s="56"/>
      <c r="K8" s="56"/>
      <c r="L8" s="56"/>
      <c r="M8" s="56"/>
      <c r="N8" s="56"/>
      <c r="O8" s="56"/>
      <c r="P8" s="56"/>
      <c r="Q8" s="56"/>
    </row>
    <row r="9" spans="1:17">
      <c r="B9" s="56" t="s">
        <v>95</v>
      </c>
      <c r="C9" s="67"/>
      <c r="D9" s="67"/>
      <c r="E9" s="67"/>
      <c r="F9" s="67"/>
      <c r="G9" s="67"/>
      <c r="H9" s="56"/>
      <c r="I9" s="56"/>
      <c r="J9" s="56"/>
      <c r="K9" s="56"/>
      <c r="L9" s="56"/>
      <c r="M9" s="56"/>
      <c r="N9" s="56"/>
      <c r="O9" s="56"/>
      <c r="P9" s="56"/>
      <c r="Q9" s="56"/>
    </row>
    <row r="10" spans="1:17">
      <c r="B10" s="56"/>
      <c r="C10" s="67"/>
      <c r="D10" s="67"/>
      <c r="E10" s="67"/>
      <c r="F10" s="67"/>
      <c r="G10" s="67"/>
      <c r="H10" s="56"/>
      <c r="I10" s="56"/>
      <c r="J10" s="56"/>
      <c r="K10" s="56"/>
      <c r="L10" s="56"/>
      <c r="M10" s="56"/>
      <c r="N10" s="56"/>
      <c r="O10" s="56"/>
      <c r="P10" s="56"/>
      <c r="Q10" s="56"/>
    </row>
    <row r="11" spans="1:17" ht="15" thickBot="1">
      <c r="B11" s="56"/>
      <c r="C11" s="67"/>
      <c r="D11" s="67"/>
      <c r="E11" s="67"/>
      <c r="F11" s="67"/>
      <c r="G11" s="67"/>
      <c r="H11" s="56"/>
      <c r="I11" s="56"/>
      <c r="J11" s="56"/>
      <c r="K11" s="56"/>
      <c r="L11" s="56"/>
      <c r="M11" s="56"/>
      <c r="N11" s="56"/>
      <c r="O11" s="56"/>
      <c r="P11" s="56"/>
      <c r="Q11" s="56"/>
    </row>
    <row r="12" spans="1:17" ht="90">
      <c r="A12" s="98" t="s">
        <v>152</v>
      </c>
      <c r="B12" s="6"/>
      <c r="C12" s="99" t="s">
        <v>96</v>
      </c>
      <c r="D12" s="99" t="s">
        <v>97</v>
      </c>
      <c r="E12" s="99" t="s">
        <v>98</v>
      </c>
      <c r="F12" s="100" t="s">
        <v>99</v>
      </c>
      <c r="G12" s="107"/>
      <c r="H12" s="6"/>
      <c r="I12" s="6"/>
      <c r="J12" s="6"/>
      <c r="K12" s="6"/>
      <c r="L12" s="6"/>
      <c r="M12" s="6"/>
      <c r="N12" s="6"/>
      <c r="O12" s="7"/>
      <c r="P12" s="56"/>
      <c r="Q12" s="56"/>
    </row>
    <row r="13" spans="1:17">
      <c r="A13" s="102"/>
      <c r="B13" s="82"/>
      <c r="C13" s="52">
        <v>0</v>
      </c>
      <c r="D13" s="84">
        <v>1.61E-2</v>
      </c>
      <c r="E13" s="85">
        <f>D13/SQRT(2)</f>
        <v>1.1384419177103413E-2</v>
      </c>
      <c r="F13" s="89">
        <f t="shared" ref="F13:F19" si="0">SQRT(E13^2-E$13^2)</f>
        <v>0</v>
      </c>
      <c r="G13" s="93"/>
      <c r="H13" s="82"/>
      <c r="I13" s="82"/>
      <c r="J13" s="82"/>
      <c r="K13" s="82"/>
      <c r="L13" s="82"/>
      <c r="M13" s="82"/>
      <c r="N13" s="82"/>
      <c r="O13" s="12"/>
      <c r="P13" t="s">
        <v>254</v>
      </c>
      <c r="Q13" s="56"/>
    </row>
    <row r="14" spans="1:17">
      <c r="A14" s="102"/>
      <c r="B14" s="82"/>
      <c r="C14" s="52">
        <v>0.1</v>
      </c>
      <c r="D14" s="52">
        <v>1.6168999999999999E-2</v>
      </c>
      <c r="E14" s="85">
        <f t="shared" ref="E14:E19" si="1">D14/SQRT(2)</f>
        <v>1.1433209545005285E-2</v>
      </c>
      <c r="F14" s="89">
        <f t="shared" si="0"/>
        <v>1.055121083098999E-3</v>
      </c>
      <c r="G14" s="93"/>
      <c r="H14" s="82"/>
      <c r="I14" s="82"/>
      <c r="J14" s="82"/>
      <c r="K14" s="82"/>
      <c r="L14" s="82"/>
      <c r="M14" s="82"/>
      <c r="N14" s="82"/>
      <c r="O14" s="12"/>
      <c r="P14" t="s">
        <v>251</v>
      </c>
      <c r="Q14" s="56"/>
    </row>
    <row r="15" spans="1:17">
      <c r="A15" s="102"/>
      <c r="B15" s="82"/>
      <c r="C15" s="52">
        <v>0.2</v>
      </c>
      <c r="D15" s="52">
        <v>1.6291E-2</v>
      </c>
      <c r="E15" s="85">
        <f t="shared" si="1"/>
        <v>1.1519476572310046E-2</v>
      </c>
      <c r="F15" s="89">
        <f t="shared" si="0"/>
        <v>1.7587894984903796E-3</v>
      </c>
      <c r="G15" s="93"/>
      <c r="H15" s="82"/>
      <c r="I15" s="82"/>
      <c r="J15" s="82"/>
      <c r="K15" s="82"/>
      <c r="L15" s="82"/>
      <c r="M15" s="82"/>
      <c r="N15" s="82"/>
      <c r="O15" s="12"/>
      <c r="P15" t="s">
        <v>252</v>
      </c>
      <c r="Q15" s="56"/>
    </row>
    <row r="16" spans="1:17">
      <c r="A16" s="102"/>
      <c r="B16" s="82"/>
      <c r="C16" s="68">
        <v>0.3</v>
      </c>
      <c r="D16" s="52">
        <v>1.6462999999999998E-2</v>
      </c>
      <c r="E16" s="85">
        <f t="shared" si="1"/>
        <v>1.1641098938674131E-2</v>
      </c>
      <c r="F16" s="89">
        <f t="shared" si="0"/>
        <v>2.4310871025119657E-3</v>
      </c>
      <c r="G16" s="93"/>
      <c r="H16" s="82"/>
      <c r="I16" s="82"/>
      <c r="J16" s="82"/>
      <c r="K16" s="82"/>
      <c r="L16" s="82"/>
      <c r="M16" s="82"/>
      <c r="N16" s="82"/>
      <c r="O16" s="12"/>
      <c r="P16" t="s">
        <v>253</v>
      </c>
      <c r="Q16" s="56"/>
    </row>
    <row r="17" spans="1:19">
      <c r="A17" s="102"/>
      <c r="B17" s="82"/>
      <c r="C17" s="52">
        <v>0.5</v>
      </c>
      <c r="D17" s="52">
        <v>1.6955999999999999E-2</v>
      </c>
      <c r="E17" s="85">
        <f t="shared" si="1"/>
        <v>1.1989702581799098E-2</v>
      </c>
      <c r="F17" s="89">
        <f t="shared" si="0"/>
        <v>3.7613784707205425E-3</v>
      </c>
      <c r="G17" s="93"/>
      <c r="H17" s="82"/>
      <c r="I17" s="82"/>
      <c r="J17" s="82"/>
      <c r="K17" s="82"/>
      <c r="L17" s="82"/>
      <c r="M17" s="82"/>
      <c r="N17" s="82"/>
      <c r="O17" s="12"/>
      <c r="P17" t="s">
        <v>255</v>
      </c>
      <c r="Q17" s="56"/>
    </row>
    <row r="18" spans="1:19">
      <c r="A18" s="102"/>
      <c r="B18" s="82"/>
      <c r="C18" s="52">
        <v>0.7</v>
      </c>
      <c r="D18" s="52">
        <v>1.763E-2</v>
      </c>
      <c r="E18" s="85">
        <f t="shared" si="1"/>
        <v>1.2466292552318832E-2</v>
      </c>
      <c r="F18" s="89">
        <f t="shared" si="0"/>
        <v>5.0797096373710196E-3</v>
      </c>
      <c r="G18" s="93"/>
      <c r="H18" s="82"/>
      <c r="I18" s="82"/>
      <c r="J18" s="82"/>
      <c r="K18" s="82"/>
      <c r="L18" s="82"/>
      <c r="M18" s="82"/>
      <c r="N18" s="82"/>
      <c r="O18" s="12"/>
      <c r="P18" t="s">
        <v>145</v>
      </c>
      <c r="Q18" s="56"/>
    </row>
    <row r="19" spans="1:19">
      <c r="A19" s="102"/>
      <c r="B19" s="82"/>
      <c r="C19" s="52">
        <v>1</v>
      </c>
      <c r="D19" s="52">
        <v>1.8939999999999999E-2</v>
      </c>
      <c r="E19" s="85">
        <f t="shared" si="1"/>
        <v>1.3392602435673208E-2</v>
      </c>
      <c r="F19" s="89">
        <f t="shared" si="0"/>
        <v>7.0538500125817798E-3</v>
      </c>
      <c r="G19" s="93"/>
      <c r="H19" s="82"/>
      <c r="I19" s="82"/>
      <c r="J19" s="82"/>
      <c r="K19" s="82"/>
      <c r="L19" s="82"/>
      <c r="M19" s="82"/>
      <c r="N19" s="82"/>
      <c r="O19" s="12"/>
      <c r="P19" s="56"/>
      <c r="Q19" s="56"/>
    </row>
    <row r="20" spans="1:19" s="80" customFormat="1">
      <c r="A20" s="102"/>
      <c r="B20" s="82"/>
      <c r="C20" s="52"/>
      <c r="D20" s="52"/>
      <c r="E20" s="85"/>
      <c r="F20" s="89"/>
      <c r="G20" s="93"/>
      <c r="H20" s="82"/>
      <c r="I20" s="82"/>
      <c r="J20" s="82"/>
      <c r="K20" s="82"/>
      <c r="L20" s="82"/>
      <c r="M20" s="82"/>
      <c r="N20" s="82"/>
      <c r="O20" s="12"/>
    </row>
    <row r="21" spans="1:19">
      <c r="A21" s="8"/>
      <c r="B21" s="103" t="s">
        <v>144</v>
      </c>
      <c r="C21" s="52">
        <f>0.08/2</f>
        <v>0.04</v>
      </c>
      <c r="D21" s="52"/>
      <c r="E21" s="52"/>
      <c r="F21" s="90">
        <f>F13+((C21-C13)/(C14-C13))*(F14-F13)</f>
        <v>4.2204843323959959E-4</v>
      </c>
      <c r="G21" s="93"/>
      <c r="H21" s="82"/>
      <c r="I21" s="82"/>
      <c r="J21" s="82"/>
      <c r="K21" s="82"/>
      <c r="L21" s="82"/>
      <c r="M21" s="82"/>
      <c r="N21" s="82"/>
      <c r="O21" s="12"/>
      <c r="P21" s="56"/>
      <c r="Q21" s="56"/>
    </row>
    <row r="22" spans="1:19" s="144" customFormat="1" ht="15" thickBot="1">
      <c r="A22" s="8"/>
      <c r="B22" s="110" t="s">
        <v>275</v>
      </c>
      <c r="C22" s="51">
        <v>7.4999999999999997E-3</v>
      </c>
      <c r="D22" s="51"/>
      <c r="E22" s="51"/>
      <c r="F22" s="170">
        <f>F13+((C22-C13)/(C14-C13))*(F14-F13)</f>
        <v>7.9134081232424926E-5</v>
      </c>
      <c r="G22" s="93"/>
      <c r="H22" s="145"/>
      <c r="I22" s="145"/>
      <c r="J22" s="145"/>
      <c r="K22" s="145"/>
      <c r="L22" s="145"/>
      <c r="M22" s="145"/>
      <c r="N22" s="145"/>
      <c r="O22" s="12"/>
    </row>
    <row r="23" spans="1:19" s="80" customFormat="1" ht="15" thickBot="1">
      <c r="A23" s="9"/>
      <c r="B23" s="110" t="s">
        <v>274</v>
      </c>
      <c r="C23" s="53">
        <v>0.3</v>
      </c>
      <c r="D23" s="53"/>
      <c r="E23" s="53"/>
      <c r="F23" s="111">
        <f>F16+((C23-C16)/(C17-C16))*(F17-F16)</f>
        <v>2.4310871025119657E-3</v>
      </c>
      <c r="G23" s="112"/>
      <c r="H23" s="13"/>
      <c r="I23" s="13"/>
      <c r="J23" s="13"/>
      <c r="K23" s="13"/>
      <c r="L23" s="13"/>
      <c r="M23" s="13"/>
      <c r="N23" s="13"/>
      <c r="O23" s="14"/>
    </row>
    <row r="24" spans="1:19" ht="15" thickBot="1">
      <c r="A24" s="94"/>
      <c r="B24" s="56"/>
      <c r="C24" s="69"/>
      <c r="D24" s="69"/>
      <c r="E24" s="69"/>
      <c r="F24" s="69"/>
      <c r="G24" s="83"/>
      <c r="H24" s="56"/>
      <c r="I24" s="56"/>
      <c r="J24" s="56"/>
      <c r="K24" s="56"/>
      <c r="L24" s="56"/>
      <c r="M24" s="56"/>
      <c r="N24" s="56"/>
      <c r="O24" s="56"/>
      <c r="P24" s="56"/>
      <c r="Q24" s="56"/>
    </row>
    <row r="25" spans="1:19" ht="90">
      <c r="A25" s="98" t="s">
        <v>151</v>
      </c>
      <c r="B25" s="99" t="s">
        <v>100</v>
      </c>
      <c r="C25" s="99" t="s">
        <v>101</v>
      </c>
      <c r="D25" s="99" t="s">
        <v>97</v>
      </c>
      <c r="E25" s="99" t="s">
        <v>98</v>
      </c>
      <c r="F25" s="100" t="s">
        <v>99</v>
      </c>
      <c r="G25" s="107"/>
      <c r="H25" s="6"/>
      <c r="I25" s="6"/>
      <c r="J25" s="6"/>
      <c r="K25" s="6"/>
      <c r="L25" s="6"/>
      <c r="M25" s="6"/>
      <c r="N25" s="6"/>
      <c r="O25" s="7"/>
      <c r="P25" s="56"/>
      <c r="Q25" s="56"/>
    </row>
    <row r="26" spans="1:19">
      <c r="A26" s="102"/>
      <c r="B26" s="30">
        <f>C26*3600</f>
        <v>0</v>
      </c>
      <c r="C26" s="52">
        <v>0</v>
      </c>
      <c r="D26" s="84">
        <v>1.61E-2</v>
      </c>
      <c r="E26" s="85">
        <f>D26/SQRT(2)</f>
        <v>1.1384419177103413E-2</v>
      </c>
      <c r="F26" s="89">
        <f>SQRT(E26^2-E$26^2)</f>
        <v>0</v>
      </c>
      <c r="G26" s="93"/>
      <c r="H26" s="82"/>
      <c r="I26" s="82"/>
      <c r="J26" s="82"/>
      <c r="K26" s="82"/>
      <c r="L26" s="82"/>
      <c r="M26" s="82"/>
      <c r="N26" s="82"/>
      <c r="O26" s="12"/>
      <c r="P26" t="s">
        <v>109</v>
      </c>
      <c r="Q26" s="56"/>
    </row>
    <row r="27" spans="1:19">
      <c r="A27" s="102"/>
      <c r="B27" s="30">
        <f>C27*3600</f>
        <v>18</v>
      </c>
      <c r="C27" s="68">
        <v>5.0000000000000001E-3</v>
      </c>
      <c r="D27" s="84">
        <v>1.6320000000000001E-2</v>
      </c>
      <c r="E27" s="85">
        <f>D27/SQRT(2)</f>
        <v>1.1539982668964456E-2</v>
      </c>
      <c r="F27" s="89">
        <f>SQRT(E27^2-E$26^2)</f>
        <v>1.8884385083978916E-3</v>
      </c>
      <c r="G27" s="93"/>
      <c r="H27" s="82"/>
      <c r="I27" s="82"/>
      <c r="J27" s="82"/>
      <c r="K27" s="82"/>
      <c r="L27" s="82"/>
      <c r="M27" s="82"/>
      <c r="N27" s="82"/>
      <c r="O27" s="12"/>
      <c r="P27" s="56" t="s">
        <v>260</v>
      </c>
      <c r="Q27" s="56"/>
    </row>
    <row r="28" spans="1:19">
      <c r="A28" s="102"/>
      <c r="B28" s="30">
        <f>C28*3600</f>
        <v>25.2</v>
      </c>
      <c r="C28" s="52">
        <v>7.0000000000000001E-3</v>
      </c>
      <c r="D28" s="84">
        <v>1.6480999999999999E-2</v>
      </c>
      <c r="E28" s="85">
        <f>D28/SQRT(2)</f>
        <v>1.1653826860735489E-2</v>
      </c>
      <c r="F28" s="89">
        <f>SQRT(E28^2-E$26^2)</f>
        <v>2.4913210351137044E-3</v>
      </c>
      <c r="G28" s="93"/>
      <c r="H28" s="82"/>
      <c r="I28" s="82"/>
      <c r="J28" s="82"/>
      <c r="K28" s="82"/>
      <c r="L28" s="82"/>
      <c r="M28" s="82"/>
      <c r="N28" s="82"/>
      <c r="O28" s="12"/>
      <c r="P28" s="56" t="s">
        <v>261</v>
      </c>
      <c r="Q28" s="56"/>
    </row>
    <row r="29" spans="1:19">
      <c r="A29" s="102"/>
      <c r="B29" s="30">
        <f>C29*3600</f>
        <v>36</v>
      </c>
      <c r="C29" s="52">
        <v>0.01</v>
      </c>
      <c r="D29" s="52">
        <v>1.6799000000000001E-2</v>
      </c>
      <c r="E29" s="85">
        <f>D29/SQRT(2)</f>
        <v>1.1878686817152812E-2</v>
      </c>
      <c r="F29" s="89">
        <f>SQRT(E29^2-E$26^2)</f>
        <v>3.3908996593824542E-3</v>
      </c>
      <c r="G29" s="93"/>
      <c r="H29" s="82"/>
      <c r="I29" s="82"/>
      <c r="J29" s="82"/>
      <c r="K29" s="82"/>
      <c r="L29" s="82"/>
      <c r="M29" s="82"/>
      <c r="N29" s="82"/>
      <c r="O29" s="12"/>
      <c r="P29" s="80" t="s">
        <v>145</v>
      </c>
      <c r="Q29" s="56"/>
    </row>
    <row r="30" spans="1:19">
      <c r="A30" s="102"/>
      <c r="B30" s="30">
        <f>C30*3600</f>
        <v>54</v>
      </c>
      <c r="C30" s="52">
        <v>1.4999999999999999E-2</v>
      </c>
      <c r="D30" s="52">
        <v>1.7516E-2</v>
      </c>
      <c r="E30" s="85">
        <f>D30/SQRT(2)</f>
        <v>1.2385682379263565E-2</v>
      </c>
      <c r="F30" s="89">
        <f>SQRT(E30^2-E$26^2)</f>
        <v>4.8785374857635367E-3</v>
      </c>
      <c r="G30" s="93"/>
      <c r="H30" s="82"/>
      <c r="I30" s="82"/>
      <c r="J30" s="82"/>
      <c r="K30" s="82"/>
      <c r="L30" s="82"/>
      <c r="M30" s="82"/>
      <c r="N30" s="82"/>
      <c r="O30" s="12"/>
      <c r="P30" s="56"/>
      <c r="Q30" s="56"/>
      <c r="S30" s="71"/>
    </row>
    <row r="31" spans="1:19">
      <c r="A31" s="102"/>
      <c r="B31" s="86"/>
      <c r="C31" s="86"/>
      <c r="D31" s="86"/>
      <c r="E31" s="86"/>
      <c r="F31" s="91"/>
      <c r="G31" s="81"/>
      <c r="H31" s="82"/>
      <c r="I31" s="82"/>
      <c r="J31" s="82"/>
      <c r="K31" s="82"/>
      <c r="L31" s="82"/>
      <c r="M31" s="82"/>
      <c r="N31" s="82"/>
      <c r="O31" s="12"/>
      <c r="P31" s="56"/>
      <c r="Q31" s="56"/>
    </row>
    <row r="32" spans="1:19" s="80" customFormat="1">
      <c r="A32" s="102" t="s">
        <v>144</v>
      </c>
      <c r="B32" s="86">
        <f>3.9/2</f>
        <v>1.95</v>
      </c>
      <c r="C32" s="87"/>
      <c r="D32" s="87"/>
      <c r="E32" s="85"/>
      <c r="F32" s="90">
        <f>F26+((B32-B26)/(B27-B26))*(F27-F26)</f>
        <v>2.0458083840977159E-4</v>
      </c>
      <c r="G32" s="81"/>
      <c r="H32" s="82"/>
      <c r="I32" s="82"/>
      <c r="J32" s="82"/>
      <c r="K32" s="82"/>
      <c r="L32" s="82"/>
      <c r="M32" s="82"/>
      <c r="N32" s="82"/>
      <c r="O32" s="12"/>
    </row>
    <row r="33" spans="1:17" s="144" customFormat="1">
      <c r="A33" s="103" t="s">
        <v>277</v>
      </c>
      <c r="B33" s="86">
        <v>1</v>
      </c>
      <c r="C33" s="87"/>
      <c r="D33" s="87"/>
      <c r="E33" s="85"/>
      <c r="F33" s="90">
        <f>F26+((B33-B26)/(B27-B26))*(F27-F26)</f>
        <v>1.0491325046654952E-4</v>
      </c>
      <c r="G33" s="81"/>
      <c r="H33" s="145"/>
      <c r="I33" s="145"/>
      <c r="J33" s="145"/>
      <c r="K33" s="145"/>
      <c r="L33" s="145"/>
      <c r="M33" s="145"/>
      <c r="N33" s="145"/>
      <c r="O33" s="12"/>
    </row>
    <row r="34" spans="1:17" s="80" customFormat="1">
      <c r="A34" s="102" t="s">
        <v>276</v>
      </c>
      <c r="B34" s="86">
        <v>10</v>
      </c>
      <c r="C34" s="87"/>
      <c r="D34" s="87"/>
      <c r="E34" s="85"/>
      <c r="F34" s="90">
        <f>F26+((B34-B26)/(B27-B26))*(F27-F26)</f>
        <v>1.0491325046654953E-3</v>
      </c>
      <c r="G34" s="81"/>
      <c r="H34" s="82"/>
      <c r="I34" s="82"/>
      <c r="J34" s="82"/>
      <c r="K34" s="82"/>
      <c r="L34" s="82"/>
      <c r="M34" s="82"/>
      <c r="N34" s="82"/>
      <c r="O34" s="12"/>
    </row>
    <row r="35" spans="1:17">
      <c r="A35" s="102"/>
      <c r="B35" s="82"/>
      <c r="C35" s="82"/>
      <c r="D35" s="82"/>
      <c r="E35" s="82"/>
      <c r="F35" s="82"/>
      <c r="G35" s="92"/>
      <c r="H35" s="82"/>
      <c r="I35" s="82"/>
      <c r="J35" s="82"/>
      <c r="K35" s="82"/>
      <c r="L35" s="82"/>
      <c r="M35" s="82"/>
      <c r="N35" s="82"/>
      <c r="O35" s="12"/>
      <c r="P35" s="56"/>
      <c r="Q35" s="56"/>
    </row>
    <row r="36" spans="1:17">
      <c r="A36" s="102"/>
      <c r="B36" s="108" t="s">
        <v>102</v>
      </c>
      <c r="C36" s="92"/>
      <c r="D36" s="92"/>
      <c r="E36" s="92"/>
      <c r="F36" s="92"/>
      <c r="G36" s="92"/>
      <c r="H36" s="82"/>
      <c r="I36" s="82"/>
      <c r="J36" s="82"/>
      <c r="K36" s="82"/>
      <c r="L36" s="82"/>
      <c r="M36" s="82"/>
      <c r="N36" s="82"/>
      <c r="O36" s="12"/>
      <c r="P36" s="56"/>
      <c r="Q36" s="56"/>
    </row>
    <row r="37" spans="1:17">
      <c r="A37" s="102"/>
      <c r="B37" s="82" t="s">
        <v>103</v>
      </c>
      <c r="C37" s="92"/>
      <c r="D37" s="92"/>
      <c r="E37" s="92"/>
      <c r="F37" s="92"/>
      <c r="G37" s="92"/>
      <c r="H37" s="82"/>
      <c r="I37" s="82"/>
      <c r="J37" s="82"/>
      <c r="K37" s="82"/>
      <c r="L37" s="82"/>
      <c r="M37" s="82"/>
      <c r="N37" s="82"/>
      <c r="O37" s="12"/>
      <c r="P37" s="56"/>
      <c r="Q37" s="56"/>
    </row>
    <row r="38" spans="1:17" ht="15" thickBot="1">
      <c r="A38" s="109"/>
      <c r="B38" s="13" t="s">
        <v>104</v>
      </c>
      <c r="C38" s="106"/>
      <c r="D38" s="106"/>
      <c r="E38" s="106"/>
      <c r="F38" s="106"/>
      <c r="G38" s="106"/>
      <c r="H38" s="13"/>
      <c r="I38" s="13"/>
      <c r="J38" s="13"/>
      <c r="K38" s="13"/>
      <c r="L38" s="13"/>
      <c r="M38" s="13"/>
      <c r="N38" s="13"/>
      <c r="O38" s="14"/>
      <c r="P38" s="56"/>
      <c r="Q38" s="56"/>
    </row>
    <row r="39" spans="1:17" ht="15" thickBot="1">
      <c r="A39" s="94"/>
      <c r="B39" s="56"/>
      <c r="C39" s="67"/>
      <c r="D39" s="67"/>
      <c r="E39" s="67"/>
      <c r="F39" s="67"/>
      <c r="G39" s="92"/>
      <c r="H39" s="56"/>
      <c r="I39" s="56"/>
      <c r="J39" s="56"/>
      <c r="K39" s="56"/>
      <c r="L39" s="56"/>
      <c r="M39" s="56"/>
      <c r="N39" s="56"/>
      <c r="O39" s="56"/>
      <c r="P39" s="56"/>
      <c r="Q39" s="56"/>
    </row>
    <row r="40" spans="1:17" s="56" customFormat="1" ht="90">
      <c r="A40" s="98" t="s">
        <v>150</v>
      </c>
      <c r="B40" s="6"/>
      <c r="C40" s="99" t="s">
        <v>125</v>
      </c>
      <c r="D40" s="99" t="s">
        <v>126</v>
      </c>
      <c r="E40" s="99" t="s">
        <v>98</v>
      </c>
      <c r="F40" s="100" t="s">
        <v>127</v>
      </c>
      <c r="G40" s="101"/>
      <c r="H40" s="6"/>
      <c r="I40" s="6"/>
      <c r="J40" s="6"/>
      <c r="K40" s="6"/>
      <c r="L40" s="6"/>
      <c r="M40" s="6"/>
      <c r="N40" s="6"/>
      <c r="O40" s="7"/>
    </row>
    <row r="41" spans="1:17" s="56" customFormat="1">
      <c r="A41" s="102"/>
      <c r="B41" s="82"/>
      <c r="C41" s="52">
        <v>0</v>
      </c>
      <c r="D41" s="95">
        <v>1.61E-2</v>
      </c>
      <c r="E41" s="85">
        <f>D41/SQRT(2)</f>
        <v>1.1384419177103413E-2</v>
      </c>
      <c r="F41" s="85">
        <f>SQRT(E41^2-E$41^2)</f>
        <v>0</v>
      </c>
      <c r="G41" s="83"/>
      <c r="H41" s="82"/>
      <c r="I41" s="82"/>
      <c r="J41" s="82"/>
      <c r="K41" s="82"/>
      <c r="L41" s="82"/>
      <c r="M41" s="82"/>
      <c r="N41" s="82"/>
      <c r="O41" s="12"/>
      <c r="P41" t="s">
        <v>108</v>
      </c>
    </row>
    <row r="42" spans="1:17" s="56" customFormat="1">
      <c r="A42" s="102"/>
      <c r="B42" s="82"/>
      <c r="C42" s="52">
        <v>0.01</v>
      </c>
      <c r="D42" s="87">
        <v>1.6209999999999999E-2</v>
      </c>
      <c r="E42" s="85">
        <f t="shared" ref="E42:E49" si="2">D42/SQRT(2)</f>
        <v>1.1462200923033935E-2</v>
      </c>
      <c r="F42" s="85">
        <f t="shared" ref="F42:F49" si="3">SQRT(E42^2-E$41^2)</f>
        <v>1.3330603887296419E-3</v>
      </c>
      <c r="G42" s="83"/>
      <c r="H42" s="82"/>
      <c r="I42" s="82"/>
      <c r="J42" s="82"/>
      <c r="K42" s="82"/>
      <c r="L42" s="82"/>
      <c r="M42" s="82"/>
      <c r="N42" s="82"/>
      <c r="O42" s="12"/>
      <c r="P42" s="56" t="s">
        <v>256</v>
      </c>
    </row>
    <row r="43" spans="1:17" s="56" customFormat="1">
      <c r="A43" s="102"/>
      <c r="B43" s="82"/>
      <c r="C43" s="68">
        <v>1.7000000000000001E-2</v>
      </c>
      <c r="D43" s="87">
        <v>1.6420000000000001E-2</v>
      </c>
      <c r="E43" s="85">
        <f t="shared" si="2"/>
        <v>1.1610693347083111E-2</v>
      </c>
      <c r="F43" s="96">
        <f t="shared" si="3"/>
        <v>2.281052388701332E-3</v>
      </c>
      <c r="G43" s="83"/>
      <c r="H43" s="82"/>
      <c r="I43" s="82"/>
      <c r="J43" s="82"/>
      <c r="K43" s="82"/>
      <c r="L43" s="82"/>
      <c r="M43" s="82"/>
      <c r="N43" s="82"/>
      <c r="O43" s="12"/>
      <c r="P43" s="56" t="s">
        <v>257</v>
      </c>
    </row>
    <row r="44" spans="1:17" s="56" customFormat="1">
      <c r="A44" s="102"/>
      <c r="B44" s="82"/>
      <c r="C44" s="52">
        <v>0.03</v>
      </c>
      <c r="D44" s="87">
        <v>1.7059999999999999E-2</v>
      </c>
      <c r="E44" s="85">
        <f t="shared" si="2"/>
        <v>1.20632416870425E-2</v>
      </c>
      <c r="F44" s="85">
        <f t="shared" si="3"/>
        <v>3.9895864447333403E-3</v>
      </c>
      <c r="G44" s="83"/>
      <c r="H44" s="82"/>
      <c r="I44" s="82"/>
      <c r="J44" s="82"/>
      <c r="K44" s="82"/>
      <c r="L44" s="82"/>
      <c r="M44" s="82"/>
      <c r="N44" s="82"/>
      <c r="O44" s="12"/>
      <c r="P44" s="56" t="s">
        <v>258</v>
      </c>
    </row>
    <row r="45" spans="1:17" s="56" customFormat="1">
      <c r="A45" s="102"/>
      <c r="B45" s="82"/>
      <c r="C45" s="52">
        <v>4.5999999999999999E-2</v>
      </c>
      <c r="D45" s="87">
        <v>1.8280000000000001E-2</v>
      </c>
      <c r="E45" s="85">
        <f t="shared" si="2"/>
        <v>1.2925911960090089E-2</v>
      </c>
      <c r="F45" s="85">
        <f t="shared" si="3"/>
        <v>6.1216174333259387E-3</v>
      </c>
      <c r="G45" s="83"/>
      <c r="H45" s="82"/>
      <c r="I45" s="82"/>
      <c r="J45" s="82"/>
      <c r="K45" s="82"/>
      <c r="L45" s="82"/>
      <c r="M45" s="82"/>
      <c r="N45" s="82"/>
      <c r="O45" s="12"/>
      <c r="P45" s="56" t="s">
        <v>259</v>
      </c>
    </row>
    <row r="46" spans="1:17" s="56" customFormat="1">
      <c r="A46" s="102"/>
      <c r="B46" s="82"/>
      <c r="C46" s="52">
        <v>0.1</v>
      </c>
      <c r="D46" s="87">
        <v>2.477E-2</v>
      </c>
      <c r="E46" s="85">
        <f t="shared" si="2"/>
        <v>1.7515034969990781E-2</v>
      </c>
      <c r="F46" s="85">
        <f t="shared" si="3"/>
        <v>1.3310576621619366E-2</v>
      </c>
      <c r="G46" s="92"/>
      <c r="H46" s="82"/>
      <c r="I46" s="82"/>
      <c r="J46" s="82"/>
      <c r="K46" s="82"/>
      <c r="L46" s="82"/>
      <c r="M46" s="82"/>
      <c r="N46" s="82"/>
      <c r="O46" s="12"/>
      <c r="P46" s="80" t="s">
        <v>145</v>
      </c>
    </row>
    <row r="47" spans="1:17" s="56" customFormat="1">
      <c r="A47" s="102"/>
      <c r="B47" s="82"/>
      <c r="C47" s="52">
        <v>0.2</v>
      </c>
      <c r="D47" s="87">
        <v>4.095E-2</v>
      </c>
      <c r="E47" s="85">
        <f t="shared" si="2"/>
        <v>2.895602268958912E-2</v>
      </c>
      <c r="F47" s="85">
        <f t="shared" si="3"/>
        <v>2.6624166653625048E-2</v>
      </c>
      <c r="G47" s="92"/>
      <c r="H47" s="82"/>
      <c r="I47" s="82"/>
      <c r="J47" s="82"/>
      <c r="K47" s="82"/>
      <c r="L47" s="82"/>
      <c r="M47" s="82"/>
      <c r="N47" s="82"/>
      <c r="O47" s="12"/>
    </row>
    <row r="48" spans="1:17" s="56" customFormat="1">
      <c r="A48" s="102"/>
      <c r="B48" s="82"/>
      <c r="C48" s="52">
        <v>0.5</v>
      </c>
      <c r="D48" s="87">
        <v>9.5490000000000005E-2</v>
      </c>
      <c r="E48" s="85">
        <f t="shared" si="2"/>
        <v>6.7521626535503421E-2</v>
      </c>
      <c r="F48" s="85">
        <f t="shared" si="3"/>
        <v>6.6554977650060104E-2</v>
      </c>
      <c r="G48" s="92"/>
      <c r="H48" s="82"/>
      <c r="I48" s="82"/>
      <c r="J48" s="82"/>
      <c r="K48" s="82"/>
      <c r="L48" s="82"/>
      <c r="M48" s="82"/>
      <c r="N48" s="82"/>
      <c r="O48" s="12"/>
    </row>
    <row r="49" spans="1:18" s="56" customFormat="1">
      <c r="A49" s="102"/>
      <c r="B49" s="82"/>
      <c r="C49" s="52">
        <v>1</v>
      </c>
      <c r="D49" s="87">
        <v>0.18890000000000001</v>
      </c>
      <c r="E49" s="85">
        <f t="shared" si="2"/>
        <v>0.13357247096613883</v>
      </c>
      <c r="F49" s="85">
        <f t="shared" si="3"/>
        <v>0.13308643807691301</v>
      </c>
      <c r="G49" s="92"/>
      <c r="H49" s="82"/>
      <c r="I49" s="82"/>
      <c r="J49" s="82"/>
      <c r="K49" s="82"/>
      <c r="L49" s="82"/>
      <c r="M49" s="82"/>
      <c r="N49" s="82"/>
      <c r="O49" s="12"/>
    </row>
    <row r="50" spans="1:18" s="56" customFormat="1">
      <c r="A50" s="102"/>
      <c r="B50" s="82"/>
      <c r="C50" s="87"/>
      <c r="D50" s="87"/>
      <c r="E50" s="87"/>
      <c r="F50" s="87"/>
      <c r="G50" s="92"/>
      <c r="H50" s="82"/>
      <c r="I50" s="82"/>
      <c r="J50" s="82"/>
      <c r="K50" s="82"/>
      <c r="L50" s="82"/>
      <c r="M50" s="82"/>
      <c r="N50" s="82"/>
      <c r="O50" s="12"/>
    </row>
    <row r="51" spans="1:18" s="56" customFormat="1">
      <c r="A51" s="8"/>
      <c r="B51" s="103" t="s">
        <v>144</v>
      </c>
      <c r="C51" s="52">
        <f>0.006/2</f>
        <v>3.0000000000000001E-3</v>
      </c>
      <c r="D51" s="52"/>
      <c r="E51" s="52"/>
      <c r="F51" s="88">
        <f>F41+((C51-C41)/(C42-C41))*(F42-F41)</f>
        <v>3.9991811661889252E-4</v>
      </c>
      <c r="G51" s="82"/>
      <c r="H51" s="82"/>
      <c r="I51" s="82"/>
      <c r="J51" s="82"/>
      <c r="K51" s="82"/>
      <c r="L51" s="82"/>
      <c r="M51" s="82"/>
      <c r="N51" s="82"/>
      <c r="O51" s="12"/>
    </row>
    <row r="52" spans="1:18" s="56" customFormat="1">
      <c r="A52" s="8"/>
      <c r="B52" s="103" t="s">
        <v>278</v>
      </c>
      <c r="C52" s="52">
        <v>5.0000000000000001E-3</v>
      </c>
      <c r="D52" s="52"/>
      <c r="E52" s="52"/>
      <c r="F52" s="88">
        <f>F41+((C52-C41)/(C42-C41))*(F42-F41)</f>
        <v>6.6653019436482093E-4</v>
      </c>
      <c r="G52" s="92"/>
      <c r="H52" s="82"/>
      <c r="I52" s="82"/>
      <c r="J52" s="82"/>
      <c r="K52" s="82"/>
      <c r="L52" s="82"/>
      <c r="M52" s="82"/>
      <c r="N52" s="82"/>
      <c r="O52" s="12"/>
    </row>
    <row r="53" spans="1:18" s="56" customFormat="1">
      <c r="A53" s="102"/>
      <c r="B53" s="103" t="s">
        <v>279</v>
      </c>
      <c r="C53" s="87">
        <v>0.03</v>
      </c>
      <c r="D53" s="87"/>
      <c r="E53" s="87"/>
      <c r="F53" s="87">
        <f>F44+((C53-C44)/(C45-C44))*(F45-F44)</f>
        <v>3.9895864447333403E-3</v>
      </c>
      <c r="G53" s="92"/>
      <c r="H53" s="82"/>
      <c r="I53" s="82"/>
      <c r="J53" s="82"/>
      <c r="K53" s="82"/>
      <c r="L53" s="82"/>
      <c r="M53" s="82"/>
      <c r="N53" s="82"/>
      <c r="O53" s="12"/>
    </row>
    <row r="54" spans="1:18" s="56" customFormat="1">
      <c r="A54" s="8"/>
      <c r="B54" s="103" t="s">
        <v>153</v>
      </c>
      <c r="C54" s="97">
        <f>B59</f>
        <v>1.1681279999999999E-2</v>
      </c>
      <c r="D54" s="87"/>
      <c r="E54" s="87"/>
      <c r="F54" s="88">
        <f>F42+((C54-C42)/(C43-C42))*(F43-F42)</f>
        <v>1.5607518158314135E-3</v>
      </c>
      <c r="G54" s="92"/>
      <c r="H54" s="82"/>
      <c r="I54" s="82"/>
      <c r="J54" s="82"/>
      <c r="K54" s="82"/>
      <c r="L54" s="82"/>
      <c r="M54" s="82"/>
      <c r="N54" s="82"/>
      <c r="O54" s="12"/>
    </row>
    <row r="55" spans="1:18" s="80" customFormat="1">
      <c r="A55" s="8"/>
      <c r="B55" s="82"/>
      <c r="C55" s="92"/>
      <c r="D55" s="92"/>
      <c r="E55" s="92"/>
      <c r="F55" s="92"/>
      <c r="G55" s="92"/>
      <c r="H55" s="82"/>
      <c r="I55" s="82"/>
      <c r="J55" s="82"/>
      <c r="K55" s="82"/>
      <c r="L55" s="82"/>
      <c r="M55" s="82"/>
      <c r="N55" s="82"/>
      <c r="O55" s="12"/>
    </row>
    <row r="56" spans="1:18" s="80" customFormat="1">
      <c r="A56" s="8" t="s">
        <v>147</v>
      </c>
      <c r="B56" s="82">
        <v>9.6000000000000002E-2</v>
      </c>
      <c r="C56" s="92"/>
      <c r="D56" s="92"/>
      <c r="E56" s="92"/>
      <c r="F56" s="92"/>
      <c r="G56" s="92"/>
      <c r="H56" s="82"/>
      <c r="I56" s="82"/>
      <c r="J56" s="82"/>
      <c r="K56" s="82"/>
      <c r="L56" s="82"/>
      <c r="M56" s="82"/>
      <c r="N56" s="82"/>
      <c r="O56" s="12"/>
    </row>
    <row r="57" spans="1:18" s="80" customFormat="1">
      <c r="A57" s="8" t="s">
        <v>146</v>
      </c>
      <c r="B57" s="82">
        <v>10.4</v>
      </c>
      <c r="C57" s="92"/>
      <c r="D57" s="92"/>
      <c r="E57" s="92"/>
      <c r="F57" s="92"/>
      <c r="G57" s="92"/>
      <c r="H57" s="82"/>
      <c r="I57" s="82"/>
      <c r="J57" s="82"/>
      <c r="K57" s="82"/>
      <c r="L57" s="82"/>
      <c r="M57" s="82"/>
      <c r="N57" s="82"/>
      <c r="O57" s="12"/>
    </row>
    <row r="58" spans="1:18" s="80" customFormat="1">
      <c r="A58" s="8" t="s">
        <v>149</v>
      </c>
      <c r="B58" s="104">
        <v>1.17E-5</v>
      </c>
      <c r="C58" s="92"/>
      <c r="D58" s="92"/>
      <c r="E58" s="92"/>
      <c r="F58" s="92"/>
      <c r="G58" s="92"/>
      <c r="H58" s="82"/>
      <c r="I58" s="82"/>
      <c r="J58" s="82"/>
      <c r="K58" s="82"/>
      <c r="L58" s="82"/>
      <c r="M58" s="82"/>
      <c r="N58" s="82"/>
      <c r="O58" s="12"/>
    </row>
    <row r="59" spans="1:18" s="56" customFormat="1" ht="15" thickBot="1">
      <c r="A59" s="9" t="s">
        <v>148</v>
      </c>
      <c r="B59" s="105">
        <f>1000*B57*B56*B58</f>
        <v>1.1681279999999999E-2</v>
      </c>
      <c r="C59" s="106"/>
      <c r="D59" s="106"/>
      <c r="E59" s="106"/>
      <c r="F59" s="106"/>
      <c r="G59" s="106"/>
      <c r="H59" s="13"/>
      <c r="I59" s="13"/>
      <c r="J59" s="13"/>
      <c r="K59" s="13"/>
      <c r="L59" s="13"/>
      <c r="M59" s="13"/>
      <c r="N59" s="13"/>
      <c r="O59" s="14"/>
    </row>
    <row r="60" spans="1:18" s="56" customFormat="1">
      <c r="A60" s="80"/>
      <c r="C60" s="67"/>
      <c r="D60" s="67"/>
      <c r="E60" s="67"/>
      <c r="F60" s="67"/>
      <c r="G60" s="67"/>
    </row>
    <row r="61" spans="1:18">
      <c r="B61" t="s">
        <v>106</v>
      </c>
    </row>
    <row r="62" spans="1:18">
      <c r="R62" t="s">
        <v>107</v>
      </c>
    </row>
    <row r="87" spans="2:12" ht="15" thickBot="1"/>
    <row r="88" spans="2:12">
      <c r="B88" s="50" t="s">
        <v>262</v>
      </c>
      <c r="C88" s="6"/>
      <c r="D88" s="6"/>
      <c r="E88" s="6"/>
      <c r="F88" s="6"/>
      <c r="G88" s="6"/>
      <c r="H88" s="6"/>
      <c r="I88" s="6"/>
      <c r="J88" s="6"/>
      <c r="K88" s="6"/>
      <c r="L88" s="7"/>
    </row>
    <row r="89" spans="2:12">
      <c r="B89" s="8" t="s">
        <v>133</v>
      </c>
      <c r="C89" s="145"/>
      <c r="D89" s="145"/>
      <c r="E89" s="145"/>
      <c r="F89" s="145"/>
      <c r="G89" s="145"/>
      <c r="H89" s="145"/>
      <c r="I89" s="145"/>
      <c r="J89" s="145"/>
      <c r="K89" s="145"/>
      <c r="L89" s="12"/>
    </row>
    <row r="90" spans="2:12" s="144" customFormat="1">
      <c r="B90" s="8" t="s">
        <v>249</v>
      </c>
      <c r="C90" s="145"/>
      <c r="D90" s="145"/>
      <c r="E90" s="145"/>
      <c r="F90" s="145"/>
      <c r="G90" s="145"/>
      <c r="H90" s="145"/>
      <c r="I90" s="145"/>
      <c r="J90" s="145"/>
      <c r="K90" s="145"/>
      <c r="L90" s="12"/>
    </row>
    <row r="91" spans="2:12">
      <c r="B91" s="8" t="s">
        <v>250</v>
      </c>
      <c r="C91" s="145"/>
      <c r="D91" s="145"/>
      <c r="E91" s="145"/>
      <c r="F91" s="145"/>
      <c r="G91" s="145"/>
      <c r="H91" s="145"/>
      <c r="I91" s="145"/>
      <c r="J91" s="145"/>
      <c r="K91" s="145"/>
      <c r="L91" s="12"/>
    </row>
    <row r="92" spans="2:12" ht="57.6">
      <c r="B92" s="8"/>
      <c r="C92" s="92" t="s">
        <v>129</v>
      </c>
      <c r="D92" s="92" t="s">
        <v>130</v>
      </c>
      <c r="E92" s="92" t="s">
        <v>131</v>
      </c>
      <c r="F92" s="92" t="s">
        <v>132</v>
      </c>
      <c r="G92" s="145"/>
      <c r="H92" s="145"/>
      <c r="I92" s="145"/>
      <c r="J92" s="145"/>
      <c r="K92" s="145"/>
      <c r="L92" s="12"/>
    </row>
    <row r="93" spans="2:12">
      <c r="B93" s="8"/>
      <c r="C93" s="145">
        <v>-60</v>
      </c>
      <c r="D93" s="145">
        <v>5</v>
      </c>
      <c r="E93" s="145">
        <f>COS(RADIANS(C93+D93))-COS(RADIANS(C93))</f>
        <v>7.3576436351046048E-2</v>
      </c>
      <c r="F93" s="145">
        <f>SIN(RADIANS(C93+D93))-SIN(RADIANS(C93))</f>
        <v>4.6873359495446798E-2</v>
      </c>
      <c r="G93" s="145"/>
      <c r="H93" s="145"/>
      <c r="I93" s="145"/>
      <c r="J93" s="145"/>
      <c r="K93" s="145"/>
      <c r="L93" s="12"/>
    </row>
    <row r="94" spans="2:12">
      <c r="B94" s="8"/>
      <c r="C94" s="145">
        <v>-55</v>
      </c>
      <c r="D94" s="145">
        <v>5</v>
      </c>
      <c r="E94" s="145">
        <f t="shared" ref="E94:E116" si="4">COS(RADIANS(C94+D94))-COS(RADIANS(C94))</f>
        <v>6.9211173335493203E-2</v>
      </c>
      <c r="F94" s="145">
        <f t="shared" ref="F94:F116" si="5">SIN(RADIANS(C94+D94))-SIN(RADIANS(C94))</f>
        <v>5.3107601170013785E-2</v>
      </c>
      <c r="G94" s="145"/>
      <c r="H94" s="145"/>
      <c r="I94" s="145"/>
      <c r="J94" s="145"/>
      <c r="K94" s="145"/>
      <c r="L94" s="12"/>
    </row>
    <row r="95" spans="2:12">
      <c r="B95" s="8"/>
      <c r="C95" s="145">
        <v>-50</v>
      </c>
      <c r="D95" s="145">
        <v>5</v>
      </c>
      <c r="E95" s="145">
        <f t="shared" si="4"/>
        <v>6.431917150000821E-2</v>
      </c>
      <c r="F95" s="145">
        <f t="shared" si="5"/>
        <v>5.8937661932430552E-2</v>
      </c>
      <c r="G95" s="145"/>
      <c r="H95" s="145"/>
      <c r="I95" s="145"/>
      <c r="J95" s="145"/>
      <c r="K95" s="145"/>
      <c r="L95" s="12"/>
    </row>
    <row r="96" spans="2:12">
      <c r="B96" s="8"/>
      <c r="C96" s="145">
        <v>-45</v>
      </c>
      <c r="D96" s="145">
        <v>5</v>
      </c>
      <c r="E96" s="145">
        <f t="shared" si="4"/>
        <v>5.8937661932430441E-2</v>
      </c>
      <c r="F96" s="145">
        <f t="shared" si="5"/>
        <v>6.431917150000821E-2</v>
      </c>
      <c r="G96" s="145"/>
      <c r="H96" s="145"/>
      <c r="I96" s="145"/>
      <c r="J96" s="145"/>
      <c r="K96" s="145"/>
      <c r="L96" s="12"/>
    </row>
    <row r="97" spans="2:12">
      <c r="B97" s="8"/>
      <c r="C97" s="145">
        <v>-40</v>
      </c>
      <c r="D97" s="145">
        <v>5</v>
      </c>
      <c r="E97" s="145">
        <f t="shared" si="4"/>
        <v>5.3107601170013785E-2</v>
      </c>
      <c r="F97" s="145">
        <f t="shared" si="5"/>
        <v>6.9211173335493203E-2</v>
      </c>
      <c r="G97" s="145"/>
      <c r="H97" s="145"/>
      <c r="I97" s="145"/>
      <c r="J97" s="145"/>
      <c r="K97" s="145"/>
      <c r="L97" s="12"/>
    </row>
    <row r="98" spans="2:12">
      <c r="B98" s="8"/>
      <c r="C98" s="145">
        <v>-35</v>
      </c>
      <c r="D98" s="145">
        <v>5</v>
      </c>
      <c r="E98" s="145">
        <f t="shared" si="4"/>
        <v>4.6873359495446909E-2</v>
      </c>
      <c r="F98" s="145">
        <f t="shared" si="5"/>
        <v>7.3576436351046104E-2</v>
      </c>
      <c r="G98" s="145"/>
      <c r="H98" s="145"/>
      <c r="I98" s="145"/>
      <c r="J98" s="145"/>
      <c r="K98" s="145"/>
      <c r="L98" s="12"/>
    </row>
    <row r="99" spans="2:12">
      <c r="B99" s="8"/>
      <c r="C99" s="145">
        <v>-30</v>
      </c>
      <c r="D99" s="145">
        <v>5</v>
      </c>
      <c r="E99" s="145">
        <f t="shared" si="4"/>
        <v>4.0282383252211229E-2</v>
      </c>
      <c r="F99" s="145">
        <f t="shared" si="5"/>
        <v>7.7381738259300503E-2</v>
      </c>
      <c r="G99" s="145"/>
      <c r="H99" s="145"/>
      <c r="I99" s="145"/>
      <c r="J99" s="145"/>
      <c r="K99" s="145"/>
      <c r="L99" s="12"/>
    </row>
    <row r="100" spans="2:12">
      <c r="B100" s="8"/>
      <c r="C100" s="145">
        <v>-25</v>
      </c>
      <c r="D100" s="145">
        <v>5</v>
      </c>
      <c r="E100" s="145">
        <f t="shared" si="4"/>
        <v>3.3384833749258491E-2</v>
      </c>
      <c r="F100" s="145">
        <f t="shared" si="5"/>
        <v>8.0598118415030728E-2</v>
      </c>
      <c r="G100" s="145"/>
      <c r="H100" s="145"/>
      <c r="I100" s="145"/>
      <c r="J100" s="145"/>
      <c r="K100" s="145"/>
      <c r="L100" s="12"/>
    </row>
    <row r="101" spans="2:12">
      <c r="B101" s="8"/>
      <c r="C101" s="145">
        <v>-20</v>
      </c>
      <c r="D101" s="145">
        <v>5</v>
      </c>
      <c r="E101" s="145">
        <f t="shared" si="4"/>
        <v>2.6233205503159884E-2</v>
      </c>
      <c r="F101" s="145">
        <f t="shared" si="5"/>
        <v>8.3201098223147973E-2</v>
      </c>
      <c r="G101" s="145"/>
      <c r="H101" s="145"/>
      <c r="I101" s="145"/>
      <c r="J101" s="145"/>
      <c r="K101" s="145"/>
      <c r="L101" s="12"/>
    </row>
    <row r="102" spans="2:12">
      <c r="B102" s="8"/>
      <c r="C102" s="145">
        <v>-15</v>
      </c>
      <c r="D102" s="145">
        <v>5</v>
      </c>
      <c r="E102" s="145">
        <f t="shared" si="4"/>
        <v>1.8881926723139708E-2</v>
      </c>
      <c r="F102" s="145">
        <f t="shared" si="5"/>
        <v>8.5170867435590408E-2</v>
      </c>
      <c r="G102" s="145"/>
      <c r="H102" s="145"/>
      <c r="I102" s="145"/>
      <c r="J102" s="145"/>
      <c r="K102" s="145"/>
      <c r="L102" s="12"/>
    </row>
    <row r="103" spans="2:12">
      <c r="B103" s="8"/>
      <c r="C103" s="145">
        <v>-10</v>
      </c>
      <c r="D103" s="145">
        <v>5</v>
      </c>
      <c r="E103" s="145">
        <f t="shared" si="4"/>
        <v>1.1386945079537525E-2</v>
      </c>
      <c r="F103" s="145">
        <f t="shared" si="5"/>
        <v>8.6492434919272165E-2</v>
      </c>
      <c r="G103" s="145"/>
      <c r="H103" s="145"/>
      <c r="I103" s="145"/>
      <c r="J103" s="145"/>
      <c r="K103" s="145"/>
      <c r="L103" s="12"/>
    </row>
    <row r="104" spans="2:12">
      <c r="B104" s="8"/>
      <c r="C104" s="145">
        <v>-5</v>
      </c>
      <c r="D104" s="145">
        <v>5</v>
      </c>
      <c r="E104" s="145">
        <f t="shared" si="4"/>
        <v>3.8053019082544548E-3</v>
      </c>
      <c r="F104" s="145">
        <f t="shared" si="5"/>
        <v>8.7155742747658166E-2</v>
      </c>
      <c r="G104" s="145"/>
      <c r="H104" s="145"/>
      <c r="I104" s="145"/>
      <c r="J104" s="145"/>
      <c r="K104" s="145"/>
      <c r="L104" s="12"/>
    </row>
    <row r="105" spans="2:12">
      <c r="B105" s="8"/>
      <c r="C105" s="145">
        <v>0</v>
      </c>
      <c r="D105" s="145">
        <v>5</v>
      </c>
      <c r="E105" s="145">
        <f t="shared" si="4"/>
        <v>-3.8053019082544548E-3</v>
      </c>
      <c r="F105" s="145">
        <f t="shared" si="5"/>
        <v>8.7155742747658166E-2</v>
      </c>
      <c r="G105" s="145"/>
      <c r="H105" s="145"/>
      <c r="I105" s="145"/>
      <c r="J105" s="145"/>
      <c r="K105" s="145"/>
      <c r="L105" s="12"/>
    </row>
    <row r="106" spans="2:12">
      <c r="B106" s="8"/>
      <c r="C106" s="145">
        <v>5</v>
      </c>
      <c r="D106" s="145">
        <v>5</v>
      </c>
      <c r="E106" s="145">
        <f t="shared" si="4"/>
        <v>-1.1386945079537525E-2</v>
      </c>
      <c r="F106" s="145">
        <f t="shared" si="5"/>
        <v>8.6492434919272165E-2</v>
      </c>
      <c r="G106" s="145"/>
      <c r="H106" s="145"/>
      <c r="I106" s="145"/>
      <c r="J106" s="145"/>
      <c r="K106" s="145"/>
      <c r="L106" s="12"/>
    </row>
    <row r="107" spans="2:12">
      <c r="B107" s="8"/>
      <c r="C107" s="145">
        <v>10</v>
      </c>
      <c r="D107" s="145">
        <v>5</v>
      </c>
      <c r="E107" s="145">
        <f t="shared" si="4"/>
        <v>-1.8881926723139708E-2</v>
      </c>
      <c r="F107" s="145">
        <f t="shared" si="5"/>
        <v>8.5170867435590408E-2</v>
      </c>
      <c r="G107" s="145"/>
      <c r="H107" s="145"/>
      <c r="I107" s="145"/>
      <c r="J107" s="145"/>
      <c r="K107" s="145"/>
      <c r="L107" s="12"/>
    </row>
    <row r="108" spans="2:12">
      <c r="B108" s="8"/>
      <c r="C108" s="145">
        <v>15</v>
      </c>
      <c r="D108" s="145">
        <v>5</v>
      </c>
      <c r="E108" s="145">
        <f t="shared" si="4"/>
        <v>-2.6233205503159884E-2</v>
      </c>
      <c r="F108" s="145">
        <f t="shared" si="5"/>
        <v>8.3201098223147973E-2</v>
      </c>
      <c r="G108" s="145"/>
      <c r="H108" s="145"/>
      <c r="I108" s="145"/>
      <c r="J108" s="145"/>
      <c r="K108" s="145"/>
      <c r="L108" s="12"/>
    </row>
    <row r="109" spans="2:12">
      <c r="B109" s="8"/>
      <c r="C109" s="145">
        <v>20</v>
      </c>
      <c r="D109" s="145">
        <v>5</v>
      </c>
      <c r="E109" s="145">
        <f t="shared" si="4"/>
        <v>-3.3384833749258491E-2</v>
      </c>
      <c r="F109" s="145">
        <f t="shared" si="5"/>
        <v>8.0598118415030728E-2</v>
      </c>
      <c r="G109" s="145"/>
      <c r="H109" s="145"/>
      <c r="I109" s="145"/>
      <c r="J109" s="145"/>
      <c r="K109" s="145"/>
      <c r="L109" s="12"/>
    </row>
    <row r="110" spans="2:12">
      <c r="B110" s="8"/>
      <c r="C110" s="145">
        <v>25</v>
      </c>
      <c r="D110" s="145">
        <v>5</v>
      </c>
      <c r="E110" s="145">
        <f t="shared" si="4"/>
        <v>-4.0282383252211229E-2</v>
      </c>
      <c r="F110" s="145">
        <f t="shared" si="5"/>
        <v>7.7381738259300503E-2</v>
      </c>
      <c r="G110" s="145"/>
      <c r="H110" s="145"/>
      <c r="I110" s="145"/>
      <c r="J110" s="145"/>
      <c r="K110" s="145"/>
      <c r="L110" s="12"/>
    </row>
    <row r="111" spans="2:12">
      <c r="B111" s="8"/>
      <c r="C111" s="145">
        <v>30</v>
      </c>
      <c r="D111" s="145">
        <v>5</v>
      </c>
      <c r="E111" s="145">
        <f t="shared" si="4"/>
        <v>-4.6873359495446909E-2</v>
      </c>
      <c r="F111" s="145">
        <f t="shared" si="5"/>
        <v>7.3576436351046104E-2</v>
      </c>
      <c r="G111" s="145"/>
      <c r="H111" s="145"/>
      <c r="I111" s="145"/>
      <c r="J111" s="145"/>
      <c r="K111" s="145"/>
      <c r="L111" s="12"/>
    </row>
    <row r="112" spans="2:12">
      <c r="B112" s="8"/>
      <c r="C112" s="145">
        <v>35</v>
      </c>
      <c r="D112" s="145">
        <v>5</v>
      </c>
      <c r="E112" s="145">
        <f t="shared" si="4"/>
        <v>-5.3107601170013785E-2</v>
      </c>
      <c r="F112" s="145">
        <f t="shared" si="5"/>
        <v>6.9211173335493203E-2</v>
      </c>
      <c r="G112" s="145"/>
      <c r="H112" s="145"/>
      <c r="I112" s="145"/>
      <c r="J112" s="145"/>
      <c r="K112" s="145"/>
      <c r="L112" s="12"/>
    </row>
    <row r="113" spans="2:12">
      <c r="B113" s="8"/>
      <c r="C113" s="145">
        <v>40</v>
      </c>
      <c r="D113" s="145">
        <v>5</v>
      </c>
      <c r="E113" s="145">
        <f t="shared" si="4"/>
        <v>-5.8937661932430441E-2</v>
      </c>
      <c r="F113" s="145">
        <f t="shared" si="5"/>
        <v>6.431917150000821E-2</v>
      </c>
      <c r="G113" s="145"/>
      <c r="H113" s="145"/>
      <c r="I113" s="145"/>
      <c r="J113" s="145"/>
      <c r="K113" s="145"/>
      <c r="L113" s="12"/>
    </row>
    <row r="114" spans="2:12">
      <c r="B114" s="8"/>
      <c r="C114" s="145">
        <v>45</v>
      </c>
      <c r="D114" s="145">
        <v>5</v>
      </c>
      <c r="E114" s="145">
        <f t="shared" si="4"/>
        <v>-6.431917150000821E-2</v>
      </c>
      <c r="F114" s="145">
        <f t="shared" si="5"/>
        <v>5.8937661932430552E-2</v>
      </c>
      <c r="G114" s="145"/>
      <c r="H114" s="145"/>
      <c r="I114" s="145"/>
      <c r="J114" s="145"/>
      <c r="K114" s="145"/>
      <c r="L114" s="12"/>
    </row>
    <row r="115" spans="2:12">
      <c r="B115" s="8"/>
      <c r="C115" s="145">
        <v>50</v>
      </c>
      <c r="D115" s="145">
        <v>5</v>
      </c>
      <c r="E115" s="145">
        <f t="shared" si="4"/>
        <v>-6.9211173335493203E-2</v>
      </c>
      <c r="F115" s="145">
        <f t="shared" si="5"/>
        <v>5.3107601170013785E-2</v>
      </c>
      <c r="G115" s="145"/>
      <c r="H115" s="145"/>
      <c r="I115" s="145"/>
      <c r="J115" s="145"/>
      <c r="K115" s="145"/>
      <c r="L115" s="12"/>
    </row>
    <row r="116" spans="2:12" ht="15" thickBot="1">
      <c r="B116" s="9"/>
      <c r="C116" s="13">
        <v>55</v>
      </c>
      <c r="D116" s="13">
        <v>5</v>
      </c>
      <c r="E116" s="13">
        <f t="shared" si="4"/>
        <v>-7.3576436351046048E-2</v>
      </c>
      <c r="F116" s="13">
        <f t="shared" si="5"/>
        <v>4.6873359495446798E-2</v>
      </c>
      <c r="G116" s="13"/>
      <c r="H116" s="13"/>
      <c r="I116" s="13"/>
      <c r="J116" s="13"/>
      <c r="K116" s="13"/>
      <c r="L116" s="14"/>
    </row>
    <row r="117" spans="2:12">
      <c r="C117" s="56"/>
      <c r="D117" s="56"/>
      <c r="E117" s="56"/>
      <c r="F117" s="56"/>
    </row>
    <row r="118" spans="2:12">
      <c r="C118" s="56"/>
      <c r="D118" s="56"/>
      <c r="E118" s="56"/>
      <c r="F118" s="56"/>
    </row>
    <row r="119" spans="2:12">
      <c r="C119" s="56"/>
      <c r="D119" s="56"/>
      <c r="E119" s="56"/>
      <c r="F119" s="56"/>
    </row>
    <row r="120" spans="2:12">
      <c r="C120" s="56"/>
      <c r="D120" s="56"/>
      <c r="E120" s="56"/>
      <c r="F120" s="56"/>
    </row>
    <row r="121" spans="2:12">
      <c r="C121" s="56"/>
      <c r="D121" s="56"/>
      <c r="E121" s="56"/>
      <c r="F121" s="56"/>
    </row>
    <row r="122" spans="2:12">
      <c r="C122" s="56"/>
      <c r="D122" s="56"/>
      <c r="E122" s="56"/>
      <c r="F122" s="56"/>
    </row>
    <row r="123" spans="2:12">
      <c r="C123" s="56"/>
      <c r="D123" s="56"/>
      <c r="E123" s="56"/>
      <c r="F123" s="56"/>
    </row>
    <row r="124" spans="2:12">
      <c r="D124" s="56"/>
      <c r="E124" s="56"/>
      <c r="F124" s="5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workbookViewId="0">
      <selection activeCell="E10" sqref="E10"/>
    </sheetView>
  </sheetViews>
  <sheetFormatPr defaultColWidth="8.88671875" defaultRowHeight="14.4"/>
  <cols>
    <col min="1" max="16" width="8.88671875" style="144"/>
    <col min="17" max="17" width="11.33203125" style="144" bestFit="1" customWidth="1"/>
    <col min="18" max="18" width="8.88671875" style="144"/>
    <col min="19" max="19" width="12.88671875" style="144" bestFit="1" customWidth="1"/>
    <col min="20" max="24" width="8.88671875" style="144"/>
    <col min="25" max="26" width="12.88671875" style="144" bestFit="1" customWidth="1"/>
    <col min="27" max="31" width="8.88671875" style="144"/>
    <col min="32" max="32" width="12.88671875" style="144" bestFit="1" customWidth="1"/>
    <col min="33" max="33" width="12.33203125" style="144" bestFit="1" customWidth="1"/>
    <col min="34" max="16384" width="8.88671875" style="144"/>
  </cols>
  <sheetData>
    <row r="1" spans="1:13">
      <c r="A1" s="66" t="s">
        <v>299</v>
      </c>
    </row>
    <row r="2" spans="1:13">
      <c r="A2" s="144" t="s">
        <v>347</v>
      </c>
    </row>
    <row r="4" spans="1:13">
      <c r="A4" s="144" t="s">
        <v>300</v>
      </c>
    </row>
    <row r="6" spans="1:13">
      <c r="A6" s="144" t="s">
        <v>301</v>
      </c>
    </row>
    <row r="7" spans="1:13">
      <c r="M7" s="144" t="s">
        <v>348</v>
      </c>
    </row>
    <row r="8" spans="1:13">
      <c r="A8" s="144" t="s">
        <v>302</v>
      </c>
      <c r="J8" s="172" t="s">
        <v>303</v>
      </c>
      <c r="M8" s="144" t="s">
        <v>353</v>
      </c>
    </row>
    <row r="9" spans="1:13">
      <c r="B9" s="144" t="s">
        <v>304</v>
      </c>
      <c r="J9" s="173">
        <f>AF44</f>
        <v>5.9904666733402959E-2</v>
      </c>
      <c r="M9" s="144">
        <f>J9/2</f>
        <v>2.9952333366701479E-2</v>
      </c>
    </row>
    <row r="10" spans="1:13">
      <c r="B10" s="144" t="s">
        <v>305</v>
      </c>
      <c r="E10" s="174">
        <f>2/3600</f>
        <v>5.5555555555555556E-4</v>
      </c>
      <c r="F10" s="144" t="s">
        <v>53</v>
      </c>
      <c r="J10" s="175"/>
      <c r="M10" s="144">
        <f>M14/5</f>
        <v>1.2432445668683813E-2</v>
      </c>
    </row>
    <row r="11" spans="1:13">
      <c r="B11" s="144" t="s">
        <v>306</v>
      </c>
      <c r="J11" s="175"/>
      <c r="M11" s="144">
        <f>M15/3</f>
        <v>0.39096755800629679</v>
      </c>
    </row>
    <row r="12" spans="1:13">
      <c r="A12" s="144" t="s">
        <v>307</v>
      </c>
      <c r="J12" s="175"/>
    </row>
    <row r="13" spans="1:13">
      <c r="B13" s="144" t="s">
        <v>308</v>
      </c>
      <c r="J13" s="173">
        <f>AF74</f>
        <v>0.1796914983011931</v>
      </c>
      <c r="M13" s="144">
        <f>J13/2</f>
        <v>8.9845749150596552E-2</v>
      </c>
    </row>
    <row r="14" spans="1:13">
      <c r="B14" s="144" t="s">
        <v>309</v>
      </c>
      <c r="E14" s="174">
        <f>10/3600</f>
        <v>2.7777777777777779E-3</v>
      </c>
      <c r="F14" s="144" t="s">
        <v>53</v>
      </c>
      <c r="J14" s="173">
        <f>AF88</f>
        <v>0.12432445668683813</v>
      </c>
      <c r="M14" s="144">
        <f>J14/2</f>
        <v>6.2162228343419064E-2</v>
      </c>
    </row>
    <row r="15" spans="1:13">
      <c r="B15" s="144" t="s">
        <v>310</v>
      </c>
      <c r="J15" s="173">
        <f>Y117</f>
        <v>1.7593540110283357</v>
      </c>
      <c r="M15" s="144">
        <f>2/3*J15</f>
        <v>1.1729026740188904</v>
      </c>
    </row>
    <row r="16" spans="1:13">
      <c r="J16" s="173"/>
    </row>
    <row r="17" spans="1:32">
      <c r="A17" s="144" t="s">
        <v>349</v>
      </c>
      <c r="J17" s="173"/>
    </row>
    <row r="18" spans="1:32">
      <c r="B18" s="144" t="s">
        <v>350</v>
      </c>
      <c r="J18" s="173"/>
      <c r="M18" s="144">
        <f>M13*7.5/300</f>
        <v>2.2461437287649138E-3</v>
      </c>
    </row>
    <row r="19" spans="1:32">
      <c r="B19" s="144" t="s">
        <v>351</v>
      </c>
      <c r="E19" s="174">
        <f>1/3600</f>
        <v>2.7777777777777778E-4</v>
      </c>
      <c r="F19" s="144" t="s">
        <v>53</v>
      </c>
      <c r="J19" s="173"/>
      <c r="M19" s="144">
        <f>M14/10</f>
        <v>6.2162228343419067E-3</v>
      </c>
    </row>
    <row r="20" spans="1:32">
      <c r="B20" s="144" t="s">
        <v>352</v>
      </c>
      <c r="J20" s="173"/>
      <c r="M20" s="144">
        <f>M15/6</f>
        <v>0.19548377900314839</v>
      </c>
    </row>
    <row r="21" spans="1:32">
      <c r="J21" s="173"/>
    </row>
    <row r="22" spans="1:32">
      <c r="A22" s="144" t="s">
        <v>354</v>
      </c>
      <c r="J22" s="173"/>
    </row>
    <row r="23" spans="1:32">
      <c r="B23" s="144" t="s">
        <v>355</v>
      </c>
      <c r="M23" s="144">
        <f>M15*12/30</f>
        <v>0.46916106960755616</v>
      </c>
    </row>
    <row r="25" spans="1:32">
      <c r="A25" s="144" t="s">
        <v>311</v>
      </c>
    </row>
    <row r="26" spans="1:32">
      <c r="A26" s="144" t="s">
        <v>312</v>
      </c>
    </row>
    <row r="27" spans="1:32">
      <c r="A27" s="144" t="s">
        <v>313</v>
      </c>
    </row>
    <row r="28" spans="1:32">
      <c r="A28" s="144" t="s">
        <v>314</v>
      </c>
    </row>
    <row r="29" spans="1:32">
      <c r="A29" s="144" t="s">
        <v>315</v>
      </c>
    </row>
    <row r="31" spans="1:32">
      <c r="S31" s="39" t="s">
        <v>316</v>
      </c>
      <c r="T31" s="39"/>
    </row>
    <row r="32" spans="1:32">
      <c r="B32" s="176" t="s">
        <v>190</v>
      </c>
      <c r="C32" s="176" t="s">
        <v>317</v>
      </c>
      <c r="D32" s="176" t="s">
        <v>318</v>
      </c>
      <c r="E32" s="176" t="s">
        <v>319</v>
      </c>
      <c r="F32" s="176" t="s">
        <v>320</v>
      </c>
      <c r="G32" s="176" t="s">
        <v>321</v>
      </c>
      <c r="H32" s="176" t="s">
        <v>322</v>
      </c>
      <c r="I32" s="176" t="s">
        <v>323</v>
      </c>
      <c r="J32" s="176" t="s">
        <v>324</v>
      </c>
      <c r="K32" s="176" t="s">
        <v>325</v>
      </c>
      <c r="L32" s="176" t="s">
        <v>326</v>
      </c>
      <c r="M32" s="176" t="s">
        <v>327</v>
      </c>
      <c r="N32" s="176" t="s">
        <v>328</v>
      </c>
      <c r="P32" s="144" t="s">
        <v>329</v>
      </c>
      <c r="Q32" s="144" t="s">
        <v>330</v>
      </c>
      <c r="S32" s="39" t="s">
        <v>331</v>
      </c>
      <c r="T32" s="39"/>
      <c r="V32" s="39" t="s">
        <v>332</v>
      </c>
      <c r="Y32" s="144" t="s">
        <v>333</v>
      </c>
      <c r="AC32" s="144" t="s">
        <v>334</v>
      </c>
      <c r="AF32" s="144" t="s">
        <v>333</v>
      </c>
    </row>
    <row r="33" spans="2:33">
      <c r="B33" s="176">
        <v>1</v>
      </c>
      <c r="C33" s="176" t="s">
        <v>335</v>
      </c>
      <c r="D33" s="176">
        <v>1</v>
      </c>
      <c r="E33" s="176">
        <v>0</v>
      </c>
      <c r="F33" s="156">
        <v>0</v>
      </c>
      <c r="G33" s="156">
        <v>0</v>
      </c>
      <c r="H33" s="156">
        <v>0</v>
      </c>
      <c r="I33" s="156">
        <v>0</v>
      </c>
      <c r="J33" s="156">
        <v>0</v>
      </c>
      <c r="K33" s="156">
        <v>0</v>
      </c>
      <c r="L33" s="156">
        <v>0</v>
      </c>
      <c r="M33" s="156">
        <v>0</v>
      </c>
      <c r="N33" s="176"/>
      <c r="S33" s="39"/>
      <c r="T33" s="39"/>
    </row>
    <row r="34" spans="2:33">
      <c r="B34" s="176">
        <v>2</v>
      </c>
      <c r="C34" s="176" t="s">
        <v>336</v>
      </c>
      <c r="D34" s="176">
        <v>39</v>
      </c>
      <c r="E34" s="176">
        <v>6</v>
      </c>
      <c r="F34" s="156">
        <v>1</v>
      </c>
      <c r="G34" s="156">
        <v>0</v>
      </c>
      <c r="H34" s="156">
        <v>5</v>
      </c>
      <c r="I34" s="156">
        <v>0</v>
      </c>
      <c r="J34" s="156">
        <v>0</v>
      </c>
      <c r="K34" s="156">
        <v>0</v>
      </c>
      <c r="L34" s="156">
        <v>-1.06331753952724E-3</v>
      </c>
      <c r="M34" s="156">
        <v>0</v>
      </c>
      <c r="N34" s="176"/>
      <c r="P34" s="144">
        <f>L34</f>
        <v>-1.06331753952724E-3</v>
      </c>
      <c r="Q34" s="144">
        <f>L35</f>
        <v>2.89120579329467E-20</v>
      </c>
      <c r="S34" s="39">
        <v>-1.0685203132227701E-3</v>
      </c>
      <c r="T34" s="39">
        <v>1.44560289664733E-19</v>
      </c>
      <c r="V34" s="144">
        <v>-1.0685201993876901E-3</v>
      </c>
      <c r="W34" s="144">
        <v>-0.129119440221027</v>
      </c>
      <c r="Y34" s="144">
        <f t="shared" ref="Y34:Z42" si="0">V34-S34</f>
        <v>1.1383508003413867E-10</v>
      </c>
      <c r="Z34" s="144">
        <f t="shared" si="0"/>
        <v>-0.129119440221027</v>
      </c>
      <c r="AA34" s="144">
        <f t="shared" ref="AA34:AA42" si="1">Z34-$Z$45</f>
        <v>1.1514892026603996E-2</v>
      </c>
      <c r="AC34" s="144">
        <v>-1.0685203152755801E-3</v>
      </c>
      <c r="AD34" s="144">
        <v>5.9904666733403101E-5</v>
      </c>
      <c r="AF34" s="144">
        <f t="shared" ref="AF34:AG42" si="2">AC34-S34</f>
        <v>-2.0528099619471218E-12</v>
      </c>
      <c r="AG34" s="144">
        <f>AD34-T34</f>
        <v>5.9904666733402959E-5</v>
      </c>
    </row>
    <row r="35" spans="2:33">
      <c r="B35" s="176">
        <v>3</v>
      </c>
      <c r="C35" s="176" t="s">
        <v>337</v>
      </c>
      <c r="D35" s="176">
        <v>39</v>
      </c>
      <c r="E35" s="176">
        <v>6</v>
      </c>
      <c r="F35" s="156">
        <v>1</v>
      </c>
      <c r="G35" s="156">
        <v>0</v>
      </c>
      <c r="H35" s="156">
        <v>5</v>
      </c>
      <c r="I35" s="156">
        <v>0</v>
      </c>
      <c r="J35" s="156">
        <v>0</v>
      </c>
      <c r="K35" s="156">
        <v>0</v>
      </c>
      <c r="L35" s="156">
        <v>2.89120579329467E-20</v>
      </c>
      <c r="M35" s="156">
        <v>0</v>
      </c>
      <c r="N35" s="176"/>
      <c r="P35" s="144">
        <f>L36</f>
        <v>-8.8515828706829495E-4</v>
      </c>
      <c r="Q35" s="144">
        <f>L37</f>
        <v>196.50643858503301</v>
      </c>
      <c r="S35" s="39">
        <v>-8.9041109884048096E-4</v>
      </c>
      <c r="T35" s="39">
        <v>196.507137289246</v>
      </c>
      <c r="V35" s="144">
        <v>-8.9061686175461905E-4</v>
      </c>
      <c r="W35" s="144">
        <v>196.373795182447</v>
      </c>
      <c r="Y35" s="144">
        <f t="shared" si="0"/>
        <v>-2.0576291413808897E-7</v>
      </c>
      <c r="Z35" s="144">
        <f t="shared" si="0"/>
        <v>-0.13334210679900593</v>
      </c>
      <c r="AA35" s="144">
        <f t="shared" si="1"/>
        <v>7.2922254486250671E-3</v>
      </c>
      <c r="AC35" s="144">
        <v>-8.9045555326959101E-4</v>
      </c>
      <c r="AD35" s="144">
        <v>196.507137682685</v>
      </c>
      <c r="AF35" s="144">
        <f t="shared" si="2"/>
        <v>-4.4454429110052374E-8</v>
      </c>
      <c r="AG35" s="144">
        <f t="shared" si="2"/>
        <v>3.9343899516097736E-7</v>
      </c>
    </row>
    <row r="36" spans="2:33">
      <c r="B36" s="176">
        <v>4</v>
      </c>
      <c r="C36" s="176" t="s">
        <v>336</v>
      </c>
      <c r="D36" s="176">
        <v>39</v>
      </c>
      <c r="E36" s="176">
        <v>6</v>
      </c>
      <c r="F36" s="156">
        <v>2</v>
      </c>
      <c r="G36" s="156">
        <v>0</v>
      </c>
      <c r="H36" s="156">
        <v>5</v>
      </c>
      <c r="I36" s="156">
        <v>0</v>
      </c>
      <c r="J36" s="156">
        <v>0</v>
      </c>
      <c r="K36" s="156">
        <v>0</v>
      </c>
      <c r="L36" s="156">
        <v>-8.8515828706829495E-4</v>
      </c>
      <c r="M36" s="156">
        <v>0</v>
      </c>
      <c r="N36" s="176"/>
      <c r="P36" s="144">
        <f>L38</f>
        <v>-9.6567920863893002E-4</v>
      </c>
      <c r="Q36" s="144">
        <f>L39</f>
        <v>405.89644874648002</v>
      </c>
      <c r="S36" s="39">
        <v>-9.7108973077433196E-4</v>
      </c>
      <c r="T36" s="39">
        <v>405.89820237018102</v>
      </c>
      <c r="V36" s="144">
        <v>-9.7067971895304695E-4</v>
      </c>
      <c r="W36" s="144">
        <v>405.75170237712501</v>
      </c>
      <c r="Y36" s="144">
        <f t="shared" si="0"/>
        <v>4.100118212850036E-7</v>
      </c>
      <c r="Z36" s="144">
        <f t="shared" si="0"/>
        <v>-0.14649999305601114</v>
      </c>
      <c r="AA36" s="39">
        <f t="shared" si="1"/>
        <v>-5.8656608083801354E-3</v>
      </c>
      <c r="AC36" s="144">
        <v>-9.7115811498931599E-4</v>
      </c>
      <c r="AD36" s="144">
        <v>405.89820237017898</v>
      </c>
      <c r="AF36" s="144">
        <f t="shared" si="2"/>
        <v>-6.8384214984033506E-8</v>
      </c>
      <c r="AG36" s="144">
        <f t="shared" si="2"/>
        <v>-2.0463630789890885E-12</v>
      </c>
    </row>
    <row r="37" spans="2:33">
      <c r="B37" s="176">
        <v>5</v>
      </c>
      <c r="C37" s="176" t="s">
        <v>337</v>
      </c>
      <c r="D37" s="176">
        <v>39</v>
      </c>
      <c r="E37" s="176">
        <v>6</v>
      </c>
      <c r="F37" s="156">
        <v>2</v>
      </c>
      <c r="G37" s="156">
        <v>0</v>
      </c>
      <c r="H37" s="156">
        <v>5</v>
      </c>
      <c r="I37" s="156">
        <v>0</v>
      </c>
      <c r="J37" s="156">
        <v>0</v>
      </c>
      <c r="K37" s="156">
        <v>0</v>
      </c>
      <c r="L37" s="156">
        <v>196.50643858503301</v>
      </c>
      <c r="M37" s="156">
        <v>0</v>
      </c>
      <c r="N37" s="176"/>
      <c r="P37" s="144">
        <f>L40</f>
        <v>-8.8515828706829495E-4</v>
      </c>
      <c r="Q37" s="144">
        <f>L41</f>
        <v>-196.50643858503301</v>
      </c>
      <c r="S37" s="39">
        <v>-8.9041109884048096E-4</v>
      </c>
      <c r="T37" s="39">
        <v>-196.507137289246</v>
      </c>
      <c r="V37" s="144">
        <v>-8.9020528217418596E-4</v>
      </c>
      <c r="W37" s="144">
        <v>-196.640485022164</v>
      </c>
      <c r="Y37" s="144">
        <f t="shared" si="0"/>
        <v>2.0581666629500284E-7</v>
      </c>
      <c r="Z37" s="144">
        <f t="shared" si="0"/>
        <v>-0.13334773291799706</v>
      </c>
      <c r="AA37" s="144">
        <f t="shared" si="1"/>
        <v>7.286599329633936E-3</v>
      </c>
      <c r="AC37" s="144">
        <v>-8.9036664836121299E-4</v>
      </c>
      <c r="AD37" s="144">
        <v>-196.50713691385701</v>
      </c>
      <c r="AF37" s="144">
        <f t="shared" si="2"/>
        <v>4.4450479267971361E-8</v>
      </c>
      <c r="AG37" s="144">
        <f t="shared" si="2"/>
        <v>3.7538899277933524E-7</v>
      </c>
    </row>
    <row r="38" spans="2:33">
      <c r="B38" s="176">
        <v>6</v>
      </c>
      <c r="C38" s="176" t="s">
        <v>336</v>
      </c>
      <c r="D38" s="176">
        <v>39</v>
      </c>
      <c r="E38" s="176">
        <v>6</v>
      </c>
      <c r="F38" s="156">
        <v>3</v>
      </c>
      <c r="G38" s="156">
        <v>0</v>
      </c>
      <c r="H38" s="156">
        <v>5</v>
      </c>
      <c r="I38" s="156">
        <v>0</v>
      </c>
      <c r="J38" s="156">
        <v>0</v>
      </c>
      <c r="K38" s="156">
        <v>0</v>
      </c>
      <c r="L38" s="156">
        <v>-9.6567920863893002E-4</v>
      </c>
      <c r="M38" s="156">
        <v>0</v>
      </c>
      <c r="N38" s="176"/>
      <c r="P38" s="144">
        <f>L42</f>
        <v>-9.6567920863892796E-4</v>
      </c>
      <c r="Q38" s="144">
        <f>L43</f>
        <v>-405.89644874648002</v>
      </c>
      <c r="S38" s="39">
        <v>-9.7108973077433196E-4</v>
      </c>
      <c r="T38" s="39">
        <v>-405.89820237018102</v>
      </c>
      <c r="V38" s="144">
        <v>-9.71501081883698E-4</v>
      </c>
      <c r="W38" s="144">
        <v>-406.04471442341003</v>
      </c>
      <c r="Y38" s="144">
        <f t="shared" si="0"/>
        <v>-4.1135110936604824E-7</v>
      </c>
      <c r="Z38" s="144">
        <f t="shared" si="0"/>
        <v>-0.14651205322900296</v>
      </c>
      <c r="AA38" s="39">
        <f t="shared" si="1"/>
        <v>-5.8777209813719589E-3</v>
      </c>
      <c r="AC38" s="144">
        <v>-9.7102135305401503E-4</v>
      </c>
      <c r="AD38" s="144">
        <v>-405.898202422895</v>
      </c>
      <c r="AF38" s="144">
        <f t="shared" si="2"/>
        <v>6.8377720316924705E-8</v>
      </c>
      <c r="AG38" s="144">
        <f t="shared" si="2"/>
        <v>-5.2713971854245756E-8</v>
      </c>
    </row>
    <row r="39" spans="2:33">
      <c r="B39" s="176">
        <v>7</v>
      </c>
      <c r="C39" s="176" t="s">
        <v>337</v>
      </c>
      <c r="D39" s="176">
        <v>39</v>
      </c>
      <c r="E39" s="176">
        <v>6</v>
      </c>
      <c r="F39" s="156">
        <v>3</v>
      </c>
      <c r="G39" s="156">
        <v>0</v>
      </c>
      <c r="H39" s="156">
        <v>5</v>
      </c>
      <c r="I39" s="156">
        <v>0</v>
      </c>
      <c r="J39" s="156">
        <v>0</v>
      </c>
      <c r="K39" s="156">
        <v>0</v>
      </c>
      <c r="L39" s="156">
        <v>405.89644874648002</v>
      </c>
      <c r="M39" s="156">
        <v>0</v>
      </c>
      <c r="N39" s="176"/>
      <c r="P39" s="144">
        <f>L44</f>
        <v>196.50718907144699</v>
      </c>
      <c r="Q39" s="144">
        <f>L45</f>
        <v>2.7105054312137599E-20</v>
      </c>
      <c r="S39" s="39">
        <v>196.507882432234</v>
      </c>
      <c r="T39" s="39">
        <v>0</v>
      </c>
      <c r="V39" s="144">
        <v>196.50788336775801</v>
      </c>
      <c r="W39" s="144">
        <v>-0.13055234279876499</v>
      </c>
      <c r="Y39" s="144">
        <f t="shared" si="0"/>
        <v>9.3552401381202799E-7</v>
      </c>
      <c r="Z39" s="144">
        <f t="shared" si="0"/>
        <v>-0.13055234279876499</v>
      </c>
      <c r="AA39" s="144">
        <f t="shared" si="1"/>
        <v>1.0081989448866013E-2</v>
      </c>
      <c r="AC39" s="144">
        <v>196.50788243675899</v>
      </c>
      <c r="AD39" s="144">
        <v>1.5538748836553E-6</v>
      </c>
      <c r="AF39" s="144">
        <f t="shared" si="2"/>
        <v>4.5249919367051916E-9</v>
      </c>
      <c r="AG39" s="144">
        <f t="shared" si="2"/>
        <v>1.5538748836553E-6</v>
      </c>
    </row>
    <row r="40" spans="2:33">
      <c r="B40" s="176">
        <v>8</v>
      </c>
      <c r="C40" s="176" t="s">
        <v>336</v>
      </c>
      <c r="D40" s="176">
        <v>39</v>
      </c>
      <c r="E40" s="176">
        <v>6</v>
      </c>
      <c r="F40" s="156">
        <v>4</v>
      </c>
      <c r="G40" s="156">
        <v>0</v>
      </c>
      <c r="H40" s="156">
        <v>5</v>
      </c>
      <c r="I40" s="156">
        <v>0</v>
      </c>
      <c r="J40" s="156">
        <v>0</v>
      </c>
      <c r="K40" s="156">
        <v>0</v>
      </c>
      <c r="L40" s="156">
        <v>-8.8515828706829495E-4</v>
      </c>
      <c r="M40" s="156">
        <v>0</v>
      </c>
      <c r="N40" s="176"/>
      <c r="P40" s="144">
        <f>L46</f>
        <v>405.90171328735499</v>
      </c>
      <c r="Q40" s="144">
        <f>L47</f>
        <v>0</v>
      </c>
      <c r="S40" s="39">
        <v>405.903461182265</v>
      </c>
      <c r="T40" s="39">
        <v>-5.6876179540223102E-20</v>
      </c>
      <c r="V40" s="144">
        <v>405.90346313980501</v>
      </c>
      <c r="W40" s="144">
        <v>-0.134764733637773</v>
      </c>
      <c r="Y40" s="144">
        <f t="shared" si="0"/>
        <v>1.9575400074245408E-6</v>
      </c>
      <c r="Z40" s="144">
        <f t="shared" si="0"/>
        <v>-0.134764733637773</v>
      </c>
      <c r="AA40" s="39">
        <f t="shared" si="1"/>
        <v>5.8695986098580011E-3</v>
      </c>
      <c r="AC40" s="144">
        <v>405.903461192404</v>
      </c>
      <c r="AD40" s="144">
        <v>4.2813407545772498E-5</v>
      </c>
      <c r="AF40" s="144">
        <f t="shared" si="2"/>
        <v>1.0138990091945743E-8</v>
      </c>
      <c r="AG40" s="144">
        <f t="shared" si="2"/>
        <v>4.2813407545772552E-5</v>
      </c>
    </row>
    <row r="41" spans="2:33">
      <c r="B41" s="176">
        <v>9</v>
      </c>
      <c r="C41" s="176" t="s">
        <v>337</v>
      </c>
      <c r="D41" s="176">
        <v>39</v>
      </c>
      <c r="E41" s="176">
        <v>6</v>
      </c>
      <c r="F41" s="156">
        <v>4</v>
      </c>
      <c r="G41" s="156">
        <v>0</v>
      </c>
      <c r="H41" s="156">
        <v>5</v>
      </c>
      <c r="I41" s="156">
        <v>0</v>
      </c>
      <c r="J41" s="156">
        <v>0</v>
      </c>
      <c r="K41" s="156">
        <v>0</v>
      </c>
      <c r="L41" s="156">
        <v>-196.50643858503301</v>
      </c>
      <c r="M41" s="156">
        <v>0</v>
      </c>
      <c r="N41" s="176"/>
      <c r="P41" s="144">
        <f>L48</f>
        <v>-196.505722841477</v>
      </c>
      <c r="Q41" s="144">
        <f>L49</f>
        <v>2.7105054312137599E-20</v>
      </c>
      <c r="S41" s="39">
        <v>-196.50642688905299</v>
      </c>
      <c r="T41" s="39">
        <v>0</v>
      </c>
      <c r="V41" s="144">
        <v>-196.50642782441</v>
      </c>
      <c r="W41" s="144">
        <v>-0.13055010034709399</v>
      </c>
      <c r="Y41" s="144">
        <f t="shared" si="0"/>
        <v>-9.3535700784741493E-7</v>
      </c>
      <c r="Z41" s="144">
        <f t="shared" si="0"/>
        <v>-0.13055010034709399</v>
      </c>
      <c r="AA41" s="144">
        <f t="shared" si="1"/>
        <v>1.0084231900537005E-2</v>
      </c>
      <c r="AC41" s="144">
        <v>-196.50642689358099</v>
      </c>
      <c r="AD41" s="144">
        <v>1.62905710869284E-6</v>
      </c>
      <c r="AF41" s="144">
        <f t="shared" si="2"/>
        <v>-4.5280046379048144E-9</v>
      </c>
      <c r="AG41" s="144">
        <f t="shared" si="2"/>
        <v>1.62905710869284E-6</v>
      </c>
    </row>
    <row r="42" spans="2:33">
      <c r="B42" s="176">
        <v>10</v>
      </c>
      <c r="C42" s="176" t="s">
        <v>336</v>
      </c>
      <c r="D42" s="176">
        <v>39</v>
      </c>
      <c r="E42" s="176">
        <v>6</v>
      </c>
      <c r="F42" s="156">
        <v>5</v>
      </c>
      <c r="G42" s="156">
        <v>0</v>
      </c>
      <c r="H42" s="156">
        <v>5</v>
      </c>
      <c r="I42" s="156">
        <v>0</v>
      </c>
      <c r="J42" s="156">
        <v>0</v>
      </c>
      <c r="K42" s="156">
        <v>0</v>
      </c>
      <c r="L42" s="156">
        <v>-9.6567920863892796E-4</v>
      </c>
      <c r="M42" s="156">
        <v>0</v>
      </c>
      <c r="N42" s="176"/>
      <c r="P42" s="144">
        <f>L50</f>
        <v>-405.89125462248597</v>
      </c>
      <c r="Q42" s="144">
        <f>L51</f>
        <v>-9.9533314195390501E-20</v>
      </c>
      <c r="S42" s="39">
        <v>-405.893013976497</v>
      </c>
      <c r="T42" s="39">
        <v>1.5196604220903301E-19</v>
      </c>
      <c r="V42" s="144">
        <v>-405.89301593450898</v>
      </c>
      <c r="W42" s="144">
        <v>-0.13476054906773699</v>
      </c>
      <c r="Y42" s="144">
        <f t="shared" si="0"/>
        <v>-1.9580119783313421E-6</v>
      </c>
      <c r="Z42" s="144">
        <f t="shared" si="0"/>
        <v>-0.13476054906773699</v>
      </c>
      <c r="AA42" s="39">
        <f t="shared" si="1"/>
        <v>5.8737831798940099E-3</v>
      </c>
      <c r="AC42" s="144">
        <v>-405.89301398664497</v>
      </c>
      <c r="AD42" s="144">
        <v>4.2892394336041002E-5</v>
      </c>
      <c r="AF42" s="144">
        <f t="shared" si="2"/>
        <v>-1.0147971352125751E-8</v>
      </c>
      <c r="AG42" s="144">
        <f t="shared" si="2"/>
        <v>4.2892394336040853E-5</v>
      </c>
    </row>
    <row r="43" spans="2:33">
      <c r="B43" s="176">
        <v>11</v>
      </c>
      <c r="C43" s="176" t="s">
        <v>337</v>
      </c>
      <c r="D43" s="176">
        <v>39</v>
      </c>
      <c r="E43" s="176">
        <v>6</v>
      </c>
      <c r="F43" s="156">
        <v>5</v>
      </c>
      <c r="G43" s="156">
        <v>0</v>
      </c>
      <c r="H43" s="156">
        <v>5</v>
      </c>
      <c r="I43" s="156">
        <v>0</v>
      </c>
      <c r="J43" s="156">
        <v>0</v>
      </c>
      <c r="K43" s="156">
        <v>0</v>
      </c>
      <c r="L43" s="156">
        <v>-405.89644874648002</v>
      </c>
      <c r="M43" s="156">
        <v>0</v>
      </c>
      <c r="N43" s="176"/>
    </row>
    <row r="44" spans="2:33">
      <c r="B44" s="176">
        <v>12</v>
      </c>
      <c r="C44" s="176" t="s">
        <v>336</v>
      </c>
      <c r="D44" s="176">
        <v>39</v>
      </c>
      <c r="E44" s="176">
        <v>6</v>
      </c>
      <c r="F44" s="156">
        <v>6</v>
      </c>
      <c r="G44" s="156">
        <v>0</v>
      </c>
      <c r="H44" s="156">
        <v>5</v>
      </c>
      <c r="I44" s="156">
        <v>0</v>
      </c>
      <c r="J44" s="156">
        <v>0</v>
      </c>
      <c r="K44" s="156">
        <v>0</v>
      </c>
      <c r="L44" s="156">
        <v>196.50718907144699</v>
      </c>
      <c r="M44" s="156">
        <v>0</v>
      </c>
      <c r="N44" s="176"/>
      <c r="Z44" s="144" t="s">
        <v>338</v>
      </c>
      <c r="AF44" s="177">
        <f>1000*MAX(ABS(MAX(AF34:AG42)),ABS(MIN(AF34:AG42)))</f>
        <v>5.9904666733402959E-2</v>
      </c>
      <c r="AG44" s="144" t="s">
        <v>339</v>
      </c>
    </row>
    <row r="45" spans="2:33">
      <c r="B45" s="176">
        <v>13</v>
      </c>
      <c r="C45" s="176" t="s">
        <v>337</v>
      </c>
      <c r="D45" s="176">
        <v>39</v>
      </c>
      <c r="E45" s="176">
        <v>6</v>
      </c>
      <c r="F45" s="156">
        <v>6</v>
      </c>
      <c r="G45" s="156">
        <v>0</v>
      </c>
      <c r="H45" s="156">
        <v>5</v>
      </c>
      <c r="I45" s="156">
        <v>0</v>
      </c>
      <c r="J45" s="156">
        <v>0</v>
      </c>
      <c r="K45" s="156">
        <v>0</v>
      </c>
      <c r="L45" s="156">
        <v>2.7105054312137599E-20</v>
      </c>
      <c r="M45" s="156">
        <v>0</v>
      </c>
      <c r="N45" s="176"/>
      <c r="Z45" s="144">
        <f>AVERAGE(Z36,Z38,Z40,Z42)</f>
        <v>-0.140634332247631</v>
      </c>
    </row>
    <row r="46" spans="2:33">
      <c r="B46" s="176">
        <v>14</v>
      </c>
      <c r="C46" s="176" t="s">
        <v>336</v>
      </c>
      <c r="D46" s="176">
        <v>39</v>
      </c>
      <c r="E46" s="176">
        <v>6</v>
      </c>
      <c r="F46" s="156">
        <v>7</v>
      </c>
      <c r="G46" s="156">
        <v>0</v>
      </c>
      <c r="H46" s="156">
        <v>5</v>
      </c>
      <c r="I46" s="156">
        <v>0</v>
      </c>
      <c r="J46" s="156">
        <v>0</v>
      </c>
      <c r="K46" s="156">
        <v>0</v>
      </c>
      <c r="L46" s="156">
        <v>405.90171328735499</v>
      </c>
      <c r="M46" s="156">
        <v>0</v>
      </c>
      <c r="N46" s="176"/>
    </row>
    <row r="47" spans="2:33">
      <c r="B47" s="176">
        <v>15</v>
      </c>
      <c r="C47" s="176" t="s">
        <v>337</v>
      </c>
      <c r="D47" s="176">
        <v>39</v>
      </c>
      <c r="E47" s="176">
        <v>6</v>
      </c>
      <c r="F47" s="156">
        <v>7</v>
      </c>
      <c r="G47" s="156">
        <v>0</v>
      </c>
      <c r="H47" s="156">
        <v>5</v>
      </c>
      <c r="I47" s="156">
        <v>0</v>
      </c>
      <c r="J47" s="156">
        <v>0</v>
      </c>
      <c r="K47" s="156">
        <v>0</v>
      </c>
      <c r="L47" s="156">
        <v>0</v>
      </c>
      <c r="M47" s="156">
        <v>0</v>
      </c>
      <c r="N47" s="176"/>
      <c r="V47" s="39" t="s">
        <v>340</v>
      </c>
      <c r="AF47" s="144" t="s">
        <v>333</v>
      </c>
    </row>
    <row r="48" spans="2:33">
      <c r="B48" s="176">
        <v>16</v>
      </c>
      <c r="C48" s="176" t="s">
        <v>336</v>
      </c>
      <c r="D48" s="176">
        <v>39</v>
      </c>
      <c r="E48" s="176">
        <v>6</v>
      </c>
      <c r="F48" s="156">
        <v>8</v>
      </c>
      <c r="G48" s="156">
        <v>0</v>
      </c>
      <c r="H48" s="156">
        <v>5</v>
      </c>
      <c r="I48" s="156">
        <v>0</v>
      </c>
      <c r="J48" s="156">
        <v>0</v>
      </c>
      <c r="K48" s="156">
        <v>0</v>
      </c>
      <c r="L48" s="156">
        <v>-196.505722841477</v>
      </c>
      <c r="M48" s="156">
        <v>0</v>
      </c>
      <c r="N48" s="176"/>
    </row>
    <row r="49" spans="2:33">
      <c r="B49" s="176">
        <v>17</v>
      </c>
      <c r="C49" s="176" t="s">
        <v>337</v>
      </c>
      <c r="D49" s="176">
        <v>39</v>
      </c>
      <c r="E49" s="176">
        <v>6</v>
      </c>
      <c r="F49" s="156">
        <v>8</v>
      </c>
      <c r="G49" s="156">
        <v>0</v>
      </c>
      <c r="H49" s="156">
        <v>5</v>
      </c>
      <c r="I49" s="156">
        <v>0</v>
      </c>
      <c r="J49" s="156">
        <v>0</v>
      </c>
      <c r="K49" s="156">
        <v>0</v>
      </c>
      <c r="L49" s="156">
        <v>2.7105054312137599E-20</v>
      </c>
      <c r="M49" s="156">
        <v>0</v>
      </c>
      <c r="N49" s="176"/>
      <c r="V49" s="144">
        <v>-0.130187973831</v>
      </c>
      <c r="W49" s="144">
        <v>0</v>
      </c>
      <c r="Y49" s="144">
        <f t="shared" ref="Y49:Z57" si="3">V49-S34</f>
        <v>-0.12911945351777723</v>
      </c>
      <c r="Z49" s="144">
        <f t="shared" si="3"/>
        <v>-1.44560289664733E-19</v>
      </c>
      <c r="AA49" s="144">
        <f>Y49-$Y$60</f>
        <v>1.1514886561216381E-2</v>
      </c>
      <c r="AC49" s="144">
        <v>-1.00860911402563E-3</v>
      </c>
      <c r="AD49" s="144">
        <v>2.89120579329467E-20</v>
      </c>
      <c r="AF49" s="144">
        <f>AC49-S34</f>
        <v>5.9911199197140068E-5</v>
      </c>
      <c r="AG49" s="144">
        <f>AD49-T34</f>
        <v>-1.156482317317863E-19</v>
      </c>
    </row>
    <row r="50" spans="2:33">
      <c r="B50" s="176">
        <v>18</v>
      </c>
      <c r="C50" s="176" t="s">
        <v>336</v>
      </c>
      <c r="D50" s="176">
        <v>39</v>
      </c>
      <c r="E50" s="176">
        <v>6</v>
      </c>
      <c r="F50" s="156">
        <v>9</v>
      </c>
      <c r="G50" s="156">
        <v>0</v>
      </c>
      <c r="H50" s="156">
        <v>5</v>
      </c>
      <c r="I50" s="156">
        <v>0</v>
      </c>
      <c r="J50" s="156">
        <v>0</v>
      </c>
      <c r="K50" s="156">
        <v>0</v>
      </c>
      <c r="L50" s="156">
        <v>-405.89125462248597</v>
      </c>
      <c r="M50" s="156">
        <v>0</v>
      </c>
      <c r="N50" s="176"/>
      <c r="V50" s="144">
        <v>-0.13144164427058899</v>
      </c>
      <c r="W50" s="144">
        <v>196.507137091667</v>
      </c>
      <c r="Y50" s="144">
        <f t="shared" si="3"/>
        <v>-0.13055123317174852</v>
      </c>
      <c r="Z50" s="144">
        <f t="shared" si="3"/>
        <v>-1.9757899849537353E-7</v>
      </c>
      <c r="AA50" s="144">
        <f t="shared" ref="AA50:AA57" si="4">Y50-$Y$60</f>
        <v>1.0083106907245093E-2</v>
      </c>
      <c r="AC50" s="144">
        <v>-8.8881304834763104E-4</v>
      </c>
      <c r="AD50" s="144">
        <v>196.507137247054</v>
      </c>
      <c r="AF50" s="144">
        <f t="shared" ref="AF50:AG57" si="5">AC50-S35</f>
        <v>1.598050492849926E-6</v>
      </c>
      <c r="AG50" s="144">
        <f t="shared" si="5"/>
        <v>-4.2191999227725319E-8</v>
      </c>
    </row>
    <row r="51" spans="2:33">
      <c r="B51" s="176">
        <v>19</v>
      </c>
      <c r="C51" s="176" t="s">
        <v>337</v>
      </c>
      <c r="D51" s="176">
        <v>39</v>
      </c>
      <c r="E51" s="176">
        <v>6</v>
      </c>
      <c r="F51" s="156">
        <v>9</v>
      </c>
      <c r="G51" s="156">
        <v>0</v>
      </c>
      <c r="H51" s="156">
        <v>5</v>
      </c>
      <c r="I51" s="156">
        <v>0</v>
      </c>
      <c r="J51" s="156">
        <v>0</v>
      </c>
      <c r="K51" s="156">
        <v>0</v>
      </c>
      <c r="L51" s="156">
        <v>-9.9533314195390501E-20</v>
      </c>
      <c r="M51" s="156">
        <v>0</v>
      </c>
      <c r="N51" s="176"/>
      <c r="V51" s="144">
        <v>-0.13573373774623601</v>
      </c>
      <c r="W51" s="144">
        <v>405.89820218141398</v>
      </c>
      <c r="Y51" s="144">
        <f t="shared" si="3"/>
        <v>-0.13476264801546167</v>
      </c>
      <c r="Z51" s="144">
        <f t="shared" si="3"/>
        <v>-1.8876704643844278E-7</v>
      </c>
      <c r="AA51" s="39">
        <f t="shared" si="4"/>
        <v>5.8716920635319414E-3</v>
      </c>
      <c r="AC51" s="144">
        <v>-9.2823031871716903E-4</v>
      </c>
      <c r="AD51" s="144">
        <v>405.89820230484798</v>
      </c>
      <c r="AF51" s="144">
        <f t="shared" si="5"/>
        <v>4.2859412057162931E-5</v>
      </c>
      <c r="AG51" s="144">
        <f t="shared" si="5"/>
        <v>-6.5333040311088553E-8</v>
      </c>
    </row>
    <row r="52" spans="2:33">
      <c r="B52" s="176"/>
      <c r="C52" s="176"/>
      <c r="D52" s="176"/>
      <c r="E52" s="176"/>
      <c r="F52" s="156"/>
      <c r="G52" s="156"/>
      <c r="H52" s="156"/>
      <c r="I52" s="156"/>
      <c r="J52" s="156"/>
      <c r="K52" s="156"/>
      <c r="L52" s="156"/>
      <c r="M52" s="156"/>
      <c r="N52" s="176"/>
      <c r="V52" s="144">
        <v>-0.13144164427058899</v>
      </c>
      <c r="W52" s="144">
        <v>-196.507137091667</v>
      </c>
      <c r="Y52" s="144">
        <f t="shared" si="3"/>
        <v>-0.13055123317174852</v>
      </c>
      <c r="Z52" s="144">
        <f t="shared" si="3"/>
        <v>1.9757899849537353E-7</v>
      </c>
      <c r="AA52" s="144">
        <f t="shared" si="4"/>
        <v>1.0083106907245093E-2</v>
      </c>
      <c r="AC52" s="144">
        <v>-8.8881304834763104E-4</v>
      </c>
      <c r="AD52" s="144">
        <v>-196.507137247054</v>
      </c>
      <c r="AF52" s="144">
        <f t="shared" si="5"/>
        <v>1.598050492849926E-6</v>
      </c>
      <c r="AG52" s="144">
        <f t="shared" si="5"/>
        <v>4.2191999227725319E-8</v>
      </c>
    </row>
    <row r="53" spans="2:33">
      <c r="B53" s="176"/>
      <c r="C53" s="176"/>
      <c r="D53" s="176"/>
      <c r="E53" s="176"/>
      <c r="F53" s="176"/>
      <c r="G53" s="176"/>
      <c r="H53" s="176"/>
      <c r="I53" s="176"/>
      <c r="J53" s="176"/>
      <c r="K53" s="176"/>
      <c r="L53" s="176"/>
      <c r="M53" s="176"/>
      <c r="N53" s="176"/>
      <c r="V53" s="144">
        <v>-0.13573373774623601</v>
      </c>
      <c r="W53" s="144">
        <v>-405.89820218141398</v>
      </c>
      <c r="Y53" s="144">
        <f t="shared" si="3"/>
        <v>-0.13476264801546167</v>
      </c>
      <c r="Z53" s="144">
        <f t="shared" si="3"/>
        <v>1.8876704643844278E-7</v>
      </c>
      <c r="AA53" s="39">
        <f t="shared" si="4"/>
        <v>5.8716920635319414E-3</v>
      </c>
      <c r="AC53" s="144">
        <v>-9.2823031871716903E-4</v>
      </c>
      <c r="AD53" s="144">
        <v>-405.89820230484798</v>
      </c>
      <c r="AF53" s="144">
        <f t="shared" si="5"/>
        <v>4.2859412057162931E-5</v>
      </c>
      <c r="AG53" s="144">
        <f t="shared" si="5"/>
        <v>6.5333040311088553E-8</v>
      </c>
    </row>
    <row r="54" spans="2:33">
      <c r="V54" s="144">
        <v>196.374537838973</v>
      </c>
      <c r="W54" s="144">
        <v>0</v>
      </c>
      <c r="Y54" s="144">
        <f t="shared" si="3"/>
        <v>-0.13334459326100045</v>
      </c>
      <c r="Z54" s="144">
        <f t="shared" si="3"/>
        <v>0</v>
      </c>
      <c r="AA54" s="144">
        <f t="shared" si="4"/>
        <v>7.289746817993159E-3</v>
      </c>
      <c r="AC54" s="144">
        <v>196.50788271196501</v>
      </c>
      <c r="AD54" s="144">
        <v>-5.4210108624275198E-20</v>
      </c>
      <c r="AF54" s="144">
        <f t="shared" si="5"/>
        <v>2.7973101168754511E-7</v>
      </c>
      <c r="AG54" s="144">
        <f t="shared" si="5"/>
        <v>-5.4210108624275198E-20</v>
      </c>
    </row>
    <row r="55" spans="2:33">
      <c r="V55" s="144">
        <v>405.75695818290598</v>
      </c>
      <c r="W55" s="144">
        <v>1.1375235908044601E-19</v>
      </c>
      <c r="Y55" s="144">
        <f t="shared" si="3"/>
        <v>-0.14650299935902922</v>
      </c>
      <c r="Z55" s="144">
        <f t="shared" si="3"/>
        <v>1.7062853862066911E-19</v>
      </c>
      <c r="AA55" s="39">
        <f t="shared" si="4"/>
        <v>-5.8686592800356041E-3</v>
      </c>
      <c r="AC55" s="144">
        <v>405.90346114548601</v>
      </c>
      <c r="AD55" s="144">
        <v>-2.8438089770111503E-20</v>
      </c>
      <c r="AF55" s="144">
        <f t="shared" si="5"/>
        <v>-3.6778999401576584E-8</v>
      </c>
      <c r="AG55" s="144">
        <f t="shared" si="5"/>
        <v>2.8438089770111599E-20</v>
      </c>
    </row>
    <row r="56" spans="2:33">
      <c r="V56" s="144">
        <v>-196.639772169639</v>
      </c>
      <c r="W56" s="144">
        <v>5.4210108624275198E-20</v>
      </c>
      <c r="Y56" s="144">
        <f t="shared" si="3"/>
        <v>-0.13334528058601336</v>
      </c>
      <c r="Z56" s="144">
        <f t="shared" si="3"/>
        <v>5.4210108624275198E-20</v>
      </c>
      <c r="AA56" s="144">
        <f t="shared" si="4"/>
        <v>7.2890594929802544E-3</v>
      </c>
      <c r="AC56" s="144">
        <v>-196.506426386816</v>
      </c>
      <c r="AD56" s="144">
        <v>0</v>
      </c>
      <c r="AF56" s="144">
        <f t="shared" si="5"/>
        <v>5.0223698622176016E-7</v>
      </c>
      <c r="AG56" s="144">
        <f t="shared" si="5"/>
        <v>0</v>
      </c>
    </row>
    <row r="57" spans="2:33">
      <c r="V57" s="144">
        <v>-406.03952304142302</v>
      </c>
      <c r="W57" s="144">
        <v>2.13285673275836E-20</v>
      </c>
      <c r="Y57" s="144">
        <f t="shared" si="3"/>
        <v>-0.14650906492602189</v>
      </c>
      <c r="Z57" s="144">
        <f t="shared" si="3"/>
        <v>-1.3063747488144941E-19</v>
      </c>
      <c r="AA57" s="39">
        <f t="shared" si="4"/>
        <v>-5.8747248470282787E-3</v>
      </c>
      <c r="AC57" s="144">
        <v>-405.89301397650098</v>
      </c>
      <c r="AD57" s="144">
        <v>6.3985701982750996E-20</v>
      </c>
      <c r="AF57" s="144">
        <f t="shared" si="5"/>
        <v>-3.979039320256561E-12</v>
      </c>
      <c r="AG57" s="144">
        <f t="shared" si="5"/>
        <v>-8.7980340226282016E-20</v>
      </c>
    </row>
    <row r="59" spans="2:33">
      <c r="Y59" s="144" t="s">
        <v>338</v>
      </c>
      <c r="AF59" s="177">
        <f>1000*MAX(ABS(MAX(AF49:AG57)),ABS(MIN(AF49:AG57)))</f>
        <v>5.9911199197140066E-2</v>
      </c>
      <c r="AG59" s="144" t="s">
        <v>339</v>
      </c>
    </row>
    <row r="60" spans="2:33">
      <c r="Y60" s="144">
        <f>AVERAGE(Y51,Y53,Y55,Y57)</f>
        <v>-0.14063434007899361</v>
      </c>
    </row>
    <row r="62" spans="2:33">
      <c r="V62" s="39" t="s">
        <v>341</v>
      </c>
      <c r="AC62" s="144" t="s">
        <v>334</v>
      </c>
    </row>
    <row r="64" spans="2:33">
      <c r="V64" s="144" t="s">
        <v>342</v>
      </c>
      <c r="AC64" s="144">
        <v>-8.8882881492157698E-4</v>
      </c>
      <c r="AD64" s="144">
        <v>2.89120579329467E-20</v>
      </c>
      <c r="AF64" s="144">
        <f>AC64-S34</f>
        <v>1.7969149830119311E-4</v>
      </c>
      <c r="AG64" s="144">
        <f>AD64-T34</f>
        <v>-1.156482317317863E-19</v>
      </c>
    </row>
    <row r="65" spans="22:33">
      <c r="AC65" s="144">
        <v>-8.8565949523466199E-4</v>
      </c>
      <c r="AD65" s="144">
        <v>196.507137189828</v>
      </c>
      <c r="AF65" s="144">
        <f t="shared" ref="AF65:AG72" si="6">AC65-S35</f>
        <v>4.7516036058189689E-6</v>
      </c>
      <c r="AG65" s="144">
        <f t="shared" si="6"/>
        <v>-9.9418002719176002E-8</v>
      </c>
    </row>
    <row r="66" spans="22:33">
      <c r="AC66" s="144">
        <v>-8.4255543509380705E-4</v>
      </c>
      <c r="AD66" s="144">
        <v>405.89820223504302</v>
      </c>
      <c r="AF66" s="144">
        <f t="shared" si="6"/>
        <v>1.285342956805249E-4</v>
      </c>
      <c r="AG66" s="144">
        <f t="shared" si="6"/>
        <v>-1.3513800922737573E-7</v>
      </c>
    </row>
    <row r="67" spans="22:33">
      <c r="AC67" s="144">
        <v>-8.8565949523466297E-4</v>
      </c>
      <c r="AD67" s="144">
        <v>-196.507137189828</v>
      </c>
      <c r="AF67" s="144">
        <f t="shared" si="6"/>
        <v>4.7516036058179931E-6</v>
      </c>
      <c r="AG67" s="144">
        <f t="shared" si="6"/>
        <v>9.9418002719176002E-8</v>
      </c>
    </row>
    <row r="68" spans="22:33">
      <c r="AC68" s="144">
        <v>-8.4255543509380705E-4</v>
      </c>
      <c r="AD68" s="144">
        <v>-405.89820223504302</v>
      </c>
      <c r="AF68" s="144">
        <f t="shared" si="6"/>
        <v>1.285342956805249E-4</v>
      </c>
      <c r="AG68" s="144">
        <f t="shared" si="6"/>
        <v>1.3513800922737573E-7</v>
      </c>
    </row>
    <row r="69" spans="22:33">
      <c r="AC69" s="144">
        <v>196.50788328210899</v>
      </c>
      <c r="AD69" s="144">
        <v>5.4210108624275198E-20</v>
      </c>
      <c r="AF69" s="144">
        <f t="shared" si="6"/>
        <v>8.498749934915395E-7</v>
      </c>
      <c r="AG69" s="144">
        <f t="shared" si="6"/>
        <v>5.4210108624275198E-20</v>
      </c>
    </row>
    <row r="70" spans="22:33">
      <c r="AC70" s="144">
        <v>405.90346118226302</v>
      </c>
      <c r="AD70" s="144">
        <v>1.1375235908044601E-19</v>
      </c>
      <c r="AF70" s="144">
        <f t="shared" si="6"/>
        <v>-1.9895196601282805E-12</v>
      </c>
      <c r="AG70" s="144">
        <f t="shared" si="6"/>
        <v>1.7062853862066911E-19</v>
      </c>
    </row>
    <row r="71" spans="22:33">
      <c r="AC71" s="144">
        <v>-196.50642547995199</v>
      </c>
      <c r="AD71" s="144">
        <v>-4.0657581468206398E-20</v>
      </c>
      <c r="AF71" s="144">
        <f t="shared" si="6"/>
        <v>1.4091010029915196E-6</v>
      </c>
      <c r="AG71" s="144">
        <f t="shared" si="6"/>
        <v>-4.0657581468206398E-20</v>
      </c>
    </row>
    <row r="72" spans="22:33">
      <c r="AC72" s="144">
        <v>-405.89301418244401</v>
      </c>
      <c r="AD72" s="144">
        <v>1.42190448850558E-20</v>
      </c>
      <c r="AF72" s="144">
        <f t="shared" si="6"/>
        <v>-2.0594700345100136E-7</v>
      </c>
      <c r="AG72" s="144">
        <f t="shared" si="6"/>
        <v>-1.3774699732397722E-19</v>
      </c>
    </row>
    <row r="74" spans="22:33">
      <c r="AF74" s="177">
        <f>1000*MAX(ABS(MAX(AF64:AG72)),ABS(MIN(AF64:AG72)))</f>
        <v>0.1796914983011931</v>
      </c>
      <c r="AG74" s="144" t="s">
        <v>339</v>
      </c>
    </row>
    <row r="75" spans="22:33">
      <c r="V75" s="39"/>
      <c r="AF75" s="177"/>
    </row>
    <row r="76" spans="22:33">
      <c r="V76" s="39" t="s">
        <v>343</v>
      </c>
      <c r="Y76" s="144" t="s">
        <v>333</v>
      </c>
      <c r="AF76" s="177"/>
    </row>
    <row r="78" spans="22:33">
      <c r="V78" s="144" t="s">
        <v>342</v>
      </c>
      <c r="AC78" s="178">
        <v>-1.0633659796385499E-3</v>
      </c>
      <c r="AD78" s="144">
        <v>-1.2432445668683799E-4</v>
      </c>
      <c r="AF78" s="144">
        <f>AC78-S34</f>
        <v>5.1543335842201953E-6</v>
      </c>
      <c r="AG78" s="144">
        <f>AD78-T34</f>
        <v>-1.2432445668683812E-4</v>
      </c>
    </row>
    <row r="79" spans="22:33">
      <c r="V79" s="144" t="s">
        <v>344</v>
      </c>
      <c r="AC79" s="144">
        <v>-8.8497806235105804E-4</v>
      </c>
      <c r="AD79" s="144">
        <v>196.50703522114199</v>
      </c>
      <c r="AF79" s="144">
        <f t="shared" ref="AF79:AG86" si="7">AC79-S35</f>
        <v>5.4330364894229202E-6</v>
      </c>
      <c r="AG79" s="144">
        <f t="shared" si="7"/>
        <v>-1.0206810401314215E-4</v>
      </c>
    </row>
    <row r="80" spans="22:33">
      <c r="AA80" s="39"/>
      <c r="AC80" s="144">
        <v>-9.6536837213867196E-4</v>
      </c>
      <c r="AD80" s="144">
        <v>405.89820182385802</v>
      </c>
      <c r="AF80" s="144">
        <f t="shared" si="7"/>
        <v>5.7213586356599962E-6</v>
      </c>
      <c r="AG80" s="144">
        <f t="shared" si="7"/>
        <v>-5.463230081659276E-7</v>
      </c>
    </row>
    <row r="81" spans="22:33">
      <c r="AC81" s="144">
        <v>-8.8542587546585401E-4</v>
      </c>
      <c r="AD81" s="144">
        <v>-196.50723911941199</v>
      </c>
      <c r="AF81" s="144">
        <f t="shared" si="7"/>
        <v>4.9852233746269488E-6</v>
      </c>
      <c r="AG81" s="144">
        <f t="shared" si="7"/>
        <v>-1.0183016598830363E-4</v>
      </c>
    </row>
    <row r="82" spans="22:33">
      <c r="AA82" s="39"/>
      <c r="AC82" s="144">
        <v>-9.6605353025832198E-4</v>
      </c>
      <c r="AD82" s="144">
        <v>-405.89820237030199</v>
      </c>
      <c r="AF82" s="144">
        <f t="shared" si="7"/>
        <v>5.0362005160099754E-6</v>
      </c>
      <c r="AG82" s="144">
        <f t="shared" si="7"/>
        <v>-1.2096279533579946E-10</v>
      </c>
    </row>
    <row r="83" spans="22:33">
      <c r="AC83" s="144">
        <v>196.50788763231</v>
      </c>
      <c r="AD83" s="144">
        <v>-1.05752634924989E-4</v>
      </c>
      <c r="AF83" s="144">
        <f t="shared" si="7"/>
        <v>5.2000760035753046E-6</v>
      </c>
      <c r="AG83" s="144">
        <f t="shared" si="7"/>
        <v>-1.05752634924989E-4</v>
      </c>
    </row>
    <row r="84" spans="22:33">
      <c r="AA84" s="39"/>
      <c r="AC84" s="144">
        <v>405.90346676178899</v>
      </c>
      <c r="AD84" s="144">
        <v>5.7783050012250601E-6</v>
      </c>
      <c r="AF84" s="144">
        <f t="shared" si="7"/>
        <v>5.5795239859435242E-6</v>
      </c>
      <c r="AG84" s="144">
        <f t="shared" si="7"/>
        <v>5.7783050012251168E-6</v>
      </c>
    </row>
    <row r="85" spans="22:33">
      <c r="AC85" s="144">
        <v>-196.50642144803101</v>
      </c>
      <c r="AD85" s="144">
        <v>-1.06102353654347E-4</v>
      </c>
      <c r="AF85" s="144">
        <f t="shared" si="7"/>
        <v>5.4410219831879658E-6</v>
      </c>
      <c r="AG85" s="144">
        <f t="shared" si="7"/>
        <v>-1.06102353654347E-4</v>
      </c>
    </row>
    <row r="86" spans="22:33">
      <c r="AA86" s="39"/>
      <c r="AC86" s="144">
        <v>-405.89300786480698</v>
      </c>
      <c r="AD86" s="144">
        <v>5.4123487964026501E-6</v>
      </c>
      <c r="AF86" s="144">
        <f t="shared" si="7"/>
        <v>6.1116900269553298E-6</v>
      </c>
      <c r="AG86" s="144">
        <f t="shared" si="7"/>
        <v>5.4123487964024984E-6</v>
      </c>
    </row>
    <row r="88" spans="22:33">
      <c r="AF88" s="177">
        <f>1000*MAX(ABS(MAX(AF78:AG86)),ABS(MIN(AF78:AG86)))</f>
        <v>0.12432445668683813</v>
      </c>
      <c r="AG88" s="144" t="s">
        <v>339</v>
      </c>
    </row>
    <row r="89" spans="22:33">
      <c r="AC89" s="179"/>
      <c r="AD89" s="179"/>
    </row>
    <row r="90" spans="22:33">
      <c r="V90" s="39" t="s">
        <v>345</v>
      </c>
      <c r="AC90" s="179"/>
      <c r="AD90" s="179"/>
    </row>
    <row r="91" spans="22:33">
      <c r="AC91" s="179"/>
      <c r="AD91" s="179"/>
    </row>
    <row r="92" spans="22:33">
      <c r="V92" s="144">
        <v>3.1732658414073099E-2</v>
      </c>
      <c r="W92" s="144">
        <v>-5.7824115865893497E-20</v>
      </c>
      <c r="Y92" s="144">
        <f t="shared" ref="Y92:Z100" si="8">V92-S34</f>
        <v>3.280117872729587E-2</v>
      </c>
      <c r="Z92" s="144">
        <f t="shared" si="8"/>
        <v>-2.0238440553062649E-19</v>
      </c>
      <c r="AA92" s="144">
        <f>Y92-$Y$103</f>
        <v>-2.7760521728916951E-3</v>
      </c>
      <c r="AC92" s="179">
        <v>-9.4401333774036297E-4</v>
      </c>
      <c r="AD92" s="179">
        <v>8.6736173798840299E-20</v>
      </c>
      <c r="AF92" s="144">
        <f t="shared" ref="AF92:AG100" si="9">AC92-S34</f>
        <v>1.2450697548240712E-4</v>
      </c>
      <c r="AG92" s="144">
        <f t="shared" si="9"/>
        <v>-5.7824115865892702E-20</v>
      </c>
    </row>
    <row r="93" spans="22:33">
      <c r="V93" s="144">
        <v>3.2239798873732399E-2</v>
      </c>
      <c r="W93" s="144">
        <v>196.50713728071199</v>
      </c>
      <c r="Y93" s="144">
        <f t="shared" si="8"/>
        <v>3.3130209972572877E-2</v>
      </c>
      <c r="Z93" s="144">
        <f t="shared" si="8"/>
        <v>-8.5340161604108289E-9</v>
      </c>
      <c r="AA93" s="144">
        <f t="shared" ref="AA93:AA100" si="10">Y93-$Y$103</f>
        <v>-2.4470209276146876E-3</v>
      </c>
      <c r="AC93" s="179">
        <v>-7.8429921676586201E-4</v>
      </c>
      <c r="AD93" s="179">
        <v>196.50713694454399</v>
      </c>
      <c r="AF93" s="144">
        <f t="shared" si="9"/>
        <v>1.0611188207461895E-4</v>
      </c>
      <c r="AG93" s="144">
        <f t="shared" si="9"/>
        <v>-3.4470201626390917E-7</v>
      </c>
    </row>
    <row r="94" spans="22:33">
      <c r="V94" s="144">
        <v>3.3123341144595697E-2</v>
      </c>
      <c r="W94" s="144">
        <v>405.898202393264</v>
      </c>
      <c r="Y94" s="144">
        <f t="shared" si="8"/>
        <v>3.4094430875370028E-2</v>
      </c>
      <c r="Z94" s="144">
        <f t="shared" si="8"/>
        <v>2.3082975530996919E-8</v>
      </c>
      <c r="AA94" s="39">
        <f t="shared" si="10"/>
        <v>-1.4828000248175363E-3</v>
      </c>
      <c r="AC94" s="179">
        <v>-9.7649609551160002E-4</v>
      </c>
      <c r="AD94" s="179">
        <v>405.89820173327098</v>
      </c>
      <c r="AF94" s="144">
        <f t="shared" si="9"/>
        <v>-5.4063647372680664E-6</v>
      </c>
      <c r="AG94" s="144">
        <f t="shared" si="9"/>
        <v>-6.3691004470456392E-7</v>
      </c>
    </row>
    <row r="95" spans="22:33">
      <c r="V95" s="144">
        <v>3.2239798873732399E-2</v>
      </c>
      <c r="W95" s="144">
        <v>-196.50713728071199</v>
      </c>
      <c r="Y95" s="144">
        <f t="shared" si="8"/>
        <v>3.3130209972572877E-2</v>
      </c>
      <c r="Z95" s="144">
        <f t="shared" si="8"/>
        <v>8.5340161604108289E-9</v>
      </c>
      <c r="AA95" s="144">
        <f t="shared" si="10"/>
        <v>-2.4470209276146876E-3</v>
      </c>
      <c r="AC95" s="179">
        <v>-7.8429921676586201E-4</v>
      </c>
      <c r="AD95" s="179">
        <v>-196.50713694454399</v>
      </c>
      <c r="AF95" s="144">
        <f t="shared" si="9"/>
        <v>1.0611188207461895E-4</v>
      </c>
      <c r="AG95" s="144">
        <f t="shared" si="9"/>
        <v>3.4470201626390917E-7</v>
      </c>
    </row>
    <row r="96" spans="22:33">
      <c r="V96" s="144">
        <v>3.3123341144595697E-2</v>
      </c>
      <c r="W96" s="144">
        <v>-405.898202393264</v>
      </c>
      <c r="Y96" s="144">
        <f t="shared" si="8"/>
        <v>3.4094430875370028E-2</v>
      </c>
      <c r="Z96" s="144">
        <f t="shared" si="8"/>
        <v>-2.3082975530996919E-8</v>
      </c>
      <c r="AA96" s="39">
        <f t="shared" si="10"/>
        <v>-1.4828000248175363E-3</v>
      </c>
      <c r="AC96" s="179">
        <v>-9.7649609551160002E-4</v>
      </c>
      <c r="AD96" s="179">
        <v>-405.89820173327098</v>
      </c>
      <c r="AF96" s="144">
        <f t="shared" si="9"/>
        <v>-5.4063647372680664E-6</v>
      </c>
      <c r="AG96" s="144">
        <f t="shared" si="9"/>
        <v>6.3691004470456392E-7</v>
      </c>
    </row>
    <row r="97" spans="22:33">
      <c r="V97" s="144">
        <v>196.54171511521</v>
      </c>
      <c r="W97" s="144">
        <v>-8.1315162936412796E-20</v>
      </c>
      <c r="Y97" s="144">
        <f t="shared" si="8"/>
        <v>3.3832682975997841E-2</v>
      </c>
      <c r="Z97" s="144">
        <f t="shared" si="8"/>
        <v>-8.1315162936412796E-20</v>
      </c>
      <c r="AA97" s="144">
        <f t="shared" si="10"/>
        <v>-1.7445479241897238E-3</v>
      </c>
      <c r="AC97" s="179">
        <v>196.507983869166</v>
      </c>
      <c r="AD97" s="179">
        <v>-2.7105054312137599E-20</v>
      </c>
      <c r="AF97" s="144">
        <f t="shared" si="9"/>
        <v>1.0143693199893278E-4</v>
      </c>
      <c r="AG97" s="144">
        <f t="shared" si="9"/>
        <v>-2.7105054312137599E-20</v>
      </c>
    </row>
    <row r="98" spans="22:33">
      <c r="V98" s="144">
        <v>405.94052184952102</v>
      </c>
      <c r="W98" s="144">
        <v>-8.5314269310334701E-20</v>
      </c>
      <c r="Y98" s="144">
        <f t="shared" si="8"/>
        <v>3.7060667256014312E-2</v>
      </c>
      <c r="Z98" s="144">
        <f t="shared" si="8"/>
        <v>-2.8438089770111599E-20</v>
      </c>
      <c r="AA98" s="39">
        <f t="shared" si="10"/>
        <v>1.4834363558267477E-3</v>
      </c>
      <c r="AC98" s="179">
        <v>405.903461182265</v>
      </c>
      <c r="AD98" s="179">
        <v>0</v>
      </c>
      <c r="AF98" s="144">
        <f t="shared" si="9"/>
        <v>0</v>
      </c>
      <c r="AG98" s="144">
        <f t="shared" si="9"/>
        <v>5.6876179540223102E-20</v>
      </c>
    </row>
    <row r="99" spans="22:33">
      <c r="V99" s="144">
        <v>-196.47259434581201</v>
      </c>
      <c r="W99" s="144">
        <v>2.7105054312137599E-20</v>
      </c>
      <c r="Y99" s="144">
        <f t="shared" si="8"/>
        <v>3.3832543240976065E-2</v>
      </c>
      <c r="Z99" s="144">
        <f t="shared" si="8"/>
        <v>2.7105054312137599E-20</v>
      </c>
      <c r="AA99" s="144">
        <f t="shared" si="10"/>
        <v>-1.7446876592114996E-3</v>
      </c>
      <c r="AC99" s="179">
        <v>-196.50632405252301</v>
      </c>
      <c r="AD99" s="179">
        <v>0</v>
      </c>
      <c r="AF99" s="144">
        <f t="shared" si="9"/>
        <v>1.0283652997600257E-4</v>
      </c>
      <c r="AG99" s="144">
        <f t="shared" si="9"/>
        <v>0</v>
      </c>
    </row>
    <row r="100" spans="22:33">
      <c r="V100" s="144">
        <v>-405.85595458190301</v>
      </c>
      <c r="W100" s="144">
        <v>1.7418329984193299E-19</v>
      </c>
      <c r="Y100" s="144">
        <f t="shared" si="8"/>
        <v>3.7059394593995876E-2</v>
      </c>
      <c r="Z100" s="144">
        <f t="shared" si="8"/>
        <v>2.2217257632899983E-20</v>
      </c>
      <c r="AA100" s="39">
        <f t="shared" si="10"/>
        <v>1.482163693808311E-3</v>
      </c>
      <c r="AC100" s="179">
        <v>-405.89301301084402</v>
      </c>
      <c r="AD100" s="179">
        <v>-3.9102373433903398E-20</v>
      </c>
      <c r="AF100" s="144">
        <f t="shared" si="9"/>
        <v>9.6565298690620693E-7</v>
      </c>
      <c r="AG100" s="144">
        <f t="shared" si="9"/>
        <v>-1.9106841564293642E-19</v>
      </c>
    </row>
    <row r="101" spans="22:33">
      <c r="AC101" s="179"/>
      <c r="AD101" s="179"/>
    </row>
    <row r="102" spans="22:33">
      <c r="Y102" s="144" t="s">
        <v>338</v>
      </c>
      <c r="AC102" s="179"/>
      <c r="AD102" s="179"/>
      <c r="AF102" s="177">
        <f>1000*MAX(ABS(MAX(AF92:AG100)),ABS(MIN(AF92:AG100)))</f>
        <v>0.12450697548240712</v>
      </c>
      <c r="AG102" s="144" t="s">
        <v>339</v>
      </c>
    </row>
    <row r="103" spans="22:33">
      <c r="Y103" s="144">
        <f>AVERAGE(Y94,Y96,Y98,Y100)</f>
        <v>3.5577230900187565E-2</v>
      </c>
    </row>
    <row r="105" spans="22:33">
      <c r="V105" s="39" t="s">
        <v>346</v>
      </c>
    </row>
    <row r="107" spans="22:33">
      <c r="V107" s="144">
        <v>-1.06331753952724E-3</v>
      </c>
      <c r="W107" s="144">
        <v>2.89120579329467E-20</v>
      </c>
      <c r="Y107" s="144">
        <f>V107-S34</f>
        <v>5.20277369553011E-6</v>
      </c>
      <c r="Z107" s="144">
        <f>W107-T34</f>
        <v>-1.156482317317863E-19</v>
      </c>
    </row>
    <row r="108" spans="22:33">
      <c r="V108" s="144">
        <v>-8.8515828706829495E-4</v>
      </c>
      <c r="W108" s="144">
        <v>196.50643858503301</v>
      </c>
      <c r="Y108" s="144">
        <f t="shared" ref="Y108:Z115" si="11">V108-S35</f>
        <v>5.2528117721860074E-6</v>
      </c>
      <c r="Z108" s="144">
        <f t="shared" si="11"/>
        <v>-6.9870421299356167E-4</v>
      </c>
    </row>
    <row r="109" spans="22:33">
      <c r="V109" s="144">
        <v>-9.6567920863893002E-4</v>
      </c>
      <c r="W109" s="144">
        <v>405.89644874648002</v>
      </c>
      <c r="Y109" s="144">
        <f t="shared" si="11"/>
        <v>5.4105221354019354E-6</v>
      </c>
      <c r="Z109" s="144">
        <f t="shared" si="11"/>
        <v>-1.7536237010062905E-3</v>
      </c>
    </row>
    <row r="110" spans="22:33">
      <c r="V110" s="144">
        <v>-8.8515828706829495E-4</v>
      </c>
      <c r="W110" s="144">
        <v>-196.50643858503301</v>
      </c>
      <c r="Y110" s="144">
        <f t="shared" si="11"/>
        <v>5.2528117721860074E-6</v>
      </c>
      <c r="Z110" s="144">
        <f t="shared" si="11"/>
        <v>6.9870421299356167E-4</v>
      </c>
    </row>
    <row r="111" spans="22:33">
      <c r="V111" s="144">
        <v>-9.6567920863892796E-4</v>
      </c>
      <c r="W111" s="144">
        <v>-405.89644874648002</v>
      </c>
      <c r="Y111" s="144">
        <f t="shared" si="11"/>
        <v>5.4105221354039954E-6</v>
      </c>
      <c r="Z111" s="144">
        <f t="shared" si="11"/>
        <v>1.7536237010062905E-3</v>
      </c>
    </row>
    <row r="112" spans="22:33">
      <c r="V112" s="144">
        <v>196.50718907144699</v>
      </c>
      <c r="W112" s="144">
        <v>2.7105054312137599E-20</v>
      </c>
      <c r="Y112" s="144">
        <f t="shared" si="11"/>
        <v>-6.9336078701098813E-4</v>
      </c>
      <c r="Z112" s="144">
        <f t="shared" si="11"/>
        <v>2.7105054312137599E-20</v>
      </c>
    </row>
    <row r="113" spans="22:26">
      <c r="V113" s="144">
        <v>405.90171328735499</v>
      </c>
      <c r="W113" s="144">
        <v>0</v>
      </c>
      <c r="Y113" s="144">
        <f t="shared" si="11"/>
        <v>-1.7478949100109276E-3</v>
      </c>
      <c r="Z113" s="144">
        <f t="shared" si="11"/>
        <v>5.6876179540223102E-20</v>
      </c>
    </row>
    <row r="114" spans="22:26">
      <c r="V114" s="144">
        <v>-196.505722841477</v>
      </c>
      <c r="W114" s="144">
        <v>2.7105054312137599E-20</v>
      </c>
      <c r="Y114" s="144">
        <f t="shared" si="11"/>
        <v>7.0404757599362711E-4</v>
      </c>
      <c r="Z114" s="144">
        <f t="shared" si="11"/>
        <v>2.7105054312137599E-20</v>
      </c>
    </row>
    <row r="115" spans="22:26">
      <c r="V115" s="144">
        <v>-405.89125462248597</v>
      </c>
      <c r="W115" s="144">
        <v>-9.9533314195390501E-20</v>
      </c>
      <c r="Y115" s="178">
        <f t="shared" si="11"/>
        <v>1.7593540110283357E-3</v>
      </c>
      <c r="Z115" s="144">
        <f t="shared" si="11"/>
        <v>-2.5149935640442352E-19</v>
      </c>
    </row>
    <row r="117" spans="22:26">
      <c r="Y117" s="177">
        <f>1000*MAX(ABS(MAX(Y107:Z115)),ABS(MIN(Y107:Z115)))</f>
        <v>1.7593540110283357</v>
      </c>
      <c r="Z117" s="144" t="s">
        <v>339</v>
      </c>
    </row>
  </sheetData>
  <conditionalFormatting sqref="Y107:Z11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3"/>
  <sheetViews>
    <sheetView workbookViewId="0">
      <selection activeCell="U17" sqref="U17"/>
    </sheetView>
  </sheetViews>
  <sheetFormatPr defaultColWidth="8.88671875" defaultRowHeight="14.4"/>
  <cols>
    <col min="1" max="1" width="13.88671875" style="56" bestFit="1" customWidth="1"/>
    <col min="2" max="2" width="11.44140625" style="56" customWidth="1"/>
    <col min="3" max="16384" width="8.88671875" style="56"/>
  </cols>
  <sheetData>
    <row r="1" spans="1:9">
      <c r="A1" s="56" t="s">
        <v>124</v>
      </c>
    </row>
    <row r="3" spans="1:9">
      <c r="A3" s="56" t="s">
        <v>123</v>
      </c>
      <c r="B3" s="56" t="s">
        <v>122</v>
      </c>
    </row>
    <row r="4" spans="1:9">
      <c r="A4" s="56" t="s">
        <v>121</v>
      </c>
      <c r="B4" s="56" t="s">
        <v>120</v>
      </c>
    </row>
    <row r="5" spans="1:9">
      <c r="A5" s="56" t="s">
        <v>119</v>
      </c>
      <c r="B5" s="70">
        <v>41508</v>
      </c>
      <c r="C5" s="70"/>
    </row>
    <row r="6" spans="1:9">
      <c r="A6" s="56" t="s">
        <v>118</v>
      </c>
      <c r="B6" s="56" t="s">
        <v>117</v>
      </c>
    </row>
    <row r="8" spans="1:9">
      <c r="A8" s="56" t="s">
        <v>116</v>
      </c>
    </row>
    <row r="9" spans="1:9">
      <c r="A9" s="56" t="s">
        <v>115</v>
      </c>
    </row>
    <row r="10" spans="1:9">
      <c r="A10" s="56" t="s">
        <v>114</v>
      </c>
    </row>
    <row r="12" spans="1:9" ht="15" thickBot="1">
      <c r="A12" s="56" t="s">
        <v>113</v>
      </c>
      <c r="B12" s="56" t="s">
        <v>112</v>
      </c>
    </row>
    <row r="13" spans="1:9">
      <c r="A13" s="56">
        <v>0</v>
      </c>
      <c r="B13" s="56">
        <v>0.77563099999999996</v>
      </c>
      <c r="E13" s="529" t="s">
        <v>111</v>
      </c>
      <c r="F13" s="518"/>
      <c r="G13" s="518"/>
      <c r="H13" s="518"/>
      <c r="I13" s="7">
        <f>SUMPRODUCT(A13:A413,B13:B413)/SUM(A13:A413)/B13</f>
        <v>0.98352601733828871</v>
      </c>
    </row>
    <row r="14" spans="1:9" ht="15" thickBot="1">
      <c r="A14" s="56">
        <v>4.0000000000000001E-3</v>
      </c>
      <c r="B14" s="56">
        <v>0.77518500000000001</v>
      </c>
      <c r="E14" s="530" t="s">
        <v>110</v>
      </c>
      <c r="F14" s="524"/>
      <c r="G14" s="524"/>
      <c r="H14" s="524"/>
      <c r="I14" s="14"/>
    </row>
    <row r="15" spans="1:9">
      <c r="A15" s="56">
        <v>8.0000000000000002E-3</v>
      </c>
      <c r="B15" s="56">
        <v>0.77524899999999997</v>
      </c>
    </row>
    <row r="16" spans="1:9">
      <c r="A16" s="56">
        <v>1.2E-2</v>
      </c>
      <c r="B16" s="56">
        <v>0.77505800000000002</v>
      </c>
    </row>
    <row r="17" spans="1:2">
      <c r="A17" s="56">
        <v>1.6E-2</v>
      </c>
      <c r="B17" s="56">
        <v>0.77486699999999997</v>
      </c>
    </row>
    <row r="18" spans="1:2">
      <c r="A18" s="56">
        <v>0.02</v>
      </c>
      <c r="B18" s="56">
        <v>0.77486699999999997</v>
      </c>
    </row>
    <row r="19" spans="1:2">
      <c r="A19" s="56">
        <v>2.4E-2</v>
      </c>
      <c r="B19" s="56">
        <v>0.77486699999999997</v>
      </c>
    </row>
    <row r="20" spans="1:2">
      <c r="A20" s="56">
        <v>2.8000000000000001E-2</v>
      </c>
      <c r="B20" s="56">
        <v>0.77480300000000002</v>
      </c>
    </row>
    <row r="21" spans="1:2">
      <c r="A21" s="56">
        <v>3.2000000000000001E-2</v>
      </c>
      <c r="B21" s="56">
        <v>0.77480300000000002</v>
      </c>
    </row>
    <row r="22" spans="1:2">
      <c r="A22" s="56">
        <v>3.5999999999999997E-2</v>
      </c>
      <c r="B22" s="56">
        <v>0.77473999999999998</v>
      </c>
    </row>
    <row r="23" spans="1:2">
      <c r="A23" s="56">
        <v>0.04</v>
      </c>
      <c r="B23" s="56">
        <v>0.77480300000000002</v>
      </c>
    </row>
    <row r="24" spans="1:2">
      <c r="A24" s="56">
        <v>4.3999999999999997E-2</v>
      </c>
      <c r="B24" s="56">
        <v>0.77480300000000002</v>
      </c>
    </row>
    <row r="25" spans="1:2">
      <c r="A25" s="56">
        <v>4.8000000000000001E-2</v>
      </c>
      <c r="B25" s="56">
        <v>0.77480300000000002</v>
      </c>
    </row>
    <row r="26" spans="1:2">
      <c r="A26" s="56">
        <v>5.1999999999999998E-2</v>
      </c>
      <c r="B26" s="56">
        <v>0.77473999999999998</v>
      </c>
    </row>
    <row r="27" spans="1:2">
      <c r="A27" s="56">
        <v>5.6000000000000001E-2</v>
      </c>
      <c r="B27" s="56">
        <v>0.77467600000000003</v>
      </c>
    </row>
    <row r="28" spans="1:2">
      <c r="A28" s="56">
        <v>0.06</v>
      </c>
      <c r="B28" s="56">
        <v>0.77461199999999997</v>
      </c>
    </row>
    <row r="29" spans="1:2">
      <c r="A29" s="56">
        <v>6.4000000000000001E-2</v>
      </c>
      <c r="B29" s="56">
        <v>0.77467600000000003</v>
      </c>
    </row>
    <row r="30" spans="1:2">
      <c r="A30" s="56">
        <v>6.8000000000000005E-2</v>
      </c>
      <c r="B30" s="56">
        <v>0.77448499999999998</v>
      </c>
    </row>
    <row r="31" spans="1:2">
      <c r="A31" s="56">
        <v>7.1999999999999995E-2</v>
      </c>
      <c r="B31" s="56">
        <v>0.77442100000000003</v>
      </c>
    </row>
    <row r="32" spans="1:2">
      <c r="A32" s="56">
        <v>7.5999999999999998E-2</v>
      </c>
      <c r="B32" s="56">
        <v>0.77448499999999998</v>
      </c>
    </row>
    <row r="33" spans="1:2">
      <c r="A33" s="56">
        <v>0.08</v>
      </c>
      <c r="B33" s="56">
        <v>0.77442100000000003</v>
      </c>
    </row>
    <row r="34" spans="1:2">
      <c r="A34" s="56">
        <v>8.4000000000000005E-2</v>
      </c>
      <c r="B34" s="56">
        <v>0.77435799999999999</v>
      </c>
    </row>
    <row r="35" spans="1:2">
      <c r="A35" s="56">
        <v>8.7999999999999995E-2</v>
      </c>
      <c r="B35" s="56">
        <v>0.77461199999999997</v>
      </c>
    </row>
    <row r="36" spans="1:2">
      <c r="A36" s="56">
        <v>9.1999999999999998E-2</v>
      </c>
      <c r="B36" s="56">
        <v>0.77442100000000003</v>
      </c>
    </row>
    <row r="37" spans="1:2">
      <c r="A37" s="56">
        <v>9.6000000000000002E-2</v>
      </c>
      <c r="B37" s="56">
        <v>0.774231</v>
      </c>
    </row>
    <row r="38" spans="1:2">
      <c r="A38" s="56">
        <v>0.1</v>
      </c>
      <c r="B38" s="56">
        <v>0.773976</v>
      </c>
    </row>
    <row r="39" spans="1:2">
      <c r="A39" s="56">
        <v>0.104</v>
      </c>
      <c r="B39" s="56">
        <v>0.77391200000000004</v>
      </c>
    </row>
    <row r="40" spans="1:2">
      <c r="A40" s="56">
        <v>0.108</v>
      </c>
      <c r="B40" s="56">
        <v>0.773594</v>
      </c>
    </row>
    <row r="41" spans="1:2">
      <c r="A41" s="56">
        <v>0.112</v>
      </c>
      <c r="B41" s="56">
        <v>0.773594</v>
      </c>
    </row>
    <row r="42" spans="1:2">
      <c r="A42" s="56">
        <v>0.11600000000000001</v>
      </c>
      <c r="B42" s="56">
        <v>0.773594</v>
      </c>
    </row>
    <row r="43" spans="1:2">
      <c r="A43" s="56">
        <v>0.12</v>
      </c>
      <c r="B43" s="56">
        <v>0.77372099999999999</v>
      </c>
    </row>
    <row r="44" spans="1:2">
      <c r="A44" s="56">
        <v>0.124</v>
      </c>
      <c r="B44" s="56">
        <v>0.77378499999999995</v>
      </c>
    </row>
    <row r="45" spans="1:2">
      <c r="A45" s="56">
        <v>0.128</v>
      </c>
      <c r="B45" s="56">
        <v>0.77378499999999995</v>
      </c>
    </row>
    <row r="46" spans="1:2">
      <c r="A46" s="56">
        <v>0.13200000000000001</v>
      </c>
      <c r="B46" s="56">
        <v>0.77378499999999995</v>
      </c>
    </row>
    <row r="47" spans="1:2">
      <c r="A47" s="56">
        <v>0.13600000000000001</v>
      </c>
      <c r="B47" s="56">
        <v>0.77410299999999999</v>
      </c>
    </row>
    <row r="48" spans="1:2">
      <c r="A48" s="56">
        <v>0.14000000000000001</v>
      </c>
      <c r="B48" s="56">
        <v>0.77410299999999999</v>
      </c>
    </row>
    <row r="49" spans="1:2">
      <c r="A49" s="56">
        <v>0.14399999999999999</v>
      </c>
      <c r="B49" s="56">
        <v>0.77410299999999999</v>
      </c>
    </row>
    <row r="50" spans="1:2">
      <c r="A50" s="56">
        <v>0.14799999999999999</v>
      </c>
      <c r="B50" s="56">
        <v>0.77384900000000001</v>
      </c>
    </row>
    <row r="51" spans="1:2">
      <c r="A51" s="56">
        <v>0.152</v>
      </c>
      <c r="B51" s="56">
        <v>0.77381699999999998</v>
      </c>
    </row>
    <row r="52" spans="1:2">
      <c r="A52" s="56">
        <v>0.156</v>
      </c>
      <c r="B52" s="56">
        <v>0.77375300000000002</v>
      </c>
    </row>
    <row r="53" spans="1:2">
      <c r="A53" s="56">
        <v>0.16</v>
      </c>
      <c r="B53" s="56">
        <v>0.77362600000000004</v>
      </c>
    </row>
    <row r="54" spans="1:2">
      <c r="A54" s="56">
        <v>0.16400000000000001</v>
      </c>
      <c r="B54" s="56">
        <v>0.77356199999999997</v>
      </c>
    </row>
    <row r="55" spans="1:2">
      <c r="A55" s="56">
        <v>0.16800000000000001</v>
      </c>
      <c r="B55" s="56">
        <v>0.77337100000000003</v>
      </c>
    </row>
    <row r="56" spans="1:2">
      <c r="A56" s="56">
        <v>0.17199999999999999</v>
      </c>
      <c r="B56" s="56">
        <v>0.77349800000000002</v>
      </c>
    </row>
    <row r="57" spans="1:2">
      <c r="A57" s="56">
        <v>0.17599999999999999</v>
      </c>
      <c r="B57" s="56">
        <v>0.77349800000000002</v>
      </c>
    </row>
    <row r="58" spans="1:2">
      <c r="A58" s="56">
        <v>0.18</v>
      </c>
      <c r="B58" s="56">
        <v>0.77356199999999997</v>
      </c>
    </row>
    <row r="59" spans="1:2">
      <c r="A59" s="56">
        <v>0.184</v>
      </c>
      <c r="B59" s="56">
        <v>0.77368899999999996</v>
      </c>
    </row>
    <row r="60" spans="1:2">
      <c r="A60" s="56">
        <v>0.188</v>
      </c>
      <c r="B60" s="56">
        <v>0.77356199999999997</v>
      </c>
    </row>
    <row r="61" spans="1:2">
      <c r="A61" s="56">
        <v>0.192</v>
      </c>
      <c r="B61" s="56">
        <v>0.77321200000000001</v>
      </c>
    </row>
    <row r="62" spans="1:2">
      <c r="A62" s="56">
        <v>0.19600000000000001</v>
      </c>
      <c r="B62" s="56">
        <v>0.77314799999999995</v>
      </c>
    </row>
    <row r="63" spans="1:2">
      <c r="A63" s="56">
        <v>0.2</v>
      </c>
      <c r="B63" s="56">
        <v>0.77314799999999995</v>
      </c>
    </row>
    <row r="64" spans="1:2">
      <c r="A64" s="56">
        <v>0.20399999999999999</v>
      </c>
      <c r="B64" s="56">
        <v>0.77289399999999997</v>
      </c>
    </row>
    <row r="65" spans="1:2">
      <c r="A65" s="56">
        <v>0.20799999999999999</v>
      </c>
      <c r="B65" s="56">
        <v>0.77295700000000001</v>
      </c>
    </row>
    <row r="66" spans="1:2">
      <c r="A66" s="56">
        <v>0.21199999999999999</v>
      </c>
      <c r="B66" s="56">
        <v>0.77302099999999996</v>
      </c>
    </row>
    <row r="67" spans="1:2">
      <c r="A67" s="56">
        <v>0.216</v>
      </c>
      <c r="B67" s="56">
        <v>0.77289399999999997</v>
      </c>
    </row>
    <row r="68" spans="1:2">
      <c r="A68" s="56">
        <v>0.22</v>
      </c>
      <c r="B68" s="56">
        <v>0.77295700000000001</v>
      </c>
    </row>
    <row r="69" spans="1:2">
      <c r="A69" s="56">
        <v>0.224</v>
      </c>
      <c r="B69" s="56">
        <v>0.77289399999999997</v>
      </c>
    </row>
    <row r="70" spans="1:2">
      <c r="A70" s="56">
        <v>0.22800000000000001</v>
      </c>
      <c r="B70" s="56">
        <v>0.77289399999999997</v>
      </c>
    </row>
    <row r="71" spans="1:2">
      <c r="A71" s="56">
        <v>0.23200000000000001</v>
      </c>
      <c r="B71" s="56">
        <v>0.77283000000000002</v>
      </c>
    </row>
    <row r="72" spans="1:2">
      <c r="A72" s="56">
        <v>0.23599999999999999</v>
      </c>
      <c r="B72" s="56">
        <v>0.77283000000000002</v>
      </c>
    </row>
    <row r="73" spans="1:2">
      <c r="A73" s="56">
        <v>0.24</v>
      </c>
      <c r="B73" s="56">
        <v>0.77270300000000003</v>
      </c>
    </row>
    <row r="74" spans="1:2">
      <c r="A74" s="56">
        <v>0.24399999999999999</v>
      </c>
      <c r="B74" s="56">
        <v>0.77257500000000001</v>
      </c>
    </row>
    <row r="75" spans="1:2">
      <c r="A75" s="56">
        <v>0.248</v>
      </c>
      <c r="B75" s="56">
        <v>0.77254400000000001</v>
      </c>
    </row>
    <row r="76" spans="1:2">
      <c r="A76" s="56">
        <v>0.252</v>
      </c>
      <c r="B76" s="56">
        <v>0.77241599999999999</v>
      </c>
    </row>
    <row r="77" spans="1:2">
      <c r="A77" s="56">
        <v>0.25600000000000001</v>
      </c>
      <c r="B77" s="56">
        <v>0.77248000000000006</v>
      </c>
    </row>
    <row r="78" spans="1:2">
      <c r="A78" s="56">
        <v>0.26</v>
      </c>
      <c r="B78" s="56">
        <v>0.77241599999999999</v>
      </c>
    </row>
    <row r="79" spans="1:2">
      <c r="A79" s="56">
        <v>0.26400000000000001</v>
      </c>
      <c r="B79" s="56">
        <v>0.77241599999999999</v>
      </c>
    </row>
    <row r="80" spans="1:2">
      <c r="A80" s="56">
        <v>0.26800000000000002</v>
      </c>
      <c r="B80" s="56">
        <v>0.77248000000000006</v>
      </c>
    </row>
    <row r="81" spans="1:2">
      <c r="A81" s="56">
        <v>0.27200000000000002</v>
      </c>
      <c r="B81" s="56">
        <v>0.77279799999999998</v>
      </c>
    </row>
    <row r="82" spans="1:2">
      <c r="A82" s="56">
        <v>0.27600000000000002</v>
      </c>
      <c r="B82" s="56">
        <v>0.77279799999999998</v>
      </c>
    </row>
    <row r="83" spans="1:2">
      <c r="A83" s="56">
        <v>0.28000000000000003</v>
      </c>
      <c r="B83" s="56">
        <v>0.77286200000000005</v>
      </c>
    </row>
    <row r="84" spans="1:2">
      <c r="A84" s="56">
        <v>0.28399999999999997</v>
      </c>
      <c r="B84" s="56">
        <v>0.772671</v>
      </c>
    </row>
    <row r="85" spans="1:2">
      <c r="A85" s="56">
        <v>0.28799999999999998</v>
      </c>
      <c r="B85" s="56">
        <v>0.77222500000000005</v>
      </c>
    </row>
    <row r="86" spans="1:2">
      <c r="A86" s="56">
        <v>0.29199999999999998</v>
      </c>
      <c r="B86" s="56">
        <v>0.77222500000000005</v>
      </c>
    </row>
    <row r="87" spans="1:2">
      <c r="A87" s="56">
        <v>0.29599999999999999</v>
      </c>
      <c r="B87" s="56">
        <v>0.77197099999999996</v>
      </c>
    </row>
    <row r="88" spans="1:2">
      <c r="A88" s="56">
        <v>0.3</v>
      </c>
      <c r="B88" s="56">
        <v>0.77197099999999996</v>
      </c>
    </row>
    <row r="89" spans="1:2">
      <c r="A89" s="56">
        <v>0.30399999999999999</v>
      </c>
      <c r="B89" s="56">
        <v>0.77190700000000001</v>
      </c>
    </row>
    <row r="90" spans="1:2">
      <c r="A90" s="56">
        <v>0.308</v>
      </c>
      <c r="B90" s="56">
        <v>0.77209799999999995</v>
      </c>
    </row>
    <row r="91" spans="1:2">
      <c r="A91" s="56">
        <v>0.312</v>
      </c>
      <c r="B91" s="56">
        <v>0.772034</v>
      </c>
    </row>
    <row r="92" spans="1:2">
      <c r="A92" s="56">
        <v>0.316</v>
      </c>
      <c r="B92" s="56">
        <v>0.77209799999999995</v>
      </c>
    </row>
    <row r="93" spans="1:2">
      <c r="A93" s="56">
        <v>0.32</v>
      </c>
      <c r="B93" s="56">
        <v>0.772034</v>
      </c>
    </row>
    <row r="94" spans="1:2">
      <c r="A94" s="56">
        <v>0.32400000000000001</v>
      </c>
      <c r="B94" s="56">
        <v>0.772034</v>
      </c>
    </row>
    <row r="95" spans="1:2">
      <c r="A95" s="56">
        <v>0.32800000000000001</v>
      </c>
      <c r="B95" s="56">
        <v>0.772034</v>
      </c>
    </row>
    <row r="96" spans="1:2">
      <c r="A96" s="56">
        <v>0.33200000000000002</v>
      </c>
      <c r="B96" s="56">
        <v>0.77200199999999997</v>
      </c>
    </row>
    <row r="97" spans="1:2">
      <c r="A97" s="56">
        <v>0.33600000000000002</v>
      </c>
      <c r="B97" s="56">
        <v>0.77193900000000004</v>
      </c>
    </row>
    <row r="98" spans="1:2">
      <c r="A98" s="56">
        <v>0.34</v>
      </c>
      <c r="B98" s="56">
        <v>0.77184299999999995</v>
      </c>
    </row>
    <row r="99" spans="1:2">
      <c r="A99" s="56">
        <v>0.34399999999999997</v>
      </c>
      <c r="B99" s="56">
        <v>0.77190700000000001</v>
      </c>
    </row>
    <row r="100" spans="1:2">
      <c r="A100" s="56">
        <v>0.34799999999999998</v>
      </c>
      <c r="B100" s="56">
        <v>0.77178000000000002</v>
      </c>
    </row>
    <row r="101" spans="1:2">
      <c r="A101" s="56">
        <v>0.35199999999999998</v>
      </c>
      <c r="B101" s="56">
        <v>0.771652</v>
      </c>
    </row>
    <row r="102" spans="1:2">
      <c r="A102" s="56">
        <v>0.35599999999999998</v>
      </c>
      <c r="B102" s="56">
        <v>0.77152500000000002</v>
      </c>
    </row>
    <row r="103" spans="1:2">
      <c r="A103" s="56">
        <v>0.36</v>
      </c>
      <c r="B103" s="56">
        <v>0.77158899999999997</v>
      </c>
    </row>
    <row r="104" spans="1:2">
      <c r="A104" s="56">
        <v>0.36399999999999999</v>
      </c>
      <c r="B104" s="56">
        <v>0.771652</v>
      </c>
    </row>
    <row r="105" spans="1:2">
      <c r="A105" s="56">
        <v>0.36799999999999999</v>
      </c>
      <c r="B105" s="56">
        <v>0.77158899999999997</v>
      </c>
    </row>
    <row r="106" spans="1:2">
      <c r="A106" s="56">
        <v>0.372</v>
      </c>
      <c r="B106" s="56">
        <v>0.77171599999999996</v>
      </c>
    </row>
    <row r="107" spans="1:2">
      <c r="A107" s="56">
        <v>0.376</v>
      </c>
      <c r="B107" s="56">
        <v>0.77152500000000002</v>
      </c>
    </row>
    <row r="108" spans="1:2">
      <c r="A108" s="56">
        <v>0.38</v>
      </c>
      <c r="B108" s="56">
        <v>0.77107899999999996</v>
      </c>
    </row>
    <row r="109" spans="1:2">
      <c r="A109" s="56">
        <v>0.38400000000000001</v>
      </c>
      <c r="B109" s="56">
        <v>0.77101600000000003</v>
      </c>
    </row>
    <row r="110" spans="1:2">
      <c r="A110" s="56">
        <v>0.38800000000000001</v>
      </c>
      <c r="B110" s="56">
        <v>0.77088800000000002</v>
      </c>
    </row>
    <row r="111" spans="1:2">
      <c r="A111" s="56">
        <v>0.39200000000000002</v>
      </c>
      <c r="B111" s="56">
        <v>0.77082499999999998</v>
      </c>
    </row>
    <row r="112" spans="1:2">
      <c r="A112" s="56">
        <v>0.39600000000000002</v>
      </c>
      <c r="B112" s="56">
        <v>0.77088800000000002</v>
      </c>
    </row>
    <row r="113" spans="1:2">
      <c r="A113" s="56">
        <v>0.4</v>
      </c>
      <c r="B113" s="56">
        <v>0.77095199999999997</v>
      </c>
    </row>
    <row r="114" spans="1:2">
      <c r="A114" s="56">
        <v>0.40400000000000003</v>
      </c>
      <c r="B114" s="56">
        <v>0.77101600000000003</v>
      </c>
    </row>
    <row r="115" spans="1:2">
      <c r="A115" s="56">
        <v>0.40799999999999997</v>
      </c>
      <c r="B115" s="56">
        <v>0.77133399999999996</v>
      </c>
    </row>
    <row r="116" spans="1:2">
      <c r="A116" s="56">
        <v>0.41199999999999998</v>
      </c>
      <c r="B116" s="56">
        <v>0.77114300000000002</v>
      </c>
    </row>
    <row r="117" spans="1:2">
      <c r="A117" s="56">
        <v>0.41599999999999998</v>
      </c>
      <c r="B117" s="56">
        <v>0.77127000000000001</v>
      </c>
    </row>
    <row r="118" spans="1:2">
      <c r="A118" s="56">
        <v>0.42</v>
      </c>
      <c r="B118" s="56">
        <v>0.77120699999999998</v>
      </c>
    </row>
    <row r="119" spans="1:2">
      <c r="A119" s="56">
        <v>0.42399999999999999</v>
      </c>
      <c r="B119" s="56">
        <v>0.77107899999999996</v>
      </c>
    </row>
    <row r="120" spans="1:2">
      <c r="A120" s="56">
        <v>0.42799999999999999</v>
      </c>
      <c r="B120" s="56">
        <v>0.77107899999999996</v>
      </c>
    </row>
    <row r="121" spans="1:2">
      <c r="A121" s="56">
        <v>0.432</v>
      </c>
      <c r="B121" s="56">
        <v>0.77095199999999997</v>
      </c>
    </row>
    <row r="122" spans="1:2">
      <c r="A122" s="56">
        <v>0.436</v>
      </c>
      <c r="B122" s="56">
        <v>0.77092000000000005</v>
      </c>
    </row>
    <row r="123" spans="1:2">
      <c r="A123" s="56">
        <v>0.44</v>
      </c>
      <c r="B123" s="56">
        <v>0.770729</v>
      </c>
    </row>
    <row r="124" spans="1:2">
      <c r="A124" s="56">
        <v>0.44400000000000001</v>
      </c>
      <c r="B124" s="56">
        <v>0.77079299999999995</v>
      </c>
    </row>
    <row r="125" spans="1:2">
      <c r="A125" s="56">
        <v>0.44800000000000001</v>
      </c>
      <c r="B125" s="56">
        <v>0.77066599999999996</v>
      </c>
    </row>
    <row r="126" spans="1:2">
      <c r="A126" s="56">
        <v>0.45200000000000001</v>
      </c>
      <c r="B126" s="56">
        <v>0.770729</v>
      </c>
    </row>
    <row r="127" spans="1:2">
      <c r="A127" s="56">
        <v>0.45600000000000002</v>
      </c>
      <c r="B127" s="56">
        <v>0.77079299999999995</v>
      </c>
    </row>
    <row r="128" spans="1:2">
      <c r="A128" s="56">
        <v>0.46</v>
      </c>
      <c r="B128" s="56">
        <v>0.77079299999999995</v>
      </c>
    </row>
    <row r="129" spans="1:2">
      <c r="A129" s="56">
        <v>0.46400000000000002</v>
      </c>
      <c r="B129" s="56">
        <v>0.77079299999999995</v>
      </c>
    </row>
    <row r="130" spans="1:2">
      <c r="A130" s="56">
        <v>0.46800000000000003</v>
      </c>
      <c r="B130" s="56">
        <v>0.77069699999999997</v>
      </c>
    </row>
    <row r="131" spans="1:2">
      <c r="A131" s="56">
        <v>0.47199999999999998</v>
      </c>
      <c r="B131" s="56">
        <v>0.77082499999999998</v>
      </c>
    </row>
    <row r="132" spans="1:2">
      <c r="A132" s="56">
        <v>0.47599999999999998</v>
      </c>
      <c r="B132" s="56">
        <v>0.77031499999999997</v>
      </c>
    </row>
    <row r="133" spans="1:2">
      <c r="A133" s="56">
        <v>0.48</v>
      </c>
      <c r="B133" s="56">
        <v>0.77037900000000004</v>
      </c>
    </row>
    <row r="134" spans="1:2">
      <c r="A134" s="56">
        <v>0.48399999999999999</v>
      </c>
      <c r="B134" s="56">
        <v>0.77018799999999998</v>
      </c>
    </row>
    <row r="135" spans="1:2">
      <c r="A135" s="56">
        <v>0.48799999999999999</v>
      </c>
      <c r="B135" s="56">
        <v>0.770061</v>
      </c>
    </row>
    <row r="136" spans="1:2">
      <c r="A136" s="56">
        <v>0.49199999999999999</v>
      </c>
      <c r="B136" s="56">
        <v>0.770061</v>
      </c>
    </row>
    <row r="137" spans="1:2">
      <c r="A137" s="56">
        <v>0.496</v>
      </c>
      <c r="B137" s="56">
        <v>0.77018799999999998</v>
      </c>
    </row>
    <row r="138" spans="1:2">
      <c r="A138" s="56">
        <v>0.5</v>
      </c>
      <c r="B138" s="56">
        <v>0.77018799999999998</v>
      </c>
    </row>
    <row r="139" spans="1:2">
      <c r="A139" s="56">
        <v>0.504</v>
      </c>
      <c r="B139" s="56">
        <v>0.77018799999999998</v>
      </c>
    </row>
    <row r="140" spans="1:2">
      <c r="A140" s="56">
        <v>0.50800000000000001</v>
      </c>
      <c r="B140" s="56">
        <v>0.76999700000000004</v>
      </c>
    </row>
    <row r="141" spans="1:2">
      <c r="A141" s="56">
        <v>0.51200000000000001</v>
      </c>
      <c r="B141" s="56">
        <v>0.76999700000000004</v>
      </c>
    </row>
    <row r="142" spans="1:2">
      <c r="A142" s="56">
        <v>0.51600000000000001</v>
      </c>
      <c r="B142" s="56">
        <v>0.76993299999999998</v>
      </c>
    </row>
    <row r="143" spans="1:2">
      <c r="A143" s="56">
        <v>0.52</v>
      </c>
      <c r="B143" s="56">
        <v>0.76987000000000005</v>
      </c>
    </row>
    <row r="144" spans="1:2">
      <c r="A144" s="56">
        <v>0.52400000000000002</v>
      </c>
      <c r="B144" s="56">
        <v>0.769679</v>
      </c>
    </row>
    <row r="145" spans="1:2">
      <c r="A145" s="56">
        <v>0.52800000000000002</v>
      </c>
      <c r="B145" s="56">
        <v>0.76977399999999996</v>
      </c>
    </row>
    <row r="146" spans="1:2">
      <c r="A146" s="56">
        <v>0.53200000000000003</v>
      </c>
      <c r="B146" s="56">
        <v>0.76983800000000002</v>
      </c>
    </row>
    <row r="147" spans="1:2">
      <c r="A147" s="56">
        <v>0.53600000000000003</v>
      </c>
      <c r="B147" s="56">
        <v>0.76971100000000003</v>
      </c>
    </row>
    <row r="148" spans="1:2">
      <c r="A148" s="56">
        <v>0.54</v>
      </c>
      <c r="B148" s="56">
        <v>0.76971100000000003</v>
      </c>
    </row>
    <row r="149" spans="1:2">
      <c r="A149" s="56">
        <v>0.54400000000000004</v>
      </c>
      <c r="B149" s="56">
        <v>0.76990199999999998</v>
      </c>
    </row>
    <row r="150" spans="1:2">
      <c r="A150" s="56">
        <v>0.54800000000000004</v>
      </c>
      <c r="B150" s="56">
        <v>0.76990199999999998</v>
      </c>
    </row>
    <row r="151" spans="1:2">
      <c r="A151" s="56">
        <v>0.55200000000000005</v>
      </c>
      <c r="B151" s="56">
        <v>0.77002899999999996</v>
      </c>
    </row>
    <row r="152" spans="1:2">
      <c r="A152" s="56">
        <v>0.55600000000000005</v>
      </c>
      <c r="B152" s="56">
        <v>0.76996500000000001</v>
      </c>
    </row>
    <row r="153" spans="1:2">
      <c r="A153" s="56">
        <v>0.56000000000000005</v>
      </c>
      <c r="B153" s="56">
        <v>0.76996500000000001</v>
      </c>
    </row>
    <row r="154" spans="1:2">
      <c r="A154" s="56">
        <v>0.56399999999999995</v>
      </c>
      <c r="B154" s="56">
        <v>0.76983800000000002</v>
      </c>
    </row>
    <row r="155" spans="1:2">
      <c r="A155" s="56">
        <v>0.56799999999999995</v>
      </c>
      <c r="B155" s="56">
        <v>0.76951999999999998</v>
      </c>
    </row>
    <row r="156" spans="1:2">
      <c r="A156" s="56">
        <v>0.57199999999999995</v>
      </c>
      <c r="B156" s="56">
        <v>0.76939199999999996</v>
      </c>
    </row>
    <row r="157" spans="1:2">
      <c r="A157" s="56">
        <v>0.57599999999999996</v>
      </c>
      <c r="B157" s="56">
        <v>0.76920100000000002</v>
      </c>
    </row>
    <row r="158" spans="1:2">
      <c r="A158" s="56">
        <v>0.57999999999999996</v>
      </c>
      <c r="B158" s="56">
        <v>0.76907400000000004</v>
      </c>
    </row>
    <row r="159" spans="1:2">
      <c r="A159" s="56">
        <v>0.58399999999999996</v>
      </c>
      <c r="B159" s="56">
        <v>0.76913799999999999</v>
      </c>
    </row>
    <row r="160" spans="1:2">
      <c r="A160" s="56">
        <v>0.58799999999999997</v>
      </c>
      <c r="B160" s="56">
        <v>0.76926499999999998</v>
      </c>
    </row>
    <row r="161" spans="1:2">
      <c r="A161" s="56">
        <v>0.59199999999999997</v>
      </c>
      <c r="B161" s="56">
        <v>0.76926499999999998</v>
      </c>
    </row>
    <row r="162" spans="1:2">
      <c r="A162" s="56">
        <v>0.59599999999999997</v>
      </c>
      <c r="B162" s="56">
        <v>0.76932900000000004</v>
      </c>
    </row>
    <row r="163" spans="1:2">
      <c r="A163" s="56">
        <v>0.6</v>
      </c>
      <c r="B163" s="56">
        <v>0.76920100000000002</v>
      </c>
    </row>
    <row r="164" spans="1:2">
      <c r="A164" s="56">
        <v>0.60399999999999998</v>
      </c>
      <c r="B164" s="56">
        <v>0.76910599999999996</v>
      </c>
    </row>
    <row r="165" spans="1:2">
      <c r="A165" s="56">
        <v>0.60799999999999998</v>
      </c>
      <c r="B165" s="56">
        <v>0.76923299999999994</v>
      </c>
    </row>
    <row r="166" spans="1:2">
      <c r="A166" s="56">
        <v>0.61199999999999999</v>
      </c>
      <c r="B166" s="56">
        <v>0.76917000000000002</v>
      </c>
    </row>
    <row r="167" spans="1:2">
      <c r="A167" s="56">
        <v>0.61599999999999999</v>
      </c>
      <c r="B167" s="56">
        <v>0.76923299999999994</v>
      </c>
    </row>
    <row r="168" spans="1:2">
      <c r="A168" s="56">
        <v>0.62</v>
      </c>
      <c r="B168" s="56">
        <v>0.76910599999999996</v>
      </c>
    </row>
    <row r="169" spans="1:2">
      <c r="A169" s="56">
        <v>0.624</v>
      </c>
      <c r="B169" s="56">
        <v>0.76900999999999997</v>
      </c>
    </row>
    <row r="170" spans="1:2">
      <c r="A170" s="56">
        <v>0.628</v>
      </c>
      <c r="B170" s="56">
        <v>0.76888299999999998</v>
      </c>
    </row>
    <row r="171" spans="1:2">
      <c r="A171" s="56">
        <v>0.63200000000000001</v>
      </c>
      <c r="B171" s="56">
        <v>0.76881900000000003</v>
      </c>
    </row>
    <row r="172" spans="1:2">
      <c r="A172" s="56">
        <v>0.63600000000000001</v>
      </c>
      <c r="B172" s="56">
        <v>0.76881900000000003</v>
      </c>
    </row>
    <row r="173" spans="1:2">
      <c r="A173" s="56">
        <v>0.64</v>
      </c>
      <c r="B173" s="56">
        <v>0.76875599999999999</v>
      </c>
    </row>
    <row r="174" spans="1:2">
      <c r="A174" s="56">
        <v>0.64400000000000002</v>
      </c>
      <c r="B174" s="56">
        <v>0.76875599999999999</v>
      </c>
    </row>
    <row r="175" spans="1:2">
      <c r="A175" s="56">
        <v>0.64800000000000002</v>
      </c>
      <c r="B175" s="56">
        <v>0.76875599999999999</v>
      </c>
    </row>
    <row r="176" spans="1:2">
      <c r="A176" s="56">
        <v>0.65200000000000002</v>
      </c>
      <c r="B176" s="56">
        <v>0.76869200000000004</v>
      </c>
    </row>
    <row r="177" spans="1:2">
      <c r="A177" s="56">
        <v>0.65600000000000003</v>
      </c>
      <c r="B177" s="56">
        <v>0.76862799999999998</v>
      </c>
    </row>
    <row r="178" spans="1:2">
      <c r="A178" s="56">
        <v>0.66</v>
      </c>
      <c r="B178" s="56">
        <v>0.76850099999999999</v>
      </c>
    </row>
    <row r="179" spans="1:2">
      <c r="A179" s="56">
        <v>0.66400000000000003</v>
      </c>
      <c r="B179" s="56">
        <v>0.76824599999999998</v>
      </c>
    </row>
    <row r="180" spans="1:2">
      <c r="A180" s="56">
        <v>0.66800000000000004</v>
      </c>
      <c r="B180" s="56">
        <v>0.76831000000000005</v>
      </c>
    </row>
    <row r="181" spans="1:2">
      <c r="A181" s="56">
        <v>0.67200000000000004</v>
      </c>
      <c r="B181" s="56">
        <v>0.768119</v>
      </c>
    </row>
    <row r="182" spans="1:2">
      <c r="A182" s="56">
        <v>0.67600000000000005</v>
      </c>
      <c r="B182" s="56">
        <v>0.76805599999999996</v>
      </c>
    </row>
    <row r="183" spans="1:2">
      <c r="A183" s="56">
        <v>0.68</v>
      </c>
      <c r="B183" s="56">
        <v>0.76843700000000004</v>
      </c>
    </row>
    <row r="184" spans="1:2">
      <c r="A184" s="56">
        <v>0.68400000000000005</v>
      </c>
      <c r="B184" s="56">
        <v>0.76850099999999999</v>
      </c>
    </row>
    <row r="185" spans="1:2">
      <c r="A185" s="56">
        <v>0.68799999999999994</v>
      </c>
      <c r="B185" s="56">
        <v>0.76856500000000005</v>
      </c>
    </row>
    <row r="186" spans="1:2">
      <c r="A186" s="56">
        <v>0.69199999999999995</v>
      </c>
      <c r="B186" s="56">
        <v>0.76856500000000005</v>
      </c>
    </row>
    <row r="187" spans="1:2">
      <c r="A187" s="56">
        <v>0.69599999999999995</v>
      </c>
      <c r="B187" s="56">
        <v>0.76831000000000005</v>
      </c>
    </row>
    <row r="188" spans="1:2">
      <c r="A188" s="56">
        <v>0.7</v>
      </c>
      <c r="B188" s="56">
        <v>0.76831000000000005</v>
      </c>
    </row>
    <row r="189" spans="1:2">
      <c r="A189" s="56">
        <v>0.70399999999999996</v>
      </c>
      <c r="B189" s="56">
        <v>0.76831000000000005</v>
      </c>
    </row>
    <row r="190" spans="1:2">
      <c r="A190" s="56">
        <v>0.70799999999999996</v>
      </c>
      <c r="B190" s="56">
        <v>0.76824599999999998</v>
      </c>
    </row>
    <row r="191" spans="1:2">
      <c r="A191" s="56">
        <v>0.71199999999999997</v>
      </c>
      <c r="B191" s="56">
        <v>0.76805599999999996</v>
      </c>
    </row>
    <row r="192" spans="1:2">
      <c r="A192" s="56">
        <v>0.71599999999999997</v>
      </c>
      <c r="B192" s="56">
        <v>0.76795999999999998</v>
      </c>
    </row>
    <row r="193" spans="1:2">
      <c r="A193" s="56">
        <v>0.72</v>
      </c>
      <c r="B193" s="56">
        <v>0.76808699999999996</v>
      </c>
    </row>
    <row r="194" spans="1:2">
      <c r="A194" s="56">
        <v>0.72399999999999998</v>
      </c>
      <c r="B194" s="56">
        <v>0.76795999999999998</v>
      </c>
    </row>
    <row r="195" spans="1:2">
      <c r="A195" s="56">
        <v>0.72799999999999998</v>
      </c>
      <c r="B195" s="56">
        <v>0.76789600000000002</v>
      </c>
    </row>
    <row r="196" spans="1:2">
      <c r="A196" s="56">
        <v>0.73199999999999998</v>
      </c>
      <c r="B196" s="56">
        <v>0.76789600000000002</v>
      </c>
    </row>
    <row r="197" spans="1:2">
      <c r="A197" s="56">
        <v>0.73599999999999999</v>
      </c>
      <c r="B197" s="56">
        <v>0.76789600000000002</v>
      </c>
    </row>
    <row r="198" spans="1:2">
      <c r="A198" s="56">
        <v>0.74</v>
      </c>
      <c r="B198" s="56">
        <v>0.76786500000000002</v>
      </c>
    </row>
    <row r="199" spans="1:2">
      <c r="A199" s="56">
        <v>0.74399999999999999</v>
      </c>
      <c r="B199" s="56">
        <v>0.76799200000000001</v>
      </c>
    </row>
    <row r="200" spans="1:2">
      <c r="A200" s="56">
        <v>0.748</v>
      </c>
      <c r="B200" s="56">
        <v>0.76805599999999996</v>
      </c>
    </row>
    <row r="201" spans="1:2">
      <c r="A201" s="56">
        <v>0.752</v>
      </c>
      <c r="B201" s="56">
        <v>0.76799200000000001</v>
      </c>
    </row>
    <row r="202" spans="1:2">
      <c r="A202" s="56">
        <v>0.75600000000000001</v>
      </c>
      <c r="B202" s="56">
        <v>0.76767399999999997</v>
      </c>
    </row>
    <row r="203" spans="1:2">
      <c r="A203" s="56">
        <v>0.76</v>
      </c>
      <c r="B203" s="56">
        <v>0.76748300000000003</v>
      </c>
    </row>
    <row r="204" spans="1:2">
      <c r="A204" s="56">
        <v>0.76400000000000001</v>
      </c>
      <c r="B204" s="56">
        <v>0.76741899999999996</v>
      </c>
    </row>
    <row r="205" spans="1:2">
      <c r="A205" s="56">
        <v>0.76800000000000002</v>
      </c>
      <c r="B205" s="56">
        <v>0.76716399999999996</v>
      </c>
    </row>
    <row r="206" spans="1:2">
      <c r="A206" s="56">
        <v>0.77200000000000002</v>
      </c>
      <c r="B206" s="56">
        <v>0.76735500000000001</v>
      </c>
    </row>
    <row r="207" spans="1:2">
      <c r="A207" s="56">
        <v>0.77600000000000002</v>
      </c>
      <c r="B207" s="56">
        <v>0.76729199999999997</v>
      </c>
    </row>
    <row r="208" spans="1:2">
      <c r="A208" s="56">
        <v>0.78</v>
      </c>
      <c r="B208" s="56">
        <v>0.76729199999999997</v>
      </c>
    </row>
    <row r="209" spans="1:2">
      <c r="A209" s="56">
        <v>0.78400000000000003</v>
      </c>
      <c r="B209" s="56">
        <v>0.76729199999999997</v>
      </c>
    </row>
    <row r="210" spans="1:2">
      <c r="A210" s="56">
        <v>0.78800000000000003</v>
      </c>
      <c r="B210" s="56">
        <v>0.76710100000000003</v>
      </c>
    </row>
    <row r="211" spans="1:2">
      <c r="A211" s="56">
        <v>0.79200000000000004</v>
      </c>
      <c r="B211" s="56">
        <v>0.76703699999999997</v>
      </c>
    </row>
    <row r="212" spans="1:2">
      <c r="A212" s="56">
        <v>0.79600000000000004</v>
      </c>
      <c r="B212" s="56">
        <v>0.76697300000000002</v>
      </c>
    </row>
    <row r="213" spans="1:2">
      <c r="A213" s="56">
        <v>0.8</v>
      </c>
      <c r="B213" s="56">
        <v>0.76710100000000003</v>
      </c>
    </row>
    <row r="214" spans="1:2">
      <c r="A214" s="56">
        <v>0.80400000000000005</v>
      </c>
      <c r="B214" s="56">
        <v>0.76716399999999996</v>
      </c>
    </row>
    <row r="215" spans="1:2">
      <c r="A215" s="56">
        <v>0.80800000000000005</v>
      </c>
      <c r="B215" s="56">
        <v>0.76703699999999997</v>
      </c>
    </row>
    <row r="216" spans="1:2">
      <c r="A216" s="56">
        <v>0.81200000000000006</v>
      </c>
      <c r="B216" s="56">
        <v>0.76700500000000005</v>
      </c>
    </row>
    <row r="217" spans="1:2">
      <c r="A217" s="56">
        <v>0.81599999999999995</v>
      </c>
      <c r="B217" s="56">
        <v>0.76719599999999999</v>
      </c>
    </row>
    <row r="218" spans="1:2">
      <c r="A218" s="56">
        <v>0.82</v>
      </c>
      <c r="B218" s="56">
        <v>0.76719599999999999</v>
      </c>
    </row>
    <row r="219" spans="1:2">
      <c r="A219" s="56">
        <v>0.82399999999999995</v>
      </c>
      <c r="B219" s="56">
        <v>0.76719599999999999</v>
      </c>
    </row>
    <row r="220" spans="1:2">
      <c r="A220" s="56">
        <v>0.82799999999999996</v>
      </c>
      <c r="B220" s="56">
        <v>0.76713200000000004</v>
      </c>
    </row>
    <row r="221" spans="1:2">
      <c r="A221" s="56">
        <v>0.83199999999999996</v>
      </c>
      <c r="B221" s="56">
        <v>0.767069</v>
      </c>
    </row>
    <row r="222" spans="1:2">
      <c r="A222" s="56">
        <v>0.83599999999999997</v>
      </c>
      <c r="B222" s="56">
        <v>0.767069</v>
      </c>
    </row>
    <row r="223" spans="1:2">
      <c r="A223" s="56">
        <v>0.84</v>
      </c>
      <c r="B223" s="56">
        <v>0.767069</v>
      </c>
    </row>
    <row r="224" spans="1:2">
      <c r="A224" s="56">
        <v>0.84399999999999997</v>
      </c>
      <c r="B224" s="56">
        <v>0.76694099999999998</v>
      </c>
    </row>
    <row r="225" spans="1:2">
      <c r="A225" s="56">
        <v>0.84799999999999998</v>
      </c>
      <c r="B225" s="56">
        <v>0.76687799999999995</v>
      </c>
    </row>
    <row r="226" spans="1:2">
      <c r="A226" s="56">
        <v>0.85199999999999998</v>
      </c>
      <c r="B226" s="56">
        <v>0.766432</v>
      </c>
    </row>
    <row r="227" spans="1:2">
      <c r="A227" s="56">
        <v>0.85599999999999998</v>
      </c>
      <c r="B227" s="56">
        <v>0.76649599999999996</v>
      </c>
    </row>
    <row r="228" spans="1:2">
      <c r="A228" s="56">
        <v>0.86</v>
      </c>
      <c r="B228" s="56">
        <v>0.766432</v>
      </c>
    </row>
    <row r="229" spans="1:2">
      <c r="A229" s="56">
        <v>0.86399999999999999</v>
      </c>
      <c r="B229" s="56">
        <v>0.76630500000000001</v>
      </c>
    </row>
    <row r="230" spans="1:2">
      <c r="A230" s="56">
        <v>0.86799999999999999</v>
      </c>
      <c r="B230" s="56">
        <v>0.766432</v>
      </c>
    </row>
    <row r="231" spans="1:2">
      <c r="A231" s="56">
        <v>0.872</v>
      </c>
      <c r="B231" s="56">
        <v>0.766432</v>
      </c>
    </row>
    <row r="232" spans="1:2">
      <c r="A232" s="56">
        <v>0.876</v>
      </c>
      <c r="B232" s="56">
        <v>0.76639999999999997</v>
      </c>
    </row>
    <row r="233" spans="1:2">
      <c r="A233" s="56">
        <v>0.88</v>
      </c>
      <c r="B233" s="56">
        <v>0.76659100000000002</v>
      </c>
    </row>
    <row r="234" spans="1:2">
      <c r="A234" s="56">
        <v>0.88400000000000001</v>
      </c>
      <c r="B234" s="56">
        <v>0.76639999999999997</v>
      </c>
    </row>
    <row r="235" spans="1:2">
      <c r="A235" s="56">
        <v>0.88800000000000001</v>
      </c>
      <c r="B235" s="56">
        <v>0.76646400000000003</v>
      </c>
    </row>
    <row r="236" spans="1:2">
      <c r="A236" s="56">
        <v>0.89200000000000002</v>
      </c>
      <c r="B236" s="56">
        <v>0.76639999999999997</v>
      </c>
    </row>
    <row r="237" spans="1:2">
      <c r="A237" s="56">
        <v>0.89600000000000002</v>
      </c>
      <c r="B237" s="56">
        <v>0.76633700000000005</v>
      </c>
    </row>
    <row r="238" spans="1:2">
      <c r="A238" s="56">
        <v>0.9</v>
      </c>
      <c r="B238" s="56">
        <v>0.76620900000000003</v>
      </c>
    </row>
    <row r="239" spans="1:2">
      <c r="A239" s="56">
        <v>0.90400000000000003</v>
      </c>
      <c r="B239" s="56">
        <v>0.76617800000000003</v>
      </c>
    </row>
    <row r="240" spans="1:2">
      <c r="A240" s="56">
        <v>0.90800000000000003</v>
      </c>
      <c r="B240" s="56">
        <v>0.76624099999999995</v>
      </c>
    </row>
    <row r="241" spans="1:2">
      <c r="A241" s="56">
        <v>0.91200000000000003</v>
      </c>
      <c r="B241" s="56">
        <v>0.76605000000000001</v>
      </c>
    </row>
    <row r="242" spans="1:2">
      <c r="A242" s="56">
        <v>0.91600000000000004</v>
      </c>
      <c r="B242" s="56">
        <v>0.76598699999999997</v>
      </c>
    </row>
    <row r="243" spans="1:2">
      <c r="A243" s="56">
        <v>0.92</v>
      </c>
      <c r="B243" s="56">
        <v>0.76585899999999996</v>
      </c>
    </row>
    <row r="244" spans="1:2">
      <c r="A244" s="56">
        <v>0.92400000000000004</v>
      </c>
      <c r="B244" s="56">
        <v>0.76579600000000003</v>
      </c>
    </row>
    <row r="245" spans="1:2">
      <c r="A245" s="56">
        <v>0.92800000000000005</v>
      </c>
      <c r="B245" s="56">
        <v>0.76579600000000003</v>
      </c>
    </row>
    <row r="246" spans="1:2">
      <c r="A246" s="56">
        <v>0.93200000000000005</v>
      </c>
      <c r="B246" s="56">
        <v>0.76573199999999997</v>
      </c>
    </row>
    <row r="247" spans="1:2">
      <c r="A247" s="56">
        <v>0.93600000000000005</v>
      </c>
      <c r="B247" s="56">
        <v>0.76592300000000002</v>
      </c>
    </row>
    <row r="248" spans="1:2">
      <c r="A248" s="56">
        <v>0.94</v>
      </c>
      <c r="B248" s="56">
        <v>0.76592300000000002</v>
      </c>
    </row>
    <row r="249" spans="1:2">
      <c r="A249" s="56">
        <v>0.94399999999999995</v>
      </c>
      <c r="B249" s="56">
        <v>0.76566800000000002</v>
      </c>
    </row>
    <row r="250" spans="1:2">
      <c r="A250" s="56">
        <v>0.94799999999999995</v>
      </c>
      <c r="B250" s="56">
        <v>0.76547699999999996</v>
      </c>
    </row>
    <row r="251" spans="1:2">
      <c r="A251" s="56">
        <v>0.95199999999999996</v>
      </c>
      <c r="B251" s="56">
        <v>0.76573199999999997</v>
      </c>
    </row>
    <row r="252" spans="1:2">
      <c r="A252" s="56">
        <v>0.95599999999999996</v>
      </c>
      <c r="B252" s="56">
        <v>0.76554100000000003</v>
      </c>
    </row>
    <row r="253" spans="1:2">
      <c r="A253" s="56">
        <v>0.96</v>
      </c>
      <c r="B253" s="56">
        <v>0.76573199999999997</v>
      </c>
    </row>
    <row r="254" spans="1:2">
      <c r="A254" s="56">
        <v>0.96399999999999997</v>
      </c>
      <c r="B254" s="56">
        <v>0.76566800000000002</v>
      </c>
    </row>
    <row r="255" spans="1:2">
      <c r="A255" s="56">
        <v>0.96799999999999997</v>
      </c>
      <c r="B255" s="56">
        <v>0.76560499999999998</v>
      </c>
    </row>
    <row r="256" spans="1:2">
      <c r="A256" s="56">
        <v>0.97199999999999998</v>
      </c>
      <c r="B256" s="56">
        <v>0.76560499999999998</v>
      </c>
    </row>
    <row r="257" spans="1:2">
      <c r="A257" s="56">
        <v>0.97599999999999998</v>
      </c>
      <c r="B257" s="56">
        <v>0.76547699999999996</v>
      </c>
    </row>
    <row r="258" spans="1:2">
      <c r="A258" s="56">
        <v>0.98</v>
      </c>
      <c r="B258" s="56">
        <v>0.76534999999999997</v>
      </c>
    </row>
    <row r="259" spans="1:2">
      <c r="A259" s="56">
        <v>0.98399999999999999</v>
      </c>
      <c r="B259" s="56">
        <v>0.76541400000000004</v>
      </c>
    </row>
    <row r="260" spans="1:2">
      <c r="A260" s="56">
        <v>0.98799999999999999</v>
      </c>
      <c r="B260" s="56">
        <v>0.76541400000000004</v>
      </c>
    </row>
    <row r="261" spans="1:2">
      <c r="A261" s="56">
        <v>0.99199999999999999</v>
      </c>
      <c r="B261" s="56">
        <v>0.76541400000000004</v>
      </c>
    </row>
    <row r="262" spans="1:2">
      <c r="A262" s="56">
        <v>0.996</v>
      </c>
      <c r="B262" s="56">
        <v>0.76528600000000002</v>
      </c>
    </row>
    <row r="263" spans="1:2">
      <c r="A263" s="56">
        <v>1</v>
      </c>
      <c r="B263" s="56">
        <v>0.76525399999999999</v>
      </c>
    </row>
    <row r="264" spans="1:2">
      <c r="A264" s="56">
        <v>1.004</v>
      </c>
      <c r="B264" s="56">
        <v>0.76519099999999995</v>
      </c>
    </row>
    <row r="265" spans="1:2">
      <c r="A265" s="56">
        <v>1.008</v>
      </c>
      <c r="B265" s="56">
        <v>0.765127</v>
      </c>
    </row>
    <row r="266" spans="1:2">
      <c r="A266" s="56">
        <v>1.012</v>
      </c>
      <c r="B266" s="56">
        <v>0.76503200000000005</v>
      </c>
    </row>
    <row r="267" spans="1:2">
      <c r="A267" s="56">
        <v>1.016</v>
      </c>
      <c r="B267" s="56">
        <v>0.76509499999999997</v>
      </c>
    </row>
    <row r="268" spans="1:2">
      <c r="A268" s="56">
        <v>1.02</v>
      </c>
      <c r="B268" s="56">
        <v>0.76515900000000003</v>
      </c>
    </row>
    <row r="269" spans="1:2">
      <c r="A269" s="56">
        <v>1.024</v>
      </c>
      <c r="B269" s="56">
        <v>0.76522299999999999</v>
      </c>
    </row>
    <row r="270" spans="1:2">
      <c r="A270" s="56">
        <v>1.028</v>
      </c>
      <c r="B270" s="56">
        <v>0.76515900000000003</v>
      </c>
    </row>
    <row r="271" spans="1:2">
      <c r="A271" s="56">
        <v>1.032</v>
      </c>
      <c r="B271" s="56">
        <v>0.76522299999999999</v>
      </c>
    </row>
    <row r="272" spans="1:2">
      <c r="A272" s="56">
        <v>1.036</v>
      </c>
      <c r="B272" s="56">
        <v>0.76509499999999997</v>
      </c>
    </row>
    <row r="273" spans="1:2">
      <c r="A273" s="56">
        <v>1.04</v>
      </c>
      <c r="B273" s="56">
        <v>0.76458599999999999</v>
      </c>
    </row>
    <row r="274" spans="1:2">
      <c r="A274" s="56">
        <v>1.044</v>
      </c>
      <c r="B274" s="56">
        <v>0.76471299999999998</v>
      </c>
    </row>
    <row r="275" spans="1:2">
      <c r="A275" s="56">
        <v>1.048</v>
      </c>
      <c r="B275" s="56">
        <v>0.76452200000000003</v>
      </c>
    </row>
    <row r="276" spans="1:2">
      <c r="A276" s="56">
        <v>1.052</v>
      </c>
      <c r="B276" s="56">
        <v>0.76439500000000005</v>
      </c>
    </row>
    <row r="277" spans="1:2">
      <c r="A277" s="56">
        <v>1.056</v>
      </c>
      <c r="B277" s="56">
        <v>0.76439500000000005</v>
      </c>
    </row>
    <row r="278" spans="1:2">
      <c r="A278" s="56">
        <v>1.06</v>
      </c>
      <c r="B278" s="56">
        <v>0.76439500000000005</v>
      </c>
    </row>
    <row r="279" spans="1:2">
      <c r="A279" s="56">
        <v>1.0640000000000001</v>
      </c>
      <c r="B279" s="56">
        <v>0.76433099999999998</v>
      </c>
    </row>
    <row r="280" spans="1:2">
      <c r="A280" s="56">
        <v>1.0680000000000001</v>
      </c>
      <c r="B280" s="56">
        <v>0.76433099999999998</v>
      </c>
    </row>
    <row r="281" spans="1:2">
      <c r="A281" s="56">
        <v>1.0720000000000001</v>
      </c>
      <c r="B281" s="56">
        <v>0.76420399999999999</v>
      </c>
    </row>
    <row r="282" spans="1:2">
      <c r="A282" s="56">
        <v>1.0760000000000001</v>
      </c>
      <c r="B282" s="56">
        <v>0.76439500000000005</v>
      </c>
    </row>
    <row r="283" spans="1:2">
      <c r="A283" s="56">
        <v>1.08</v>
      </c>
      <c r="B283" s="56">
        <v>0.76439500000000005</v>
      </c>
    </row>
    <row r="284" spans="1:2">
      <c r="A284" s="56">
        <v>1.0840000000000001</v>
      </c>
      <c r="B284" s="56">
        <v>0.76426799999999995</v>
      </c>
    </row>
    <row r="285" spans="1:2">
      <c r="A285" s="56">
        <v>1.0880000000000001</v>
      </c>
      <c r="B285" s="56">
        <v>0.764459</v>
      </c>
    </row>
    <row r="286" spans="1:2">
      <c r="A286" s="56">
        <v>1.0920000000000001</v>
      </c>
      <c r="B286" s="56">
        <v>0.76455399999999996</v>
      </c>
    </row>
    <row r="287" spans="1:2">
      <c r="A287" s="56">
        <v>1.0960000000000001</v>
      </c>
      <c r="B287" s="56">
        <v>0.76461800000000002</v>
      </c>
    </row>
    <row r="288" spans="1:2">
      <c r="A288" s="56">
        <v>1.1000000000000001</v>
      </c>
      <c r="B288" s="56">
        <v>0.76449100000000003</v>
      </c>
    </row>
    <row r="289" spans="1:2">
      <c r="A289" s="56">
        <v>1.1040000000000001</v>
      </c>
      <c r="B289" s="56">
        <v>0.76429999999999998</v>
      </c>
    </row>
    <row r="290" spans="1:2">
      <c r="A290" s="56">
        <v>1.1080000000000001</v>
      </c>
      <c r="B290" s="56">
        <v>0.76417199999999996</v>
      </c>
    </row>
    <row r="291" spans="1:2">
      <c r="A291" s="56">
        <v>1.1120000000000001</v>
      </c>
      <c r="B291" s="56">
        <v>0.76417199999999996</v>
      </c>
    </row>
    <row r="292" spans="1:2">
      <c r="A292" s="56">
        <v>1.1160000000000001</v>
      </c>
      <c r="B292" s="56">
        <v>0.76417199999999996</v>
      </c>
    </row>
    <row r="293" spans="1:2">
      <c r="A293" s="56">
        <v>1.1200000000000001</v>
      </c>
      <c r="B293" s="56">
        <v>0.76410900000000004</v>
      </c>
    </row>
    <row r="294" spans="1:2">
      <c r="A294" s="56">
        <v>1.1240000000000001</v>
      </c>
      <c r="B294" s="56">
        <v>0.76417199999999996</v>
      </c>
    </row>
    <row r="295" spans="1:2">
      <c r="A295" s="56">
        <v>1.1279999999999999</v>
      </c>
      <c r="B295" s="56">
        <v>0.76410900000000004</v>
      </c>
    </row>
    <row r="296" spans="1:2">
      <c r="A296" s="56">
        <v>1.1319999999999999</v>
      </c>
      <c r="B296" s="56">
        <v>0.76391799999999999</v>
      </c>
    </row>
    <row r="297" spans="1:2">
      <c r="A297" s="56">
        <v>1.1359999999999999</v>
      </c>
      <c r="B297" s="56">
        <v>0.76372700000000004</v>
      </c>
    </row>
    <row r="298" spans="1:2">
      <c r="A298" s="56">
        <v>1.1399999999999999</v>
      </c>
      <c r="B298" s="56">
        <v>0.76378999999999997</v>
      </c>
    </row>
    <row r="299" spans="1:2">
      <c r="A299" s="56">
        <v>1.1439999999999999</v>
      </c>
      <c r="B299" s="56">
        <v>0.76353599999999999</v>
      </c>
    </row>
    <row r="300" spans="1:2">
      <c r="A300" s="56">
        <v>1.1479999999999999</v>
      </c>
      <c r="B300" s="56">
        <v>0.763567</v>
      </c>
    </row>
    <row r="301" spans="1:2">
      <c r="A301" s="56">
        <v>1.1519999999999999</v>
      </c>
      <c r="B301" s="56">
        <v>0.76363099999999995</v>
      </c>
    </row>
    <row r="302" spans="1:2">
      <c r="A302" s="56">
        <v>1.1559999999999999</v>
      </c>
      <c r="B302" s="56">
        <v>0.76369500000000001</v>
      </c>
    </row>
    <row r="303" spans="1:2">
      <c r="A303" s="56">
        <v>1.1599999999999999</v>
      </c>
      <c r="B303" s="56">
        <v>0.76375800000000005</v>
      </c>
    </row>
    <row r="304" spans="1:2">
      <c r="A304" s="56">
        <v>1.1639999999999999</v>
      </c>
      <c r="B304" s="56">
        <v>0.763567</v>
      </c>
    </row>
    <row r="305" spans="1:2">
      <c r="A305" s="56">
        <v>1.1679999999999999</v>
      </c>
      <c r="B305" s="56">
        <v>0.763567</v>
      </c>
    </row>
    <row r="306" spans="1:2">
      <c r="A306" s="56">
        <v>1.1719999999999999</v>
      </c>
      <c r="B306" s="56">
        <v>0.763567</v>
      </c>
    </row>
    <row r="307" spans="1:2">
      <c r="A307" s="56">
        <v>1.1759999999999999</v>
      </c>
      <c r="B307" s="56">
        <v>0.763567</v>
      </c>
    </row>
    <row r="308" spans="1:2">
      <c r="A308" s="56">
        <v>1.18</v>
      </c>
      <c r="B308" s="56">
        <v>0.76363099999999995</v>
      </c>
    </row>
    <row r="309" spans="1:2">
      <c r="A309" s="56">
        <v>1.1839999999999999</v>
      </c>
      <c r="B309" s="56">
        <v>0.76337699999999997</v>
      </c>
    </row>
    <row r="310" spans="1:2">
      <c r="A310" s="56">
        <v>1.1879999999999999</v>
      </c>
      <c r="B310" s="56">
        <v>0.76334500000000005</v>
      </c>
    </row>
    <row r="311" spans="1:2">
      <c r="A311" s="56">
        <v>1.1919999999999999</v>
      </c>
      <c r="B311" s="56">
        <v>0.76321700000000003</v>
      </c>
    </row>
    <row r="312" spans="1:2">
      <c r="A312" s="56">
        <v>1.196</v>
      </c>
      <c r="B312" s="56">
        <v>0.763154</v>
      </c>
    </row>
    <row r="313" spans="1:2">
      <c r="A313" s="56">
        <v>1.2</v>
      </c>
      <c r="B313" s="56">
        <v>0.76296299999999995</v>
      </c>
    </row>
    <row r="314" spans="1:2">
      <c r="A314" s="56">
        <v>1.204</v>
      </c>
      <c r="B314" s="56">
        <v>0.76289899999999999</v>
      </c>
    </row>
    <row r="315" spans="1:2">
      <c r="A315" s="56">
        <v>1.208</v>
      </c>
      <c r="B315" s="56">
        <v>0.76296299999999995</v>
      </c>
    </row>
    <row r="316" spans="1:2">
      <c r="A316" s="56">
        <v>1.212</v>
      </c>
      <c r="B316" s="56">
        <v>0.763154</v>
      </c>
    </row>
    <row r="317" spans="1:2">
      <c r="A317" s="56">
        <v>1.216</v>
      </c>
      <c r="B317" s="56">
        <v>0.763154</v>
      </c>
    </row>
    <row r="318" spans="1:2">
      <c r="A318" s="56">
        <v>1.22</v>
      </c>
      <c r="B318" s="56">
        <v>0.763154</v>
      </c>
    </row>
    <row r="319" spans="1:2">
      <c r="A319" s="56">
        <v>1.224</v>
      </c>
      <c r="B319" s="56">
        <v>0.76334500000000005</v>
      </c>
    </row>
    <row r="320" spans="1:2">
      <c r="A320" s="56">
        <v>1.228</v>
      </c>
      <c r="B320" s="56">
        <v>0.76302599999999998</v>
      </c>
    </row>
    <row r="321" spans="1:2">
      <c r="A321" s="56">
        <v>1.232</v>
      </c>
      <c r="B321" s="56">
        <v>0.76302599999999998</v>
      </c>
    </row>
    <row r="322" spans="1:2">
      <c r="A322" s="56">
        <v>1.236</v>
      </c>
      <c r="B322" s="56">
        <v>0.76296299999999995</v>
      </c>
    </row>
    <row r="323" spans="1:2">
      <c r="A323" s="56">
        <v>1.24</v>
      </c>
      <c r="B323" s="56">
        <v>0.76270800000000005</v>
      </c>
    </row>
    <row r="324" spans="1:2">
      <c r="A324" s="56">
        <v>1.244</v>
      </c>
      <c r="B324" s="56">
        <v>0.76270800000000005</v>
      </c>
    </row>
    <row r="325" spans="1:2">
      <c r="A325" s="56">
        <v>1.248</v>
      </c>
      <c r="B325" s="56">
        <v>0.76277200000000001</v>
      </c>
    </row>
    <row r="326" spans="1:2">
      <c r="A326" s="56">
        <v>1.252</v>
      </c>
      <c r="B326" s="56">
        <v>0.76264399999999999</v>
      </c>
    </row>
    <row r="327" spans="1:2">
      <c r="A327" s="56">
        <v>1.256</v>
      </c>
      <c r="B327" s="56">
        <v>0.76270800000000005</v>
      </c>
    </row>
    <row r="328" spans="1:2">
      <c r="A328" s="56">
        <v>1.26</v>
      </c>
      <c r="B328" s="56">
        <v>0.762517</v>
      </c>
    </row>
    <row r="329" spans="1:2">
      <c r="A329" s="56">
        <v>1.264</v>
      </c>
      <c r="B329" s="56">
        <v>0.76258099999999995</v>
      </c>
    </row>
    <row r="330" spans="1:2">
      <c r="A330" s="56">
        <v>1.268</v>
      </c>
      <c r="B330" s="56">
        <v>0.76264399999999999</v>
      </c>
    </row>
    <row r="331" spans="1:2">
      <c r="A331" s="56">
        <v>1.272</v>
      </c>
      <c r="B331" s="56">
        <v>0.76258099999999995</v>
      </c>
    </row>
    <row r="332" spans="1:2">
      <c r="A332" s="56">
        <v>1.276</v>
      </c>
      <c r="B332" s="56">
        <v>0.762517</v>
      </c>
    </row>
    <row r="333" spans="1:2">
      <c r="A333" s="56">
        <v>1.28</v>
      </c>
      <c r="B333" s="56">
        <v>0.76248499999999997</v>
      </c>
    </row>
    <row r="334" spans="1:2">
      <c r="A334" s="56">
        <v>1.284</v>
      </c>
      <c r="B334" s="56">
        <v>0.76245300000000005</v>
      </c>
    </row>
    <row r="335" spans="1:2">
      <c r="A335" s="56">
        <v>1.288</v>
      </c>
      <c r="B335" s="56">
        <v>0.76245300000000005</v>
      </c>
    </row>
    <row r="336" spans="1:2">
      <c r="A336" s="56">
        <v>1.292</v>
      </c>
      <c r="B336" s="56">
        <v>0.76239000000000001</v>
      </c>
    </row>
    <row r="337" spans="1:2">
      <c r="A337" s="56">
        <v>1.296</v>
      </c>
      <c r="B337" s="56">
        <v>0.76232599999999995</v>
      </c>
    </row>
    <row r="338" spans="1:2">
      <c r="A338" s="56">
        <v>1.3</v>
      </c>
      <c r="B338" s="56">
        <v>0.762262</v>
      </c>
    </row>
    <row r="339" spans="1:2">
      <c r="A339" s="56">
        <v>1.304</v>
      </c>
      <c r="B339" s="56">
        <v>0.76232599999999995</v>
      </c>
    </row>
    <row r="340" spans="1:2">
      <c r="A340" s="56">
        <v>1.3080000000000001</v>
      </c>
      <c r="B340" s="56">
        <v>0.762262</v>
      </c>
    </row>
    <row r="341" spans="1:2">
      <c r="A341" s="56">
        <v>1.3120000000000001</v>
      </c>
      <c r="B341" s="56">
        <v>0.762262</v>
      </c>
    </row>
    <row r="342" spans="1:2">
      <c r="A342" s="56">
        <v>1.3160000000000001</v>
      </c>
      <c r="B342" s="56">
        <v>0.76232599999999995</v>
      </c>
    </row>
    <row r="343" spans="1:2">
      <c r="A343" s="56">
        <v>1.32</v>
      </c>
      <c r="B343" s="56">
        <v>0.76207100000000005</v>
      </c>
    </row>
    <row r="344" spans="1:2">
      <c r="A344" s="56">
        <v>1.3240000000000001</v>
      </c>
      <c r="B344" s="56">
        <v>0.76181699999999997</v>
      </c>
    </row>
    <row r="345" spans="1:2">
      <c r="A345" s="56">
        <v>1.3280000000000001</v>
      </c>
      <c r="B345" s="56">
        <v>0.76181699999999997</v>
      </c>
    </row>
    <row r="346" spans="1:2">
      <c r="A346" s="56">
        <v>1.3320000000000001</v>
      </c>
      <c r="B346" s="56">
        <v>0.76149900000000004</v>
      </c>
    </row>
    <row r="347" spans="1:2">
      <c r="A347" s="56">
        <v>1.3360000000000001</v>
      </c>
      <c r="B347" s="56">
        <v>0.76149900000000004</v>
      </c>
    </row>
    <row r="348" spans="1:2">
      <c r="A348" s="56">
        <v>1.34</v>
      </c>
      <c r="B348" s="56">
        <v>0.76143499999999997</v>
      </c>
    </row>
    <row r="349" spans="1:2">
      <c r="A349" s="56">
        <v>1.3440000000000001</v>
      </c>
      <c r="B349" s="56">
        <v>0.76149900000000004</v>
      </c>
    </row>
    <row r="350" spans="1:2">
      <c r="A350" s="56">
        <v>1.3480000000000001</v>
      </c>
      <c r="B350" s="56">
        <v>0.76162600000000003</v>
      </c>
    </row>
    <row r="351" spans="1:2">
      <c r="A351" s="56">
        <v>1.3520000000000001</v>
      </c>
      <c r="B351" s="56">
        <v>0.76156199999999996</v>
      </c>
    </row>
    <row r="352" spans="1:2">
      <c r="A352" s="56">
        <v>1.3560000000000001</v>
      </c>
      <c r="B352" s="56">
        <v>0.76149900000000004</v>
      </c>
    </row>
    <row r="353" spans="1:2">
      <c r="A353" s="56">
        <v>1.36</v>
      </c>
      <c r="B353" s="56">
        <v>0.76175300000000001</v>
      </c>
    </row>
    <row r="354" spans="1:2">
      <c r="A354" s="56">
        <v>1.3640000000000001</v>
      </c>
      <c r="B354" s="56">
        <v>0.76194399999999995</v>
      </c>
    </row>
    <row r="355" spans="1:2">
      <c r="A355" s="56">
        <v>1.3680000000000001</v>
      </c>
      <c r="B355" s="56">
        <v>0.76188100000000003</v>
      </c>
    </row>
    <row r="356" spans="1:2">
      <c r="A356" s="56">
        <v>1.3720000000000001</v>
      </c>
      <c r="B356" s="56">
        <v>0.76175300000000001</v>
      </c>
    </row>
    <row r="357" spans="1:2">
      <c r="A357" s="56">
        <v>1.3759999999999999</v>
      </c>
      <c r="B357" s="56">
        <v>0.76165799999999995</v>
      </c>
    </row>
    <row r="358" spans="1:2">
      <c r="A358" s="56">
        <v>1.38</v>
      </c>
      <c r="B358" s="56">
        <v>0.76153000000000004</v>
      </c>
    </row>
    <row r="359" spans="1:2">
      <c r="A359" s="56">
        <v>1.3839999999999999</v>
      </c>
      <c r="B359" s="56">
        <v>0.76153000000000004</v>
      </c>
    </row>
    <row r="360" spans="1:2">
      <c r="A360" s="56">
        <v>1.3879999999999999</v>
      </c>
      <c r="B360" s="56">
        <v>0.76127599999999995</v>
      </c>
    </row>
    <row r="361" spans="1:2">
      <c r="A361" s="56">
        <v>1.3919999999999999</v>
      </c>
      <c r="B361" s="56">
        <v>0.76127599999999995</v>
      </c>
    </row>
    <row r="362" spans="1:2">
      <c r="A362" s="56">
        <v>1.3959999999999999</v>
      </c>
      <c r="B362" s="56">
        <v>0.76127599999999995</v>
      </c>
    </row>
    <row r="363" spans="1:2">
      <c r="A363" s="56">
        <v>1.4</v>
      </c>
      <c r="B363" s="56">
        <v>0.76133899999999999</v>
      </c>
    </row>
    <row r="364" spans="1:2">
      <c r="A364" s="56">
        <v>1.4039999999999999</v>
      </c>
      <c r="B364" s="56">
        <v>0.76140300000000005</v>
      </c>
    </row>
    <row r="365" spans="1:2">
      <c r="A365" s="56">
        <v>1.4079999999999999</v>
      </c>
      <c r="B365" s="56">
        <v>0.761467</v>
      </c>
    </row>
    <row r="366" spans="1:2">
      <c r="A366" s="56">
        <v>1.4119999999999999</v>
      </c>
      <c r="B366" s="56">
        <v>0.76140300000000005</v>
      </c>
    </row>
    <row r="367" spans="1:2">
      <c r="A367" s="56">
        <v>1.4159999999999999</v>
      </c>
      <c r="B367" s="56">
        <v>0.76095699999999999</v>
      </c>
    </row>
    <row r="368" spans="1:2">
      <c r="A368" s="56">
        <v>1.42</v>
      </c>
      <c r="B368" s="56">
        <v>0.76098900000000003</v>
      </c>
    </row>
    <row r="369" spans="1:2">
      <c r="A369" s="56">
        <v>1.4239999999999999</v>
      </c>
      <c r="B369" s="56">
        <v>0.76092599999999999</v>
      </c>
    </row>
    <row r="370" spans="1:2">
      <c r="A370" s="56">
        <v>1.4279999999999999</v>
      </c>
      <c r="B370" s="56">
        <v>0.76079799999999997</v>
      </c>
    </row>
    <row r="371" spans="1:2">
      <c r="A371" s="56">
        <v>1.4319999999999999</v>
      </c>
      <c r="B371" s="56">
        <v>0.76086200000000004</v>
      </c>
    </row>
    <row r="372" spans="1:2">
      <c r="A372" s="56">
        <v>1.4359999999999999</v>
      </c>
      <c r="B372" s="56">
        <v>0.76086200000000004</v>
      </c>
    </row>
    <row r="373" spans="1:2">
      <c r="A373" s="56">
        <v>1.44</v>
      </c>
      <c r="B373" s="56">
        <v>0.76076600000000005</v>
      </c>
    </row>
    <row r="374" spans="1:2">
      <c r="A374" s="56">
        <v>1.444</v>
      </c>
      <c r="B374" s="56">
        <v>0.76083000000000001</v>
      </c>
    </row>
    <row r="375" spans="1:2">
      <c r="A375" s="56">
        <v>1.448</v>
      </c>
      <c r="B375" s="56">
        <v>0.760575</v>
      </c>
    </row>
    <row r="376" spans="1:2">
      <c r="A376" s="56">
        <v>1.452</v>
      </c>
      <c r="B376" s="56">
        <v>0.76063899999999995</v>
      </c>
    </row>
    <row r="377" spans="1:2">
      <c r="A377" s="56">
        <v>1.456</v>
      </c>
      <c r="B377" s="56">
        <v>0.76038499999999998</v>
      </c>
    </row>
    <row r="378" spans="1:2">
      <c r="A378" s="56">
        <v>1.46</v>
      </c>
      <c r="B378" s="56">
        <v>0.75993900000000003</v>
      </c>
    </row>
    <row r="379" spans="1:2">
      <c r="A379" s="56">
        <v>1.464</v>
      </c>
      <c r="B379" s="56">
        <v>0.75952500000000001</v>
      </c>
    </row>
    <row r="380" spans="1:2">
      <c r="A380" s="56">
        <v>1.468</v>
      </c>
      <c r="B380" s="56">
        <v>0.75917500000000004</v>
      </c>
    </row>
    <row r="381" spans="1:2">
      <c r="A381" s="56">
        <v>1.472</v>
      </c>
      <c r="B381" s="56">
        <v>0.758857</v>
      </c>
    </row>
    <row r="382" spans="1:2">
      <c r="A382" s="56">
        <v>1.476</v>
      </c>
      <c r="B382" s="56">
        <v>0.75841099999999995</v>
      </c>
    </row>
    <row r="383" spans="1:2">
      <c r="A383" s="56">
        <v>1.48</v>
      </c>
      <c r="B383" s="56">
        <v>0.75790199999999996</v>
      </c>
    </row>
    <row r="384" spans="1:2">
      <c r="A384" s="56">
        <v>1.484</v>
      </c>
      <c r="B384" s="56">
        <v>0.75736099999999995</v>
      </c>
    </row>
    <row r="385" spans="1:2">
      <c r="A385" s="56">
        <v>1.488</v>
      </c>
      <c r="B385" s="56">
        <v>0.75723300000000004</v>
      </c>
    </row>
    <row r="386" spans="1:2">
      <c r="A386" s="56">
        <v>1.492</v>
      </c>
      <c r="B386" s="56">
        <v>0.75685100000000005</v>
      </c>
    </row>
    <row r="387" spans="1:2">
      <c r="A387" s="56">
        <v>1.496</v>
      </c>
      <c r="B387" s="56">
        <v>0.75666</v>
      </c>
    </row>
    <row r="388" spans="1:2">
      <c r="A388" s="56">
        <v>1.5</v>
      </c>
      <c r="B388" s="56">
        <v>0.75659699999999996</v>
      </c>
    </row>
    <row r="389" spans="1:2">
      <c r="A389" s="56">
        <v>1.504</v>
      </c>
      <c r="B389" s="56">
        <v>0.75583299999999998</v>
      </c>
    </row>
    <row r="390" spans="1:2">
      <c r="A390" s="56">
        <v>1.508</v>
      </c>
      <c r="B390" s="56">
        <v>0.75516399999999995</v>
      </c>
    </row>
    <row r="391" spans="1:2">
      <c r="A391" s="56">
        <v>1.512</v>
      </c>
      <c r="B391" s="56">
        <v>0.75452799999999998</v>
      </c>
    </row>
    <row r="392" spans="1:2">
      <c r="A392" s="56">
        <v>1.516</v>
      </c>
      <c r="B392" s="56">
        <v>0.75414599999999998</v>
      </c>
    </row>
    <row r="393" spans="1:2">
      <c r="A393" s="56">
        <v>1.52</v>
      </c>
      <c r="B393" s="56">
        <v>0.753382</v>
      </c>
    </row>
    <row r="394" spans="1:2">
      <c r="A394" s="56">
        <v>1.524</v>
      </c>
      <c r="B394" s="56">
        <v>0.75277700000000003</v>
      </c>
    </row>
    <row r="395" spans="1:2">
      <c r="A395" s="56">
        <v>1.528</v>
      </c>
      <c r="B395" s="56">
        <v>0.75214099999999995</v>
      </c>
    </row>
    <row r="396" spans="1:2">
      <c r="A396" s="56">
        <v>1.532</v>
      </c>
      <c r="B396" s="56">
        <v>0.751695</v>
      </c>
    </row>
    <row r="397" spans="1:2">
      <c r="A397" s="56">
        <v>1.536</v>
      </c>
      <c r="B397" s="56">
        <v>0.75137699999999996</v>
      </c>
    </row>
    <row r="398" spans="1:2">
      <c r="A398" s="56">
        <v>1.54</v>
      </c>
      <c r="B398" s="56">
        <v>0.75073999999999996</v>
      </c>
    </row>
    <row r="399" spans="1:2">
      <c r="A399" s="56">
        <v>1.544</v>
      </c>
      <c r="B399" s="56">
        <v>0.75023099999999998</v>
      </c>
    </row>
    <row r="400" spans="1:2">
      <c r="A400" s="56">
        <v>1.548</v>
      </c>
      <c r="B400" s="56">
        <v>0.74949900000000003</v>
      </c>
    </row>
    <row r="401" spans="1:2">
      <c r="A401" s="56">
        <v>1.552</v>
      </c>
      <c r="B401" s="56">
        <v>0.74905299999999997</v>
      </c>
    </row>
    <row r="402" spans="1:2">
      <c r="A402" s="56">
        <v>1.556</v>
      </c>
      <c r="B402" s="56">
        <v>0.74851199999999996</v>
      </c>
    </row>
    <row r="403" spans="1:2">
      <c r="A403" s="56">
        <v>1.56</v>
      </c>
      <c r="B403" s="56">
        <v>0.74768400000000002</v>
      </c>
    </row>
    <row r="404" spans="1:2">
      <c r="A404" s="56">
        <v>1.5640000000000001</v>
      </c>
      <c r="B404" s="56">
        <v>0.74672899999999998</v>
      </c>
    </row>
    <row r="405" spans="1:2">
      <c r="A405" s="56">
        <v>1.5680000000000001</v>
      </c>
      <c r="B405" s="56">
        <v>0.74571100000000001</v>
      </c>
    </row>
    <row r="406" spans="1:2">
      <c r="A406" s="56">
        <v>1.5720000000000001</v>
      </c>
      <c r="B406" s="56">
        <v>0.74440600000000001</v>
      </c>
    </row>
    <row r="407" spans="1:2">
      <c r="A407" s="56">
        <v>1.5760000000000001</v>
      </c>
      <c r="B407" s="56">
        <v>0.74357799999999996</v>
      </c>
    </row>
    <row r="408" spans="1:2">
      <c r="A408" s="56">
        <v>1.58</v>
      </c>
      <c r="B408" s="56">
        <v>0.74233700000000002</v>
      </c>
    </row>
    <row r="409" spans="1:2">
      <c r="A409" s="56">
        <v>1.5840000000000001</v>
      </c>
      <c r="B409" s="56">
        <v>0.74093600000000004</v>
      </c>
    </row>
    <row r="410" spans="1:2">
      <c r="A410" s="56">
        <v>1.5880000000000001</v>
      </c>
      <c r="B410" s="56">
        <v>0.74017299999999997</v>
      </c>
    </row>
    <row r="411" spans="1:2">
      <c r="A411" s="56">
        <v>1.5920000000000001</v>
      </c>
      <c r="B411" s="56">
        <v>0.73705299999999996</v>
      </c>
    </row>
    <row r="412" spans="1:2">
      <c r="A412" s="56">
        <v>1.5960000000000001</v>
      </c>
      <c r="B412" s="56">
        <v>0.73145099999999996</v>
      </c>
    </row>
    <row r="413" spans="1:2">
      <c r="A413" s="56">
        <v>1.6</v>
      </c>
      <c r="B413" s="56">
        <v>0.72330300000000003</v>
      </c>
    </row>
  </sheetData>
  <mergeCells count="2">
    <mergeCell ref="E13:H13"/>
    <mergeCell ref="E14:H14"/>
  </mergeCells>
  <pageMargins left="0.7" right="0.7" top="0.75" bottom="0.75" header="0.3" footer="0.3"/>
  <pageSetup orientation="portrait"/>
  <drawing r:id="rId1"/>
  <legacyDrawing r:id="rId2"/>
  <oleObjects>
    <mc:AlternateContent xmlns:mc="http://schemas.openxmlformats.org/markup-compatibility/2006">
      <mc:Choice Requires="x14">
        <oleObject progId="Equation.3" shapeId="9217" r:id="rId3">
          <objectPr defaultSize="0" autoPict="0" r:id="rId4">
            <anchor moveWithCells="1">
              <from>
                <xdr:col>4</xdr:col>
                <xdr:colOff>182880</xdr:colOff>
                <xdr:row>14</xdr:row>
                <xdr:rowOff>144780</xdr:rowOff>
              </from>
              <to>
                <xdr:col>8</xdr:col>
                <xdr:colOff>45720</xdr:colOff>
                <xdr:row>21</xdr:row>
                <xdr:rowOff>152400</xdr:rowOff>
              </to>
            </anchor>
          </objectPr>
        </oleObject>
      </mc:Choice>
      <mc:Fallback>
        <oleObject progId="Equation.3" shapeId="9217" r:id="rId3"/>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1"/>
  <sheetViews>
    <sheetView workbookViewId="0">
      <selection activeCell="Q23" sqref="Q23"/>
    </sheetView>
  </sheetViews>
  <sheetFormatPr defaultColWidth="8.88671875" defaultRowHeight="14.4"/>
  <cols>
    <col min="1" max="1" width="11.33203125" style="35" customWidth="1"/>
    <col min="2" max="10" width="8.88671875" style="34"/>
    <col min="11" max="11" width="10.44140625" style="34" customWidth="1"/>
    <col min="12" max="14" width="8.88671875" style="34"/>
    <col min="15" max="15" width="18" style="34" bestFit="1" customWidth="1"/>
    <col min="16" max="16" width="12" style="34" bestFit="1" customWidth="1"/>
    <col min="17" max="19" width="10.44140625" style="34" bestFit="1" customWidth="1"/>
    <col min="20" max="20" width="8.88671875" style="34"/>
    <col min="21" max="21" width="12" style="34" bestFit="1" customWidth="1"/>
    <col min="22" max="24" width="8.88671875" style="34"/>
    <col min="25" max="25" width="5.44140625" style="34" customWidth="1"/>
    <col min="26" max="16384" width="8.88671875" style="34"/>
  </cols>
  <sheetData>
    <row r="1" spans="1:19">
      <c r="A1" s="3"/>
    </row>
    <row r="2" spans="1:19">
      <c r="A2" s="3"/>
      <c r="Q2" s="531" t="s">
        <v>81</v>
      </c>
      <c r="R2" s="531"/>
      <c r="S2" s="531"/>
    </row>
    <row r="3" spans="1:19">
      <c r="A3" s="3"/>
      <c r="Q3" s="531"/>
      <c r="R3" s="531"/>
      <c r="S3" s="531"/>
    </row>
    <row r="4" spans="1:19">
      <c r="A4" s="3"/>
      <c r="Q4" s="531"/>
      <c r="R4" s="531"/>
      <c r="S4" s="531"/>
    </row>
    <row r="5" spans="1:19">
      <c r="A5" s="3"/>
      <c r="Q5" s="531"/>
      <c r="R5" s="531"/>
      <c r="S5" s="531"/>
    </row>
    <row r="6" spans="1:19">
      <c r="A6" s="3"/>
      <c r="Q6" s="531"/>
      <c r="R6" s="531"/>
      <c r="S6" s="531"/>
    </row>
    <row r="7" spans="1:19">
      <c r="A7" s="3"/>
      <c r="Q7" s="531"/>
      <c r="R7" s="531"/>
      <c r="S7" s="531"/>
    </row>
    <row r="8" spans="1:19">
      <c r="A8" s="3"/>
      <c r="Q8" s="531"/>
      <c r="R8" s="531"/>
      <c r="S8" s="531"/>
    </row>
    <row r="9" spans="1:19">
      <c r="A9" s="3"/>
      <c r="Q9" s="531"/>
      <c r="R9" s="531"/>
      <c r="S9" s="531"/>
    </row>
    <row r="10" spans="1:19">
      <c r="A10" s="3"/>
      <c r="Q10" s="531"/>
      <c r="R10" s="531"/>
      <c r="S10" s="531"/>
    </row>
    <row r="11" spans="1:19">
      <c r="A11" s="3"/>
      <c r="Q11" s="531"/>
      <c r="R11" s="531"/>
      <c r="S11" s="531"/>
    </row>
    <row r="12" spans="1:19">
      <c r="A12" s="3"/>
      <c r="Q12" s="531"/>
      <c r="R12" s="531"/>
      <c r="S12" s="531"/>
    </row>
    <row r="13" spans="1:19">
      <c r="A13" s="3"/>
      <c r="Q13" s="531"/>
      <c r="R13" s="531"/>
      <c r="S13" s="531"/>
    </row>
    <row r="14" spans="1:19">
      <c r="A14" s="3"/>
      <c r="Q14" s="531"/>
      <c r="R14" s="531"/>
      <c r="S14" s="531"/>
    </row>
    <row r="15" spans="1:19">
      <c r="A15" s="3"/>
    </row>
    <row r="16" spans="1:19">
      <c r="A16" s="3"/>
    </row>
    <row r="17" spans="1:8">
      <c r="A17" s="3"/>
    </row>
    <row r="18" spans="1:8">
      <c r="A18" s="3"/>
    </row>
    <row r="19" spans="1:8">
      <c r="A19" s="3"/>
    </row>
    <row r="20" spans="1:8">
      <c r="A20" s="3"/>
    </row>
    <row r="21" spans="1:8">
      <c r="A21" s="3"/>
    </row>
    <row r="22" spans="1:8">
      <c r="A22" s="3"/>
    </row>
    <row r="23" spans="1:8">
      <c r="A23" s="3"/>
    </row>
    <row r="24" spans="1:8">
      <c r="A24" s="3"/>
    </row>
    <row r="25" spans="1:8">
      <c r="A25" s="3"/>
    </row>
    <row r="26" spans="1:8">
      <c r="A26" s="3"/>
    </row>
    <row r="27" spans="1:8">
      <c r="A27" s="3"/>
    </row>
    <row r="28" spans="1:8">
      <c r="A28" s="3"/>
    </row>
    <row r="29" spans="1:8">
      <c r="A29" s="3"/>
    </row>
    <row r="30" spans="1:8">
      <c r="A30" s="3"/>
    </row>
    <row r="31" spans="1:8">
      <c r="A31" s="3"/>
    </row>
    <row r="32" spans="1:8">
      <c r="A32" s="34"/>
      <c r="C32" s="35"/>
      <c r="D32" s="3"/>
      <c r="E32" s="3"/>
      <c r="F32" s="3"/>
      <c r="G32" s="3"/>
      <c r="H32" s="3"/>
    </row>
    <row r="33" spans="1:8">
      <c r="A33" s="34"/>
      <c r="C33" s="35"/>
      <c r="D33" s="3"/>
      <c r="E33" s="3"/>
      <c r="F33" s="3"/>
      <c r="G33" s="40"/>
      <c r="H33" s="41"/>
    </row>
    <row r="34" spans="1:8">
      <c r="A34" s="34"/>
      <c r="C34" s="35"/>
      <c r="D34" s="3"/>
      <c r="E34" s="3"/>
      <c r="F34" s="3"/>
      <c r="G34" s="40"/>
      <c r="H34" s="41"/>
    </row>
    <row r="35" spans="1:8">
      <c r="A35" s="34"/>
      <c r="D35" s="3"/>
      <c r="E35" s="3"/>
      <c r="F35" s="3"/>
      <c r="G35" s="3"/>
      <c r="H35" s="3"/>
    </row>
    <row r="36" spans="1:8">
      <c r="A36" s="34"/>
      <c r="D36" s="3"/>
      <c r="E36" s="3"/>
      <c r="F36" s="3"/>
      <c r="G36" s="3"/>
      <c r="H36" s="3"/>
    </row>
    <row r="37" spans="1:8">
      <c r="A37" s="34"/>
      <c r="D37" s="3"/>
      <c r="E37" s="3"/>
      <c r="F37" s="3"/>
      <c r="G37" s="3"/>
      <c r="H37" s="3"/>
    </row>
    <row r="38" spans="1:8">
      <c r="A38" s="34"/>
      <c r="D38" s="3"/>
      <c r="E38" s="3"/>
      <c r="F38" s="3"/>
      <c r="G38" s="3"/>
      <c r="H38" s="3"/>
    </row>
    <row r="39" spans="1:8">
      <c r="A39" s="34"/>
      <c r="D39" s="3"/>
      <c r="E39" s="3"/>
      <c r="F39" s="3"/>
      <c r="G39" s="3"/>
      <c r="H39" s="3"/>
    </row>
    <row r="40" spans="1:8">
      <c r="A40" s="34"/>
      <c r="D40" s="3"/>
      <c r="E40" s="3"/>
      <c r="F40" s="3"/>
      <c r="G40" s="3"/>
      <c r="H40" s="3"/>
    </row>
    <row r="41" spans="1:8">
      <c r="A41" s="34"/>
      <c r="D41" s="3"/>
      <c r="E41" s="3"/>
      <c r="F41" s="3"/>
      <c r="G41" s="3"/>
      <c r="H41" s="3"/>
    </row>
    <row r="42" spans="1:8">
      <c r="A42" s="34"/>
      <c r="D42" s="3"/>
      <c r="E42" s="3"/>
      <c r="F42" s="3"/>
      <c r="G42" s="3"/>
      <c r="H42" s="3"/>
    </row>
    <row r="43" spans="1:8">
      <c r="A43" s="34"/>
      <c r="D43" s="3"/>
      <c r="E43" s="3"/>
      <c r="F43" s="3"/>
      <c r="G43" s="3"/>
      <c r="H43" s="3"/>
    </row>
    <row r="44" spans="1:8">
      <c r="A44" s="34"/>
      <c r="D44" s="3"/>
      <c r="E44" s="3"/>
      <c r="F44" s="3"/>
      <c r="G44" s="3"/>
      <c r="H44" s="3"/>
    </row>
    <row r="45" spans="1:8">
      <c r="A45" s="34"/>
      <c r="D45" s="3"/>
      <c r="E45" s="3"/>
      <c r="F45" s="3"/>
      <c r="G45" s="3"/>
      <c r="H45" s="3"/>
    </row>
    <row r="46" spans="1:8">
      <c r="A46" s="34"/>
      <c r="D46" s="3"/>
      <c r="E46" s="3"/>
      <c r="F46" s="3"/>
      <c r="G46" s="3"/>
      <c r="H46" s="3"/>
    </row>
    <row r="47" spans="1:8">
      <c r="A47" s="34"/>
      <c r="D47" s="3"/>
      <c r="E47" s="3"/>
      <c r="F47" s="3"/>
      <c r="G47" s="3"/>
      <c r="H47" s="3"/>
    </row>
    <row r="48" spans="1:8">
      <c r="A48" s="34"/>
      <c r="D48" s="3"/>
      <c r="E48" s="3"/>
      <c r="F48" s="3"/>
      <c r="G48" s="3"/>
      <c r="H48" s="3"/>
    </row>
    <row r="49" spans="1:8">
      <c r="A49" s="34"/>
      <c r="D49" s="3"/>
      <c r="E49" s="3"/>
      <c r="F49" s="3"/>
      <c r="G49" s="3"/>
      <c r="H49" s="3"/>
    </row>
    <row r="50" spans="1:8">
      <c r="A50" s="34"/>
      <c r="D50" s="3"/>
      <c r="E50" s="3"/>
      <c r="F50" s="3"/>
      <c r="G50" s="3"/>
      <c r="H50" s="3"/>
    </row>
    <row r="51" spans="1:8">
      <c r="A51" s="34"/>
      <c r="D51" s="3"/>
      <c r="E51" s="3"/>
      <c r="F51" s="3"/>
      <c r="G51" s="3"/>
      <c r="H51" s="3"/>
    </row>
    <row r="52" spans="1:8">
      <c r="A52" s="34"/>
      <c r="D52" s="3"/>
      <c r="E52" s="3"/>
      <c r="F52" s="3"/>
      <c r="G52" s="3"/>
      <c r="H52" s="3"/>
    </row>
    <row r="53" spans="1:8">
      <c r="A53" s="34"/>
      <c r="D53" s="3"/>
      <c r="E53" s="3"/>
      <c r="F53" s="3"/>
      <c r="G53" s="3"/>
      <c r="H53" s="3"/>
    </row>
    <row r="54" spans="1:8">
      <c r="A54" s="34"/>
      <c r="D54" s="3"/>
      <c r="E54" s="3"/>
      <c r="F54" s="3"/>
      <c r="G54" s="3"/>
      <c r="H54" s="3"/>
    </row>
    <row r="55" spans="1:8">
      <c r="A55" s="34"/>
      <c r="D55" s="3"/>
      <c r="E55" s="3"/>
      <c r="F55" s="3"/>
      <c r="G55" s="3"/>
      <c r="H55" s="3"/>
    </row>
    <row r="56" spans="1:8">
      <c r="A56" s="34"/>
      <c r="D56" s="3"/>
      <c r="E56" s="3"/>
      <c r="F56" s="3"/>
      <c r="G56" s="3"/>
      <c r="H56" s="3"/>
    </row>
    <row r="57" spans="1:8">
      <c r="A57" s="34"/>
      <c r="D57" s="3"/>
      <c r="E57" s="3"/>
      <c r="F57" s="3"/>
      <c r="G57" s="3"/>
      <c r="H57" s="3"/>
    </row>
    <row r="58" spans="1:8">
      <c r="A58" s="34"/>
      <c r="D58" s="3"/>
      <c r="E58" s="3"/>
      <c r="F58" s="3"/>
      <c r="G58" s="3"/>
      <c r="H58" s="3"/>
    </row>
    <row r="59" spans="1:8">
      <c r="A59" s="34"/>
      <c r="D59" s="3"/>
      <c r="E59" s="3"/>
      <c r="F59" s="3"/>
      <c r="G59" s="3"/>
      <c r="H59" s="3"/>
    </row>
    <row r="60" spans="1:8">
      <c r="A60" s="34"/>
      <c r="D60" s="3"/>
      <c r="E60" s="3"/>
      <c r="F60" s="3"/>
      <c r="G60" s="3"/>
      <c r="H60" s="3"/>
    </row>
    <row r="61" spans="1:8">
      <c r="A61" s="34"/>
      <c r="D61" s="3"/>
      <c r="E61" s="3"/>
      <c r="F61" s="3"/>
      <c r="G61" s="3"/>
      <c r="H61" s="3"/>
    </row>
    <row r="62" spans="1:8">
      <c r="A62" s="3"/>
    </row>
    <row r="63" spans="1:8">
      <c r="A63" s="3"/>
    </row>
    <row r="64" spans="1:8">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sheetData>
  <mergeCells count="1">
    <mergeCell ref="Q2:S14"/>
  </mergeCells>
  <pageMargins left="0.7" right="0.7" top="0.75" bottom="0.75" header="0.3" footer="0.3"/>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
  <sheetViews>
    <sheetView workbookViewId="0">
      <selection activeCell="O45" sqref="O45:P45"/>
    </sheetView>
  </sheetViews>
  <sheetFormatPr defaultColWidth="8.88671875" defaultRowHeight="14.4"/>
  <cols>
    <col min="1" max="1" width="35.88671875" style="144" customWidth="1"/>
    <col min="2" max="16384" width="8.88671875" style="144"/>
  </cols>
  <sheetData>
    <row r="1" spans="1:20">
      <c r="A1" s="144" t="s">
        <v>244</v>
      </c>
    </row>
    <row r="2" spans="1:20">
      <c r="A2" s="144" t="s">
        <v>243</v>
      </c>
    </row>
    <row r="3" spans="1:20">
      <c r="A3" s="144" t="s">
        <v>242</v>
      </c>
    </row>
    <row r="5" spans="1:20" ht="15" thickBot="1"/>
    <row r="6" spans="1:20" ht="18">
      <c r="A6" s="161" t="s">
        <v>241</v>
      </c>
      <c r="B6" s="160">
        <f>SUMPRODUCT(K40:K140,N40:N140)/SUM(N40:N140)</f>
        <v>0.21912514551958467</v>
      </c>
      <c r="C6" s="144" t="s">
        <v>240</v>
      </c>
    </row>
    <row r="7" spans="1:20" ht="18.600000000000001" thickBot="1">
      <c r="A7" s="159" t="s">
        <v>239</v>
      </c>
      <c r="B7" s="158">
        <f>SUMPRODUCT(F40:F140,N40:N140)/SUM(N40:N140)/Jacoby_seeing!B15</f>
        <v>0.15188808509028509</v>
      </c>
    </row>
    <row r="8" spans="1:20" ht="15" thickBot="1"/>
    <row r="9" spans="1:20">
      <c r="A9" s="50" t="s">
        <v>238</v>
      </c>
      <c r="B9" s="6"/>
      <c r="C9" s="6"/>
      <c r="D9" s="6"/>
      <c r="E9" s="6"/>
      <c r="F9" s="6"/>
      <c r="G9" s="6"/>
      <c r="H9" s="6"/>
      <c r="I9" s="6"/>
      <c r="J9" s="6"/>
      <c r="K9" s="6"/>
      <c r="L9" s="6"/>
      <c r="M9" s="6"/>
      <c r="N9" s="6"/>
      <c r="O9" s="6"/>
      <c r="P9" s="6"/>
      <c r="Q9" s="6"/>
      <c r="R9" s="6"/>
      <c r="S9" s="6"/>
      <c r="T9" s="7"/>
    </row>
    <row r="10" spans="1:20">
      <c r="A10" s="157" t="s">
        <v>237</v>
      </c>
      <c r="B10" s="145"/>
      <c r="C10" s="145"/>
      <c r="D10" s="145"/>
      <c r="E10" s="145"/>
      <c r="F10" s="145"/>
      <c r="G10" s="145"/>
      <c r="H10" s="145"/>
      <c r="I10" s="145"/>
      <c r="J10" s="145"/>
      <c r="K10" s="145"/>
      <c r="L10" s="145"/>
      <c r="M10" s="145"/>
      <c r="N10" s="145"/>
      <c r="O10" s="145"/>
      <c r="P10" s="145"/>
      <c r="Q10" s="145"/>
      <c r="R10" s="145"/>
      <c r="S10" s="145"/>
      <c r="T10" s="12"/>
    </row>
    <row r="11" spans="1:20">
      <c r="A11" s="8"/>
      <c r="B11" s="145"/>
      <c r="C11" s="145"/>
      <c r="D11" s="145"/>
      <c r="E11" s="145"/>
      <c r="F11" s="145"/>
      <c r="G11" s="145"/>
      <c r="H11" s="145"/>
      <c r="I11" s="145"/>
      <c r="J11" s="145"/>
      <c r="K11" s="145"/>
      <c r="L11" s="145"/>
      <c r="M11" s="145"/>
      <c r="N11" s="145"/>
      <c r="O11" s="145"/>
      <c r="P11" s="145"/>
      <c r="Q11" s="145"/>
      <c r="R11" s="145"/>
      <c r="S11" s="145"/>
      <c r="T11" s="12"/>
    </row>
    <row r="12" spans="1:20">
      <c r="A12" s="8" t="s">
        <v>236</v>
      </c>
      <c r="B12" s="145">
        <v>123.9</v>
      </c>
      <c r="C12" s="145" t="s">
        <v>45</v>
      </c>
      <c r="D12" s="145">
        <f>B12/B15/3600/2</f>
        <v>0.30190058479532167</v>
      </c>
      <c r="E12" s="145"/>
      <c r="F12" s="145"/>
      <c r="G12" s="145"/>
      <c r="H12" s="145"/>
      <c r="I12" s="145"/>
      <c r="J12" s="145"/>
      <c r="K12" s="145"/>
      <c r="L12" s="145"/>
      <c r="M12" s="145"/>
      <c r="N12" s="145"/>
      <c r="O12" s="145"/>
      <c r="P12" s="145"/>
      <c r="Q12" s="145"/>
      <c r="R12" s="145"/>
      <c r="S12" s="145"/>
      <c r="T12" s="12"/>
    </row>
    <row r="13" spans="1:20">
      <c r="A13" s="8" t="s">
        <v>235</v>
      </c>
      <c r="B13" s="145">
        <v>125.9</v>
      </c>
      <c r="C13" s="145" t="s">
        <v>45</v>
      </c>
      <c r="D13" s="145">
        <f>B13/B15/3600/2</f>
        <v>0.3067738791423002</v>
      </c>
      <c r="E13" s="145"/>
      <c r="F13" s="145"/>
      <c r="G13" s="145"/>
      <c r="H13" s="145"/>
      <c r="I13" s="145"/>
      <c r="J13" s="145"/>
      <c r="K13" s="145"/>
      <c r="L13" s="145"/>
      <c r="M13" s="145"/>
      <c r="N13" s="145"/>
      <c r="O13" s="145"/>
      <c r="P13" s="145"/>
      <c r="Q13" s="145"/>
      <c r="R13" s="145"/>
      <c r="S13" s="145"/>
      <c r="T13" s="12"/>
    </row>
    <row r="14" spans="1:20">
      <c r="A14" s="8" t="s">
        <v>234</v>
      </c>
      <c r="B14" s="145">
        <f>SQRT(SUMSQ(B12:B13))</f>
        <v>176.64093523303143</v>
      </c>
      <c r="C14" s="145"/>
      <c r="D14" s="145">
        <f>B14/B15/3600/2</f>
        <v>0.43041163555806872</v>
      </c>
      <c r="E14" s="145"/>
      <c r="F14" s="145"/>
      <c r="G14" s="145"/>
      <c r="H14" s="145"/>
      <c r="I14" s="145"/>
      <c r="J14" s="145"/>
      <c r="K14" s="145"/>
      <c r="L14" s="145"/>
      <c r="M14" s="145"/>
      <c r="N14" s="145"/>
      <c r="O14" s="145"/>
      <c r="P14" s="145"/>
      <c r="Q14" s="145"/>
      <c r="R14" s="145"/>
      <c r="S14" s="145"/>
      <c r="T14" s="12"/>
    </row>
    <row r="15" spans="1:20">
      <c r="A15" s="8" t="s">
        <v>233</v>
      </c>
      <c r="B15" s="145">
        <v>5.7000000000000002E-2</v>
      </c>
      <c r="C15" s="145" t="s">
        <v>232</v>
      </c>
      <c r="D15" s="145"/>
      <c r="E15" s="145"/>
      <c r="F15" s="145"/>
      <c r="G15" s="145"/>
      <c r="H15" s="145"/>
      <c r="I15" s="145"/>
      <c r="J15" s="145"/>
      <c r="K15" s="145"/>
      <c r="L15" s="145"/>
      <c r="M15" s="145"/>
      <c r="N15" s="145"/>
      <c r="O15" s="145"/>
      <c r="P15" s="145"/>
      <c r="Q15" s="145"/>
      <c r="R15" s="145"/>
      <c r="S15" s="145"/>
      <c r="T15" s="12"/>
    </row>
    <row r="16" spans="1:20">
      <c r="A16" s="8"/>
      <c r="B16" s="145"/>
      <c r="C16" s="145"/>
      <c r="D16" s="145"/>
      <c r="E16" s="145"/>
      <c r="F16" s="145"/>
      <c r="G16" s="145"/>
      <c r="H16" s="145"/>
      <c r="I16" s="145"/>
      <c r="J16" s="145"/>
      <c r="K16" s="145"/>
      <c r="L16" s="145"/>
      <c r="M16" s="145"/>
      <c r="N16" s="145"/>
      <c r="O16" s="145"/>
      <c r="P16" s="145"/>
      <c r="Q16" s="145"/>
      <c r="R16" s="145"/>
      <c r="S16" s="145"/>
      <c r="T16" s="12"/>
    </row>
    <row r="17" spans="1:20">
      <c r="A17" s="8"/>
      <c r="B17" s="145"/>
      <c r="C17" s="145"/>
      <c r="D17" s="145"/>
      <c r="E17" s="145"/>
      <c r="F17" s="145"/>
      <c r="G17" s="145"/>
      <c r="H17" s="145"/>
      <c r="I17" s="145"/>
      <c r="J17" s="145"/>
      <c r="K17" s="145"/>
      <c r="L17" s="145"/>
      <c r="M17" s="145"/>
      <c r="N17" s="145"/>
      <c r="O17" s="145"/>
      <c r="P17" s="145"/>
      <c r="Q17" s="145"/>
      <c r="R17" s="145"/>
      <c r="S17" s="145"/>
      <c r="T17" s="12"/>
    </row>
    <row r="18" spans="1:20">
      <c r="A18" s="8"/>
      <c r="B18" s="145"/>
      <c r="C18" s="145"/>
      <c r="D18" s="145"/>
      <c r="E18" s="145"/>
      <c r="F18" s="145"/>
      <c r="G18" s="145"/>
      <c r="H18" s="145"/>
      <c r="I18" s="145"/>
      <c r="J18" s="145"/>
      <c r="K18" s="145"/>
      <c r="L18" s="145"/>
      <c r="M18" s="145"/>
      <c r="N18" s="145"/>
      <c r="O18" s="145"/>
      <c r="P18" s="145"/>
      <c r="Q18" s="145"/>
      <c r="R18" s="145"/>
      <c r="S18" s="145"/>
      <c r="T18" s="12"/>
    </row>
    <row r="19" spans="1:20">
      <c r="A19" s="8"/>
      <c r="B19" s="145"/>
      <c r="C19" s="145"/>
      <c r="D19" s="145"/>
      <c r="E19" s="145"/>
      <c r="F19" s="145"/>
      <c r="G19" s="145"/>
      <c r="H19" s="145"/>
      <c r="I19" s="145"/>
      <c r="J19" s="145"/>
      <c r="K19" s="145"/>
      <c r="L19" s="145"/>
      <c r="M19" s="145"/>
      <c r="N19" s="145"/>
      <c r="O19" s="145"/>
      <c r="P19" s="145"/>
      <c r="Q19" s="145"/>
      <c r="R19" s="145"/>
      <c r="S19" s="145"/>
      <c r="T19" s="12"/>
    </row>
    <row r="20" spans="1:20">
      <c r="A20" s="8"/>
      <c r="B20" s="145"/>
      <c r="C20" s="145"/>
      <c r="D20" s="145"/>
      <c r="E20" s="145"/>
      <c r="F20" s="145"/>
      <c r="G20" s="145"/>
      <c r="H20" s="145"/>
      <c r="I20" s="145"/>
      <c r="J20" s="145"/>
      <c r="K20" s="145"/>
      <c r="L20" s="145"/>
      <c r="M20" s="145"/>
      <c r="N20" s="145"/>
      <c r="O20" s="145"/>
      <c r="P20" s="145"/>
      <c r="Q20" s="145"/>
      <c r="R20" s="145"/>
      <c r="S20" s="145"/>
      <c r="T20" s="12"/>
    </row>
    <row r="21" spans="1:20">
      <c r="A21" s="8"/>
      <c r="B21" s="145"/>
      <c r="C21" s="145"/>
      <c r="D21" s="145"/>
      <c r="E21" s="145"/>
      <c r="F21" s="145"/>
      <c r="G21" s="145"/>
      <c r="H21" s="145"/>
      <c r="I21" s="145"/>
      <c r="J21" s="145"/>
      <c r="K21" s="145"/>
      <c r="L21" s="145"/>
      <c r="M21" s="145"/>
      <c r="N21" s="145"/>
      <c r="O21" s="145"/>
      <c r="P21" s="145"/>
      <c r="Q21" s="145"/>
      <c r="R21" s="145"/>
      <c r="S21" s="145"/>
      <c r="T21" s="12"/>
    </row>
    <row r="22" spans="1:20">
      <c r="A22" s="8"/>
      <c r="B22" s="145"/>
      <c r="C22" s="145"/>
      <c r="D22" s="145"/>
      <c r="E22" s="145"/>
      <c r="F22" s="145"/>
      <c r="G22" s="145"/>
      <c r="H22" s="145"/>
      <c r="I22" s="145"/>
      <c r="J22" s="145"/>
      <c r="K22" s="145"/>
      <c r="L22" s="145"/>
      <c r="M22" s="145"/>
      <c r="N22" s="145"/>
      <c r="O22" s="145"/>
      <c r="P22" s="145"/>
      <c r="Q22" s="145"/>
      <c r="R22" s="145"/>
      <c r="S22" s="145"/>
      <c r="T22" s="12"/>
    </row>
    <row r="23" spans="1:20">
      <c r="A23" s="8"/>
      <c r="B23" s="145"/>
      <c r="C23" s="145"/>
      <c r="D23" s="145"/>
      <c r="E23" s="145"/>
      <c r="F23" s="145"/>
      <c r="G23" s="145"/>
      <c r="H23" s="145"/>
      <c r="I23" s="145"/>
      <c r="J23" s="145"/>
      <c r="K23" s="145"/>
      <c r="L23" s="145"/>
      <c r="M23" s="145"/>
      <c r="N23" s="145"/>
      <c r="O23" s="145"/>
      <c r="P23" s="145"/>
      <c r="Q23" s="145"/>
      <c r="R23" s="145"/>
      <c r="S23" s="145"/>
      <c r="T23" s="12"/>
    </row>
    <row r="24" spans="1:20">
      <c r="A24" s="8"/>
      <c r="B24" s="145"/>
      <c r="C24" s="145"/>
      <c r="D24" s="145"/>
      <c r="E24" s="145"/>
      <c r="F24" s="145"/>
      <c r="G24" s="145"/>
      <c r="H24" s="145"/>
      <c r="I24" s="145"/>
      <c r="J24" s="145"/>
      <c r="K24" s="145"/>
      <c r="L24" s="145"/>
      <c r="M24" s="145"/>
      <c r="N24" s="145"/>
      <c r="O24" s="145"/>
      <c r="P24" s="145"/>
      <c r="Q24" s="145"/>
      <c r="R24" s="145"/>
      <c r="S24" s="145"/>
      <c r="T24" s="12"/>
    </row>
    <row r="25" spans="1:20">
      <c r="A25" s="8"/>
      <c r="B25" s="145"/>
      <c r="C25" s="145"/>
      <c r="D25" s="145"/>
      <c r="E25" s="145"/>
      <c r="F25" s="145"/>
      <c r="G25" s="145"/>
      <c r="H25" s="145"/>
      <c r="I25" s="145"/>
      <c r="J25" s="145"/>
      <c r="K25" s="145"/>
      <c r="L25" s="145"/>
      <c r="M25" s="145"/>
      <c r="N25" s="145"/>
      <c r="O25" s="145"/>
      <c r="P25" s="145"/>
      <c r="Q25" s="145"/>
      <c r="R25" s="145"/>
      <c r="S25" s="145"/>
      <c r="T25" s="12"/>
    </row>
    <row r="26" spans="1:20">
      <c r="A26" s="8"/>
      <c r="B26" s="145"/>
      <c r="C26" s="145"/>
      <c r="D26" s="145"/>
      <c r="E26" s="145"/>
      <c r="F26" s="145"/>
      <c r="G26" s="145"/>
      <c r="H26" s="145"/>
      <c r="I26" s="145"/>
      <c r="J26" s="145"/>
      <c r="K26" s="145"/>
      <c r="L26" s="145"/>
      <c r="M26" s="145"/>
      <c r="N26" s="145"/>
      <c r="O26" s="145"/>
      <c r="P26" s="145"/>
      <c r="Q26" s="145"/>
      <c r="R26" s="145"/>
      <c r="S26" s="145"/>
      <c r="T26" s="12"/>
    </row>
    <row r="27" spans="1:20">
      <c r="A27" s="8"/>
      <c r="B27" s="145"/>
      <c r="C27" s="145"/>
      <c r="D27" s="145"/>
      <c r="E27" s="145"/>
      <c r="F27" s="145"/>
      <c r="G27" s="145"/>
      <c r="H27" s="145"/>
      <c r="I27" s="145"/>
      <c r="J27" s="145"/>
      <c r="K27" s="145"/>
      <c r="L27" s="145"/>
      <c r="M27" s="145"/>
      <c r="N27" s="145"/>
      <c r="O27" s="145"/>
      <c r="P27" s="145"/>
      <c r="Q27" s="145"/>
      <c r="R27" s="145"/>
      <c r="S27" s="145"/>
      <c r="T27" s="12"/>
    </row>
    <row r="28" spans="1:20">
      <c r="A28" s="8"/>
      <c r="B28" s="145"/>
      <c r="C28" s="145"/>
      <c r="D28" s="145"/>
      <c r="E28" s="145"/>
      <c r="F28" s="145"/>
      <c r="G28" s="145"/>
      <c r="H28" s="145"/>
      <c r="I28" s="145"/>
      <c r="J28" s="145"/>
      <c r="K28" s="145"/>
      <c r="L28" s="145"/>
      <c r="M28" s="145"/>
      <c r="N28" s="145"/>
      <c r="O28" s="145"/>
      <c r="P28" s="145"/>
      <c r="Q28" s="145"/>
      <c r="R28" s="145"/>
      <c r="S28" s="145"/>
      <c r="T28" s="12"/>
    </row>
    <row r="29" spans="1:20">
      <c r="A29" s="8"/>
      <c r="B29" s="145"/>
      <c r="C29" s="145"/>
      <c r="D29" s="145"/>
      <c r="E29" s="145"/>
      <c r="F29" s="145"/>
      <c r="G29" s="145"/>
      <c r="H29" s="145"/>
      <c r="I29" s="145"/>
      <c r="J29" s="145"/>
      <c r="K29" s="145"/>
      <c r="L29" s="145"/>
      <c r="M29" s="145"/>
      <c r="N29" s="145"/>
      <c r="O29" s="145"/>
      <c r="P29" s="145"/>
      <c r="Q29" s="145"/>
      <c r="R29" s="145"/>
      <c r="S29" s="145"/>
      <c r="T29" s="12"/>
    </row>
    <row r="30" spans="1:20">
      <c r="A30" s="8"/>
      <c r="B30" s="145"/>
      <c r="C30" s="145"/>
      <c r="D30" s="145"/>
      <c r="E30" s="145"/>
      <c r="F30" s="145"/>
      <c r="G30" s="145"/>
      <c r="H30" s="145"/>
      <c r="I30" s="145"/>
      <c r="J30" s="145"/>
      <c r="K30" s="145"/>
      <c r="L30" s="145"/>
      <c r="M30" s="145"/>
      <c r="N30" s="145"/>
      <c r="O30" s="145"/>
      <c r="P30" s="145"/>
      <c r="Q30" s="145"/>
      <c r="R30" s="145"/>
      <c r="S30" s="145"/>
      <c r="T30" s="12"/>
    </row>
    <row r="31" spans="1:20">
      <c r="A31" s="8"/>
      <c r="B31" s="145"/>
      <c r="C31" s="145"/>
      <c r="D31" s="145"/>
      <c r="E31" s="145"/>
      <c r="F31" s="145"/>
      <c r="G31" s="145"/>
      <c r="H31" s="145"/>
      <c r="I31" s="145"/>
      <c r="J31" s="145"/>
      <c r="K31" s="145"/>
      <c r="L31" s="145"/>
      <c r="M31" s="145"/>
      <c r="N31" s="145"/>
      <c r="O31" s="145"/>
      <c r="P31" s="145"/>
      <c r="Q31" s="145"/>
      <c r="R31" s="145"/>
      <c r="S31" s="145"/>
      <c r="T31" s="12"/>
    </row>
    <row r="32" spans="1:20">
      <c r="A32" s="8"/>
      <c r="B32" s="145"/>
      <c r="C32" s="145"/>
      <c r="D32" s="145"/>
      <c r="E32" s="145"/>
      <c r="F32" s="145"/>
      <c r="G32" s="145"/>
      <c r="H32" s="145"/>
      <c r="I32" s="145"/>
      <c r="J32" s="145"/>
      <c r="K32" s="145"/>
      <c r="L32" s="145"/>
      <c r="M32" s="145"/>
      <c r="N32" s="145"/>
      <c r="O32" s="145"/>
      <c r="P32" s="145"/>
      <c r="Q32" s="145"/>
      <c r="R32" s="145"/>
      <c r="S32" s="145"/>
      <c r="T32" s="12"/>
    </row>
    <row r="33" spans="1:20">
      <c r="A33" s="8"/>
      <c r="B33" s="145"/>
      <c r="C33" s="145"/>
      <c r="D33" s="145"/>
      <c r="E33" s="145"/>
      <c r="F33" s="145"/>
      <c r="G33" s="145"/>
      <c r="H33" s="145"/>
      <c r="I33" s="145"/>
      <c r="J33" s="145"/>
      <c r="K33" s="145"/>
      <c r="L33" s="145"/>
      <c r="M33" s="145"/>
      <c r="N33" s="145"/>
      <c r="O33" s="145"/>
      <c r="P33" s="145"/>
      <c r="Q33" s="145"/>
      <c r="R33" s="145"/>
      <c r="S33" s="145"/>
      <c r="T33" s="12"/>
    </row>
    <row r="34" spans="1:20">
      <c r="A34" s="8"/>
      <c r="B34" s="145"/>
      <c r="C34" s="145"/>
      <c r="D34" s="145"/>
      <c r="E34" s="145"/>
      <c r="F34" s="145"/>
      <c r="G34" s="145"/>
      <c r="H34" s="145"/>
      <c r="I34" s="145"/>
      <c r="J34" s="145"/>
      <c r="K34" s="145"/>
      <c r="L34" s="145"/>
      <c r="M34" s="145"/>
      <c r="N34" s="145"/>
      <c r="O34" s="145"/>
      <c r="P34" s="145"/>
      <c r="Q34" s="145"/>
      <c r="R34" s="145"/>
      <c r="S34" s="145"/>
      <c r="T34" s="12"/>
    </row>
    <row r="35" spans="1:20">
      <c r="A35" s="8"/>
      <c r="B35" s="145"/>
      <c r="C35" s="145"/>
      <c r="D35" s="145"/>
      <c r="E35" s="145"/>
      <c r="F35" s="145"/>
      <c r="G35" s="145"/>
      <c r="H35" s="145"/>
      <c r="I35" s="145"/>
      <c r="J35" s="145"/>
      <c r="K35" s="145"/>
      <c r="L35" s="145"/>
      <c r="M35" s="145"/>
      <c r="N35" s="145"/>
      <c r="O35" s="145"/>
      <c r="P35" s="145"/>
      <c r="Q35" s="145"/>
      <c r="R35" s="145"/>
      <c r="S35" s="145"/>
      <c r="T35" s="12"/>
    </row>
    <row r="36" spans="1:20" ht="15" thickBot="1">
      <c r="A36" s="9"/>
      <c r="B36" s="13"/>
      <c r="C36" s="13"/>
      <c r="D36" s="13"/>
      <c r="E36" s="13"/>
      <c r="F36" s="13"/>
      <c r="G36" s="13"/>
      <c r="H36" s="13"/>
      <c r="I36" s="13"/>
      <c r="J36" s="13"/>
      <c r="K36" s="13"/>
      <c r="L36" s="13"/>
      <c r="M36" s="13"/>
      <c r="N36" s="13"/>
      <c r="O36" s="13"/>
      <c r="P36" s="13"/>
      <c r="Q36" s="13"/>
      <c r="R36" s="13"/>
      <c r="S36" s="13"/>
      <c r="T36" s="14"/>
    </row>
    <row r="39" spans="1:20">
      <c r="A39" s="144" t="s">
        <v>230</v>
      </c>
      <c r="B39" s="144" t="s">
        <v>231</v>
      </c>
      <c r="E39" s="144" t="s">
        <v>230</v>
      </c>
      <c r="F39" s="144" t="s">
        <v>229</v>
      </c>
      <c r="G39" s="144" t="s">
        <v>228</v>
      </c>
      <c r="H39" s="144" t="s">
        <v>227</v>
      </c>
      <c r="I39" s="144" t="s">
        <v>226</v>
      </c>
      <c r="J39" s="144" t="s">
        <v>225</v>
      </c>
      <c r="K39" s="144" t="s">
        <v>224</v>
      </c>
      <c r="L39" s="144" t="s">
        <v>223</v>
      </c>
      <c r="M39" s="144" t="s">
        <v>222</v>
      </c>
      <c r="N39" s="144" t="s">
        <v>221</v>
      </c>
    </row>
    <row r="40" spans="1:20">
      <c r="A40" s="156">
        <v>0</v>
      </c>
      <c r="B40" s="144">
        <v>1.18E-2</v>
      </c>
      <c r="E40" s="144">
        <v>0</v>
      </c>
      <c r="F40" s="144">
        <v>1.18E-2</v>
      </c>
      <c r="G40" s="144">
        <v>6.0000000000000001E-3</v>
      </c>
      <c r="H40" s="144">
        <v>4.3299999999999996E-3</v>
      </c>
      <c r="I40" s="144">
        <v>5.0000000000000001E-3</v>
      </c>
      <c r="J40" s="144">
        <f t="shared" ref="J40:J71" si="0">SQRT(SUMSQ(F40:I40))</f>
        <v>1.4798273547951464E-2</v>
      </c>
      <c r="K40" s="144">
        <f>J40/Jacoby_seeing!$B$15</f>
        <v>0.25961883417458709</v>
      </c>
      <c r="L40" s="144">
        <f>IF(E40&lt;Jacoby_seeing!$D$13,0,ACOS(Jacoby_seeing!$D$13/E40))</f>
        <v>0</v>
      </c>
      <c r="M40" s="144">
        <f>PI()/2-IF(E40&lt;Jacoby_seeing!$D$12,0,ACOS(Jacoby_seeing!$D$12/E40))</f>
        <v>1.5707963267948966</v>
      </c>
      <c r="N40" s="144">
        <f t="shared" ref="N40:N71" si="1">E40*(M40-L40)</f>
        <v>0</v>
      </c>
    </row>
    <row r="41" spans="1:20">
      <c r="A41" s="144">
        <v>3.0300000000000001E-2</v>
      </c>
      <c r="B41" s="144">
        <v>1.1599999999999999E-2</v>
      </c>
      <c r="E41" s="144">
        <f t="shared" ref="E41:E72" si="2">E40+0.0043</f>
        <v>4.3E-3</v>
      </c>
      <c r="F41" s="144">
        <v>1.1784248370343661E-2</v>
      </c>
      <c r="G41" s="144">
        <v>6.0000000000000001E-3</v>
      </c>
      <c r="H41" s="144">
        <f t="shared" ref="H41:H72" si="3">H40</f>
        <v>4.3299999999999996E-3</v>
      </c>
      <c r="I41" s="144">
        <f t="shared" ref="I41:I72" si="4">I40</f>
        <v>5.0000000000000001E-3</v>
      </c>
      <c r="J41" s="144">
        <f t="shared" si="0"/>
        <v>1.4785716406517043E-2</v>
      </c>
      <c r="K41" s="144">
        <f>J41/Jacoby_seeing!$B$15</f>
        <v>0.25939853344766739</v>
      </c>
      <c r="L41" s="144">
        <f>IF(E41&lt;Jacoby_seeing!$D$13,0,ACOS(Jacoby_seeing!$D$13/E41))</f>
        <v>0</v>
      </c>
      <c r="M41" s="144">
        <f>PI()/2-IF(E41&lt;Jacoby_seeing!$D$12,0,ACOS(Jacoby_seeing!$D$12/E41))</f>
        <v>1.5707963267948966</v>
      </c>
      <c r="N41" s="144">
        <f t="shared" si="1"/>
        <v>6.7544242052180554E-3</v>
      </c>
    </row>
    <row r="42" spans="1:20">
      <c r="A42" s="144">
        <v>6.2100000000000002E-2</v>
      </c>
      <c r="B42" s="144">
        <v>1.0999999999999999E-2</v>
      </c>
      <c r="E42" s="144">
        <f t="shared" si="2"/>
        <v>8.6E-3</v>
      </c>
      <c r="F42" s="144">
        <v>1.1766939041393039E-2</v>
      </c>
      <c r="G42" s="144">
        <v>6.0000000000000001E-3</v>
      </c>
      <c r="H42" s="144">
        <f t="shared" si="3"/>
        <v>4.3299999999999996E-3</v>
      </c>
      <c r="I42" s="144">
        <f t="shared" si="4"/>
        <v>5.0000000000000001E-3</v>
      </c>
      <c r="J42" s="144">
        <f t="shared" si="0"/>
        <v>1.4771924532837951E-2</v>
      </c>
      <c r="K42" s="144">
        <f>J42/Jacoby_seeing!$B$15</f>
        <v>0.25915657075154297</v>
      </c>
      <c r="L42" s="144">
        <f>IF(E42&lt;Jacoby_seeing!$D$13,0,ACOS(Jacoby_seeing!$D$13/E42))</f>
        <v>0</v>
      </c>
      <c r="M42" s="144">
        <f>PI()/2-IF(E42&lt;Jacoby_seeing!$D$12,0,ACOS(Jacoby_seeing!$D$12/E42))</f>
        <v>1.5707963267948966</v>
      </c>
      <c r="N42" s="144">
        <f t="shared" si="1"/>
        <v>1.3508848410436111E-2</v>
      </c>
    </row>
    <row r="43" spans="1:20">
      <c r="A43" s="144">
        <v>0.1052</v>
      </c>
      <c r="B43" s="156">
        <v>9.9302000000000001E-3</v>
      </c>
      <c r="E43" s="144">
        <f t="shared" si="2"/>
        <v>1.29E-2</v>
      </c>
      <c r="F43" s="144">
        <v>1.1746514313853864E-2</v>
      </c>
      <c r="G43" s="144">
        <v>6.0000000000000001E-3</v>
      </c>
      <c r="H43" s="144">
        <f t="shared" si="3"/>
        <v>4.3299999999999996E-3</v>
      </c>
      <c r="I43" s="144">
        <f t="shared" si="4"/>
        <v>5.0000000000000001E-3</v>
      </c>
      <c r="J43" s="144">
        <f t="shared" si="0"/>
        <v>1.4755659881061698E-2</v>
      </c>
      <c r="K43" s="144">
        <f>J43/Jacoby_seeing!$B$15</f>
        <v>0.25887122598353857</v>
      </c>
      <c r="L43" s="144">
        <f>IF(E43&lt;Jacoby_seeing!$D$13,0,ACOS(Jacoby_seeing!$D$13/E43))</f>
        <v>0</v>
      </c>
      <c r="M43" s="144">
        <f>PI()/2-IF(E43&lt;Jacoby_seeing!$D$12,0,ACOS(Jacoby_seeing!$D$12/E43))</f>
        <v>1.5707963267948966</v>
      </c>
      <c r="N43" s="144">
        <f t="shared" si="1"/>
        <v>2.0263272615654165E-2</v>
      </c>
    </row>
    <row r="44" spans="1:20">
      <c r="A44" s="144">
        <v>0.12989999999999999</v>
      </c>
      <c r="B44" s="156">
        <v>9.0726000000000001E-3</v>
      </c>
      <c r="E44" s="144">
        <f t="shared" si="2"/>
        <v>1.72E-2</v>
      </c>
      <c r="F44" s="144">
        <v>1.1721416488431847E-2</v>
      </c>
      <c r="G44" s="144">
        <v>6.0000000000000001E-3</v>
      </c>
      <c r="H44" s="144">
        <f t="shared" si="3"/>
        <v>4.3299999999999996E-3</v>
      </c>
      <c r="I44" s="144">
        <f t="shared" si="4"/>
        <v>5.0000000000000001E-3</v>
      </c>
      <c r="J44" s="144">
        <f t="shared" si="0"/>
        <v>1.4735688124254055E-2</v>
      </c>
      <c r="K44" s="144">
        <f>J44/Jacoby_seeing!$B$15</f>
        <v>0.25852084428515887</v>
      </c>
      <c r="L44" s="144">
        <f>IF(E44&lt;Jacoby_seeing!$D$13,0,ACOS(Jacoby_seeing!$D$13/E44))</f>
        <v>0</v>
      </c>
      <c r="M44" s="144">
        <f>PI()/2-IF(E44&lt;Jacoby_seeing!$D$12,0,ACOS(Jacoby_seeing!$D$12/E44))</f>
        <v>1.5707963267948966</v>
      </c>
      <c r="N44" s="144">
        <f t="shared" si="1"/>
        <v>2.7017696820872222E-2</v>
      </c>
    </row>
    <row r="45" spans="1:20">
      <c r="A45" s="144">
        <v>0.17019999999999999</v>
      </c>
      <c r="B45" s="156">
        <v>7.6432000000000002E-3</v>
      </c>
      <c r="E45" s="144">
        <f t="shared" si="2"/>
        <v>2.1499999999999998E-2</v>
      </c>
      <c r="F45" s="144">
        <v>1.1690087865832715E-2</v>
      </c>
      <c r="G45" s="144">
        <v>6.0000000000000001E-3</v>
      </c>
      <c r="H45" s="144">
        <f t="shared" si="3"/>
        <v>4.3299999999999996E-3</v>
      </c>
      <c r="I45" s="144">
        <f t="shared" si="4"/>
        <v>5.0000000000000001E-3</v>
      </c>
      <c r="J45" s="144">
        <f t="shared" si="0"/>
        <v>1.4710780207415557E-2</v>
      </c>
      <c r="K45" s="144">
        <f>J45/Jacoby_seeing!$B$15</f>
        <v>0.25808386328799221</v>
      </c>
      <c r="L45" s="144">
        <f>IF(E45&lt;Jacoby_seeing!$D$13,0,ACOS(Jacoby_seeing!$D$13/E45))</f>
        <v>0</v>
      </c>
      <c r="M45" s="144">
        <f>PI()/2-IF(E45&lt;Jacoby_seeing!$D$12,0,ACOS(Jacoby_seeing!$D$12/E45))</f>
        <v>1.5707963267948966</v>
      </c>
      <c r="N45" s="144">
        <f t="shared" si="1"/>
        <v>3.3772121026090271E-2</v>
      </c>
    </row>
    <row r="46" spans="1:20">
      <c r="A46" s="144">
        <v>0.20780000000000001</v>
      </c>
      <c r="B46" s="156">
        <v>7.0007000000000003E-3</v>
      </c>
      <c r="E46" s="144">
        <f t="shared" si="2"/>
        <v>2.5799999999999997E-2</v>
      </c>
      <c r="F46" s="144">
        <v>1.1650970746762187E-2</v>
      </c>
      <c r="G46" s="144">
        <v>6.0000000000000001E-3</v>
      </c>
      <c r="H46" s="144">
        <f t="shared" si="3"/>
        <v>4.3299999999999996E-3</v>
      </c>
      <c r="I46" s="144">
        <f t="shared" si="4"/>
        <v>5.0000000000000001E-3</v>
      </c>
      <c r="J46" s="144">
        <f t="shared" si="0"/>
        <v>1.4679714552466892E-2</v>
      </c>
      <c r="K46" s="144">
        <f>J46/Jacoby_seeing!$B$15</f>
        <v>0.25753885179766478</v>
      </c>
      <c r="L46" s="144">
        <f>IF(E46&lt;Jacoby_seeing!$D$13,0,ACOS(Jacoby_seeing!$D$13/E46))</f>
        <v>0</v>
      </c>
      <c r="M46" s="144">
        <f>PI()/2-IF(E46&lt;Jacoby_seeing!$D$12,0,ACOS(Jacoby_seeing!$D$12/E46))</f>
        <v>1.5707963267948966</v>
      </c>
      <c r="N46" s="144">
        <f t="shared" si="1"/>
        <v>4.0526545231308324E-2</v>
      </c>
    </row>
    <row r="47" spans="1:20">
      <c r="A47" s="144">
        <v>0.2276</v>
      </c>
      <c r="B47" s="156">
        <v>6.8583000000000003E-3</v>
      </c>
      <c r="E47" s="144">
        <f t="shared" si="2"/>
        <v>3.0099999999999995E-2</v>
      </c>
      <c r="F47" s="144">
        <v>1.1602507431925983E-2</v>
      </c>
      <c r="G47" s="144">
        <v>6.0000000000000001E-3</v>
      </c>
      <c r="H47" s="144">
        <f t="shared" si="3"/>
        <v>4.3299999999999996E-3</v>
      </c>
      <c r="I47" s="144">
        <f t="shared" si="4"/>
        <v>5.0000000000000001E-3</v>
      </c>
      <c r="J47" s="144">
        <f t="shared" si="0"/>
        <v>1.4641279954563319E-2</v>
      </c>
      <c r="K47" s="144">
        <f>J47/Jacoby_seeing!$B$15</f>
        <v>0.25686456060637403</v>
      </c>
      <c r="L47" s="144">
        <f>IF(E47&lt;Jacoby_seeing!$D$13,0,ACOS(Jacoby_seeing!$D$13/E47))</f>
        <v>0</v>
      </c>
      <c r="M47" s="144">
        <f>PI()/2-IF(E47&lt;Jacoby_seeing!$D$12,0,ACOS(Jacoby_seeing!$D$12/E47))</f>
        <v>1.5707963267948966</v>
      </c>
      <c r="N47" s="144">
        <f t="shared" si="1"/>
        <v>4.7280969436526377E-2</v>
      </c>
    </row>
    <row r="48" spans="1:20">
      <c r="A48" s="144">
        <v>0.25469999999999998</v>
      </c>
      <c r="B48" s="156">
        <v>7.2884999999999998E-3</v>
      </c>
      <c r="E48" s="144">
        <f t="shared" si="2"/>
        <v>3.4399999999999993E-2</v>
      </c>
      <c r="F48" s="144">
        <v>1.1543581138584188E-2</v>
      </c>
      <c r="G48" s="144">
        <v>6.0000000000000001E-3</v>
      </c>
      <c r="H48" s="144">
        <f t="shared" si="3"/>
        <v>4.3299999999999996E-3</v>
      </c>
      <c r="I48" s="144">
        <f t="shared" si="4"/>
        <v>5.0000000000000001E-3</v>
      </c>
      <c r="J48" s="144">
        <f t="shared" si="0"/>
        <v>1.4594627967271952E-2</v>
      </c>
      <c r="K48" s="144">
        <f>J48/Jacoby_seeing!$B$15</f>
        <v>0.25604610468898159</v>
      </c>
      <c r="L48" s="144">
        <f>IF(E48&lt;Jacoby_seeing!$D$13,0,ACOS(Jacoby_seeing!$D$13/E48))</f>
        <v>0</v>
      </c>
      <c r="M48" s="144">
        <f>PI()/2-IF(E48&lt;Jacoby_seeing!$D$12,0,ACOS(Jacoby_seeing!$D$12/E48))</f>
        <v>1.5707963267948966</v>
      </c>
      <c r="N48" s="144">
        <f t="shared" si="1"/>
        <v>5.4035393641744429E-2</v>
      </c>
      <c r="O48" s="144" t="s">
        <v>220</v>
      </c>
      <c r="P48" s="144">
        <f>0.015/SQRT(12)</f>
        <v>4.3301270189221933E-3</v>
      </c>
    </row>
    <row r="49" spans="1:14">
      <c r="A49" s="144">
        <v>0.28060000000000002</v>
      </c>
      <c r="B49" s="156">
        <v>8.0049000000000006E-3</v>
      </c>
      <c r="E49" s="144">
        <f t="shared" si="2"/>
        <v>3.8699999999999991E-2</v>
      </c>
      <c r="F49" s="144">
        <v>1.1475103193949778E-2</v>
      </c>
      <c r="G49" s="144">
        <v>6.0000000000000001E-3</v>
      </c>
      <c r="H49" s="144">
        <f t="shared" si="3"/>
        <v>4.3299999999999996E-3</v>
      </c>
      <c r="I49" s="144">
        <f t="shared" si="4"/>
        <v>5.0000000000000001E-3</v>
      </c>
      <c r="J49" s="144">
        <f t="shared" si="0"/>
        <v>1.4540525895296787E-2</v>
      </c>
      <c r="K49" s="144">
        <f>J49/Jacoby_seeing!$B$15</f>
        <v>0.25509694553152257</v>
      </c>
      <c r="L49" s="144">
        <f>IF(E49&lt;Jacoby_seeing!$D$13,0,ACOS(Jacoby_seeing!$D$13/E49))</f>
        <v>0</v>
      </c>
      <c r="M49" s="144">
        <f>PI()/2-IF(E49&lt;Jacoby_seeing!$D$12,0,ACOS(Jacoby_seeing!$D$12/E49))</f>
        <v>1.5707963267948966</v>
      </c>
      <c r="N49" s="144">
        <f t="shared" si="1"/>
        <v>6.0789817846962482E-2</v>
      </c>
    </row>
    <row r="50" spans="1:14">
      <c r="A50" s="144">
        <v>0.30180000000000001</v>
      </c>
      <c r="B50" s="156">
        <v>8.7925999999999994E-3</v>
      </c>
      <c r="E50" s="144">
        <f t="shared" si="2"/>
        <v>4.299999999999999E-2</v>
      </c>
      <c r="F50" s="144">
        <v>1.1398567685376858E-2</v>
      </c>
      <c r="G50" s="144">
        <v>6.0000000000000001E-3</v>
      </c>
      <c r="H50" s="144">
        <f t="shared" si="3"/>
        <v>4.3299999999999996E-3</v>
      </c>
      <c r="I50" s="144">
        <f t="shared" si="4"/>
        <v>5.0000000000000001E-3</v>
      </c>
      <c r="J50" s="144">
        <f t="shared" si="0"/>
        <v>1.4480201838307281E-2</v>
      </c>
      <c r="K50" s="144">
        <f>J50/Jacoby_seeing!$B$15</f>
        <v>0.25403862874223299</v>
      </c>
      <c r="L50" s="144">
        <f>IF(E50&lt;Jacoby_seeing!$D$13,0,ACOS(Jacoby_seeing!$D$13/E50))</f>
        <v>0</v>
      </c>
      <c r="M50" s="144">
        <f>PI()/2-IF(E50&lt;Jacoby_seeing!$D$12,0,ACOS(Jacoby_seeing!$D$12/E50))</f>
        <v>1.5707963267948966</v>
      </c>
      <c r="N50" s="144">
        <f t="shared" si="1"/>
        <v>6.7544242052180542E-2</v>
      </c>
    </row>
    <row r="51" spans="1:14">
      <c r="A51" s="144">
        <v>0.32129999999999997</v>
      </c>
      <c r="B51" s="156">
        <v>9.5087000000000001E-3</v>
      </c>
      <c r="E51" s="144">
        <f t="shared" si="2"/>
        <v>4.7299999999999988E-2</v>
      </c>
      <c r="F51" s="144">
        <v>1.1315468751398891E-2</v>
      </c>
      <c r="G51" s="144">
        <v>6.0000000000000001E-3</v>
      </c>
      <c r="H51" s="144">
        <f t="shared" si="3"/>
        <v>4.3299999999999996E-3</v>
      </c>
      <c r="I51" s="144">
        <f t="shared" si="4"/>
        <v>5.0000000000000001E-3</v>
      </c>
      <c r="J51" s="144">
        <f t="shared" si="0"/>
        <v>1.4414878877877705E-2</v>
      </c>
      <c r="K51" s="144">
        <f>J51/Jacoby_seeing!$B$15</f>
        <v>0.25289261189259132</v>
      </c>
      <c r="L51" s="144">
        <f>IF(E51&lt;Jacoby_seeing!$D$13,0,ACOS(Jacoby_seeing!$D$13/E51))</f>
        <v>0</v>
      </c>
      <c r="M51" s="144">
        <f>PI()/2-IF(E51&lt;Jacoby_seeing!$D$12,0,ACOS(Jacoby_seeing!$D$12/E51))</f>
        <v>1.5707963267948966</v>
      </c>
      <c r="N51" s="144">
        <f t="shared" si="1"/>
        <v>7.4298666257398588E-2</v>
      </c>
    </row>
    <row r="52" spans="1:14">
      <c r="A52" s="144">
        <v>0.34010000000000001</v>
      </c>
      <c r="B52" s="144">
        <v>1.04E-2</v>
      </c>
      <c r="E52" s="144">
        <f t="shared" si="2"/>
        <v>5.1599999999999986E-2</v>
      </c>
      <c r="F52" s="144">
        <v>1.1227300530549334E-2</v>
      </c>
      <c r="G52" s="144">
        <v>6.0000000000000001E-3</v>
      </c>
      <c r="H52" s="144">
        <f t="shared" si="3"/>
        <v>4.3299999999999996E-3</v>
      </c>
      <c r="I52" s="144">
        <f t="shared" si="4"/>
        <v>5.0000000000000001E-3</v>
      </c>
      <c r="J52" s="144">
        <f t="shared" si="0"/>
        <v>1.4345772102026205E-2</v>
      </c>
      <c r="K52" s="144">
        <f>J52/Jacoby_seeing!$B$15</f>
        <v>0.25168021231624921</v>
      </c>
      <c r="L52" s="144">
        <f>IF(E52&lt;Jacoby_seeing!$D$13,0,ACOS(Jacoby_seeing!$D$13/E52))</f>
        <v>0</v>
      </c>
      <c r="M52" s="144">
        <f>PI()/2-IF(E52&lt;Jacoby_seeing!$D$12,0,ACOS(Jacoby_seeing!$D$12/E52))</f>
        <v>1.5707963267948966</v>
      </c>
      <c r="N52" s="144">
        <f t="shared" si="1"/>
        <v>8.1053090462616634E-2</v>
      </c>
    </row>
    <row r="53" spans="1:14">
      <c r="A53" s="144">
        <v>0.3599</v>
      </c>
      <c r="B53" s="144">
        <v>1.1299999999999999E-2</v>
      </c>
      <c r="E53" s="144">
        <f t="shared" si="2"/>
        <v>5.5899999999999984E-2</v>
      </c>
      <c r="F53" s="144">
        <v>1.1135557161361651E-2</v>
      </c>
      <c r="G53" s="144">
        <v>6.0000000000000001E-3</v>
      </c>
      <c r="H53" s="144">
        <f t="shared" si="3"/>
        <v>4.3299999999999996E-3</v>
      </c>
      <c r="I53" s="144">
        <f t="shared" si="4"/>
        <v>5.0000000000000001E-3</v>
      </c>
      <c r="J53" s="144">
        <f t="shared" si="0"/>
        <v>1.4274086075611031E-2</v>
      </c>
      <c r="K53" s="144">
        <f>J53/Jacoby_seeing!$B$15</f>
        <v>0.25042256273001806</v>
      </c>
      <c r="L53" s="144">
        <f>IF(E53&lt;Jacoby_seeing!$D$13,0,ACOS(Jacoby_seeing!$D$13/E53))</f>
        <v>0</v>
      </c>
      <c r="M53" s="144">
        <f>PI()/2-IF(E53&lt;Jacoby_seeing!$D$12,0,ACOS(Jacoby_seeing!$D$12/E53))</f>
        <v>1.5707963267948966</v>
      </c>
      <c r="N53" s="144">
        <f t="shared" si="1"/>
        <v>8.7807514667834694E-2</v>
      </c>
    </row>
    <row r="54" spans="1:14">
      <c r="A54" s="144">
        <v>0.3795</v>
      </c>
      <c r="B54" s="144">
        <v>1.23E-2</v>
      </c>
      <c r="E54" s="144">
        <f t="shared" si="2"/>
        <v>6.0199999999999983E-2</v>
      </c>
      <c r="F54" s="144">
        <v>1.1041732782369298E-2</v>
      </c>
      <c r="G54" s="144">
        <v>6.0000000000000001E-3</v>
      </c>
      <c r="H54" s="144">
        <f t="shared" si="3"/>
        <v>4.3299999999999996E-3</v>
      </c>
      <c r="I54" s="144">
        <f t="shared" si="4"/>
        <v>5.0000000000000001E-3</v>
      </c>
      <c r="J54" s="144">
        <f t="shared" si="0"/>
        <v>1.4201012739845312E-2</v>
      </c>
      <c r="K54" s="144">
        <f>J54/Jacoby_seeing!$B$15</f>
        <v>0.24914057438325107</v>
      </c>
      <c r="L54" s="144">
        <f>IF(E54&lt;Jacoby_seeing!$D$13,0,ACOS(Jacoby_seeing!$D$13/E54))</f>
        <v>0</v>
      </c>
      <c r="M54" s="144">
        <f>PI()/2-IF(E54&lt;Jacoby_seeing!$D$12,0,ACOS(Jacoby_seeing!$D$12/E54))</f>
        <v>1.5707963267948966</v>
      </c>
      <c r="N54" s="144">
        <f t="shared" si="1"/>
        <v>9.4561938873052739E-2</v>
      </c>
    </row>
    <row r="55" spans="1:14">
      <c r="A55" s="144">
        <v>0.39789999999999998</v>
      </c>
      <c r="B55" s="144">
        <v>1.3599999999999999E-2</v>
      </c>
      <c r="E55" s="144">
        <f t="shared" si="2"/>
        <v>6.4499999999999988E-2</v>
      </c>
      <c r="F55" s="144">
        <v>1.0947256394958969E-2</v>
      </c>
      <c r="G55" s="144">
        <v>6.0000000000000001E-3</v>
      </c>
      <c r="H55" s="144">
        <f t="shared" si="3"/>
        <v>4.3299999999999996E-3</v>
      </c>
      <c r="I55" s="144">
        <f t="shared" si="4"/>
        <v>5.0000000000000001E-3</v>
      </c>
      <c r="J55" s="144">
        <f t="shared" si="0"/>
        <v>1.4127679306134113E-2</v>
      </c>
      <c r="K55" s="144">
        <f>J55/Jacoby_seeing!$B$15</f>
        <v>0.24785402291463357</v>
      </c>
      <c r="L55" s="144">
        <f>IF(E55&lt;Jacoby_seeing!$D$13,0,ACOS(Jacoby_seeing!$D$13/E55))</f>
        <v>0</v>
      </c>
      <c r="M55" s="144">
        <f>PI()/2-IF(E55&lt;Jacoby_seeing!$D$12,0,ACOS(Jacoby_seeing!$D$12/E55))</f>
        <v>1.5707963267948966</v>
      </c>
      <c r="N55" s="144">
        <f t="shared" si="1"/>
        <v>0.10131636307827081</v>
      </c>
    </row>
    <row r="56" spans="1:14">
      <c r="A56" s="144">
        <v>0.41980000000000001</v>
      </c>
      <c r="B56" s="144">
        <v>1.6E-2</v>
      </c>
      <c r="E56" s="144">
        <f t="shared" si="2"/>
        <v>6.8799999999999986E-2</v>
      </c>
      <c r="F56" s="144">
        <v>1.0852400387380296E-2</v>
      </c>
      <c r="G56" s="144">
        <v>6.0000000000000001E-3</v>
      </c>
      <c r="H56" s="144">
        <f t="shared" si="3"/>
        <v>4.3299999999999996E-3</v>
      </c>
      <c r="I56" s="144">
        <f t="shared" si="4"/>
        <v>5.0000000000000001E-3</v>
      </c>
      <c r="J56" s="144">
        <f t="shared" si="0"/>
        <v>1.4054305182683776E-2</v>
      </c>
      <c r="K56" s="144">
        <f>J56/Jacoby_seeing!$B$15</f>
        <v>0.24656675759094343</v>
      </c>
      <c r="L56" s="144">
        <f>IF(E56&lt;Jacoby_seeing!$D$13,0,ACOS(Jacoby_seeing!$D$13/E56))</f>
        <v>0</v>
      </c>
      <c r="M56" s="144">
        <f>PI()/2-IF(E56&lt;Jacoby_seeing!$D$12,0,ACOS(Jacoby_seeing!$D$12/E56))</f>
        <v>1.5707963267948966</v>
      </c>
      <c r="N56" s="144">
        <f t="shared" si="1"/>
        <v>0.10807078728348886</v>
      </c>
    </row>
    <row r="57" spans="1:14">
      <c r="E57" s="144">
        <f t="shared" si="2"/>
        <v>7.3099999999999984E-2</v>
      </c>
      <c r="F57" s="144">
        <v>1.075644344829112E-2</v>
      </c>
      <c r="G57" s="144">
        <v>6.0000000000000001E-3</v>
      </c>
      <c r="H57" s="144">
        <f t="shared" si="3"/>
        <v>4.3299999999999996E-3</v>
      </c>
      <c r="I57" s="144">
        <f t="shared" si="4"/>
        <v>5.0000000000000001E-3</v>
      </c>
      <c r="J57" s="144">
        <f t="shared" si="0"/>
        <v>1.3980342472782452E-2</v>
      </c>
      <c r="K57" s="144">
        <f>J57/Jacoby_seeing!$B$15</f>
        <v>0.2452691661891658</v>
      </c>
      <c r="L57" s="144">
        <f>IF(E57&lt;Jacoby_seeing!$D$13,0,ACOS(Jacoby_seeing!$D$13/E57))</f>
        <v>0</v>
      </c>
      <c r="M57" s="144">
        <f>PI()/2-IF(E57&lt;Jacoby_seeing!$D$12,0,ACOS(Jacoby_seeing!$D$12/E57))</f>
        <v>1.5707963267948966</v>
      </c>
      <c r="N57" s="144">
        <f t="shared" si="1"/>
        <v>0.11482521148870692</v>
      </c>
    </row>
    <row r="58" spans="1:14">
      <c r="E58" s="144">
        <f t="shared" si="2"/>
        <v>7.7399999999999983E-2</v>
      </c>
      <c r="F58" s="144">
        <v>1.0658631947505989E-2</v>
      </c>
      <c r="G58" s="144">
        <v>6.0000000000000001E-3</v>
      </c>
      <c r="H58" s="144">
        <f t="shared" si="3"/>
        <v>4.3299999999999996E-3</v>
      </c>
      <c r="I58" s="144">
        <f t="shared" si="4"/>
        <v>5.0000000000000001E-3</v>
      </c>
      <c r="J58" s="144">
        <f t="shared" si="0"/>
        <v>1.3905226894675085E-2</v>
      </c>
      <c r="K58" s="144">
        <f>J58/Jacoby_seeing!$B$15</f>
        <v>0.24395134902938745</v>
      </c>
      <c r="L58" s="144">
        <f>IF(E58&lt;Jacoby_seeing!$D$13,0,ACOS(Jacoby_seeing!$D$13/E58))</f>
        <v>0</v>
      </c>
      <c r="M58" s="144">
        <f>PI()/2-IF(E58&lt;Jacoby_seeing!$D$12,0,ACOS(Jacoby_seeing!$D$12/E58))</f>
        <v>1.5707963267948966</v>
      </c>
      <c r="N58" s="144">
        <f t="shared" si="1"/>
        <v>0.12157963569392496</v>
      </c>
    </row>
    <row r="59" spans="1:14">
      <c r="E59" s="144">
        <f t="shared" si="2"/>
        <v>8.1699999999999981E-2</v>
      </c>
      <c r="F59" s="144">
        <v>1.0558212254839444E-2</v>
      </c>
      <c r="G59" s="144">
        <v>6.0000000000000001E-3</v>
      </c>
      <c r="H59" s="144">
        <f t="shared" si="3"/>
        <v>4.3299999999999996E-3</v>
      </c>
      <c r="I59" s="144">
        <f t="shared" si="4"/>
        <v>5.0000000000000001E-3</v>
      </c>
      <c r="J59" s="144">
        <f t="shared" si="0"/>
        <v>1.3828403596158228E-2</v>
      </c>
      <c r="K59" s="144">
        <f>J59/Jacoby_seeing!$B$15</f>
        <v>0.24260357186242504</v>
      </c>
      <c r="L59" s="144">
        <f>IF(E59&lt;Jacoby_seeing!$D$13,0,ACOS(Jacoby_seeing!$D$13/E59))</f>
        <v>0</v>
      </c>
      <c r="M59" s="144">
        <f>PI()/2-IF(E59&lt;Jacoby_seeing!$D$12,0,ACOS(Jacoby_seeing!$D$12/E59))</f>
        <v>1.5707963267948966</v>
      </c>
      <c r="N59" s="144">
        <f t="shared" si="1"/>
        <v>0.12833405989914301</v>
      </c>
    </row>
    <row r="60" spans="1:14">
      <c r="E60" s="144">
        <f t="shared" si="2"/>
        <v>8.5999999999999979E-2</v>
      </c>
      <c r="F60" s="144">
        <v>1.0454430740106031E-2</v>
      </c>
      <c r="G60" s="144">
        <v>6.0000000000000001E-3</v>
      </c>
      <c r="H60" s="144">
        <f t="shared" si="3"/>
        <v>4.3299999999999996E-3</v>
      </c>
      <c r="I60" s="144">
        <f t="shared" si="4"/>
        <v>5.0000000000000001E-3</v>
      </c>
      <c r="J60" s="144">
        <f t="shared" si="0"/>
        <v>1.3749328059933473E-2</v>
      </c>
      <c r="K60" s="144">
        <f>J60/Jacoby_seeing!$B$15</f>
        <v>0.24121628175321883</v>
      </c>
      <c r="L60" s="144">
        <f>IF(E60&lt;Jacoby_seeing!$D$13,0,ACOS(Jacoby_seeing!$D$13/E60))</f>
        <v>0</v>
      </c>
      <c r="M60" s="144">
        <f>PI()/2-IF(E60&lt;Jacoby_seeing!$D$12,0,ACOS(Jacoby_seeing!$D$12/E60))</f>
        <v>1.5707963267948966</v>
      </c>
      <c r="N60" s="144">
        <f t="shared" si="1"/>
        <v>0.13508848410436108</v>
      </c>
    </row>
    <row r="61" spans="1:14">
      <c r="E61" s="144">
        <f t="shared" si="2"/>
        <v>9.0299999999999978E-2</v>
      </c>
      <c r="F61" s="144">
        <v>1.0346533773120298E-2</v>
      </c>
      <c r="G61" s="144">
        <v>6.0000000000000001E-3</v>
      </c>
      <c r="H61" s="144">
        <f t="shared" si="3"/>
        <v>4.3299999999999996E-3</v>
      </c>
      <c r="I61" s="144">
        <f t="shared" si="4"/>
        <v>5.0000000000000001E-3</v>
      </c>
      <c r="J61" s="144">
        <f t="shared" si="0"/>
        <v>1.3667467253237484E-2</v>
      </c>
      <c r="K61" s="144">
        <f>J61/Jacoby_seeing!$B$15</f>
        <v>0.2397801272497804</v>
      </c>
      <c r="L61" s="144">
        <f>IF(E61&lt;Jacoby_seeing!$D$13,0,ACOS(Jacoby_seeing!$D$13/E61))</f>
        <v>0</v>
      </c>
      <c r="M61" s="144">
        <f>PI()/2-IF(E61&lt;Jacoby_seeing!$D$12,0,ACOS(Jacoby_seeing!$D$12/E61))</f>
        <v>1.5707963267948966</v>
      </c>
      <c r="N61" s="144">
        <f t="shared" si="1"/>
        <v>0.14184290830957913</v>
      </c>
    </row>
    <row r="62" spans="1:14">
      <c r="E62" s="144">
        <f t="shared" si="2"/>
        <v>9.4599999999999976E-2</v>
      </c>
      <c r="F62" s="144">
        <v>1.0233767723696786E-2</v>
      </c>
      <c r="G62" s="144">
        <v>6.0000000000000001E-3</v>
      </c>
      <c r="H62" s="144">
        <f t="shared" si="3"/>
        <v>4.3299999999999996E-3</v>
      </c>
      <c r="I62" s="144">
        <f t="shared" si="4"/>
        <v>5.0000000000000001E-3</v>
      </c>
      <c r="J62" s="144">
        <f t="shared" si="0"/>
        <v>1.3582301050358812E-2</v>
      </c>
      <c r="K62" s="144">
        <f>J62/Jacoby_seeing!$B$15</f>
        <v>0.23828598333962828</v>
      </c>
      <c r="L62" s="144">
        <f>IF(E62&lt;Jacoby_seeing!$D$13,0,ACOS(Jacoby_seeing!$D$13/E62))</f>
        <v>0</v>
      </c>
      <c r="M62" s="144">
        <f>PI()/2-IF(E62&lt;Jacoby_seeing!$D$12,0,ACOS(Jacoby_seeing!$D$12/E62))</f>
        <v>1.5707963267948966</v>
      </c>
      <c r="N62" s="144">
        <f t="shared" si="1"/>
        <v>0.14859733251479718</v>
      </c>
    </row>
    <row r="63" spans="1:14">
      <c r="E63" s="144">
        <f t="shared" si="2"/>
        <v>9.8899999999999974E-2</v>
      </c>
      <c r="F63" s="144">
        <v>1.0115378961650044E-2</v>
      </c>
      <c r="G63" s="144">
        <v>6.0000000000000001E-3</v>
      </c>
      <c r="H63" s="144">
        <f t="shared" si="3"/>
        <v>4.3299999999999996E-3</v>
      </c>
      <c r="I63" s="144">
        <f t="shared" si="4"/>
        <v>5.0000000000000001E-3</v>
      </c>
      <c r="J63" s="144">
        <f t="shared" si="0"/>
        <v>1.3493323961789115E-2</v>
      </c>
      <c r="K63" s="144">
        <f>J63/Jacoby_seeing!$B$15</f>
        <v>0.23672498178577395</v>
      </c>
      <c r="L63" s="144">
        <f>IF(E63&lt;Jacoby_seeing!$D$13,0,ACOS(Jacoby_seeing!$D$13/E63))</f>
        <v>0</v>
      </c>
      <c r="M63" s="144">
        <f>PI()/2-IF(E63&lt;Jacoby_seeing!$D$12,0,ACOS(Jacoby_seeing!$D$12/E63))</f>
        <v>1.5707963267948966</v>
      </c>
      <c r="N63" s="144">
        <f t="shared" si="1"/>
        <v>0.15535175672001522</v>
      </c>
    </row>
    <row r="64" spans="1:14">
      <c r="E64" s="144">
        <f t="shared" si="2"/>
        <v>0.10319999999999997</v>
      </c>
      <c r="F64" s="144">
        <v>9.9906138567946133E-3</v>
      </c>
      <c r="G64" s="144">
        <v>6.0000000000000001E-3</v>
      </c>
      <c r="H64" s="144">
        <f t="shared" si="3"/>
        <v>4.3299999999999996E-3</v>
      </c>
      <c r="I64" s="144">
        <f t="shared" si="4"/>
        <v>5.0000000000000001E-3</v>
      </c>
      <c r="J64" s="144">
        <f t="shared" si="0"/>
        <v>1.3400047210199542E-2</v>
      </c>
      <c r="K64" s="144">
        <f>J64/Jacoby_seeing!$B$15</f>
        <v>0.23508854754736036</v>
      </c>
      <c r="L64" s="144">
        <f>IF(E64&lt;Jacoby_seeing!$D$13,0,ACOS(Jacoby_seeing!$D$13/E64))</f>
        <v>0</v>
      </c>
      <c r="M64" s="144">
        <f>PI()/2-IF(E64&lt;Jacoby_seeing!$D$12,0,ACOS(Jacoby_seeing!$D$12/E64))</f>
        <v>1.5707963267948966</v>
      </c>
      <c r="N64" s="144">
        <f t="shared" si="1"/>
        <v>0.16210618092523327</v>
      </c>
    </row>
    <row r="65" spans="5:14">
      <c r="E65" s="144">
        <f t="shared" si="2"/>
        <v>0.10749999999999997</v>
      </c>
      <c r="F65" s="144">
        <v>9.8587555695102674E-3</v>
      </c>
      <c r="G65" s="144">
        <v>6.0000000000000001E-3</v>
      </c>
      <c r="H65" s="144">
        <f t="shared" si="3"/>
        <v>4.3299999999999996E-3</v>
      </c>
      <c r="I65" s="144">
        <f t="shared" si="4"/>
        <v>5.0000000000000001E-3</v>
      </c>
      <c r="J65" s="144">
        <f t="shared" si="0"/>
        <v>1.3302028468596424E-2</v>
      </c>
      <c r="K65" s="144">
        <f>J65/Jacoby_seeing!$B$15</f>
        <v>0.23336892050169164</v>
      </c>
      <c r="L65" s="144">
        <f>IF(E65&lt;Jacoby_seeing!$D$13,0,ACOS(Jacoby_seeing!$D$13/E65))</f>
        <v>0</v>
      </c>
      <c r="M65" s="144">
        <f>PI()/2-IF(E65&lt;Jacoby_seeing!$D$12,0,ACOS(Jacoby_seeing!$D$12/E65))</f>
        <v>1.5707963267948966</v>
      </c>
      <c r="N65" s="144">
        <f t="shared" si="1"/>
        <v>0.16886060513045134</v>
      </c>
    </row>
    <row r="66" spans="5:14">
      <c r="E66" s="144">
        <f t="shared" si="2"/>
        <v>0.11179999999999997</v>
      </c>
      <c r="F66" s="144">
        <v>9.719809428099118E-3</v>
      </c>
      <c r="G66" s="144">
        <v>6.0000000000000001E-3</v>
      </c>
      <c r="H66" s="144">
        <f t="shared" si="3"/>
        <v>4.3299999999999996E-3</v>
      </c>
      <c r="I66" s="144">
        <f t="shared" si="4"/>
        <v>5.0000000000000001E-3</v>
      </c>
      <c r="J66" s="144">
        <f t="shared" si="0"/>
        <v>1.3199378595925057E-2</v>
      </c>
      <c r="K66" s="144">
        <f>J66/Jacoby_seeing!$B$15</f>
        <v>0.23156804554254484</v>
      </c>
      <c r="L66" s="144">
        <f>IF(E66&lt;Jacoby_seeing!$D$13,0,ACOS(Jacoby_seeing!$D$13/E66))</f>
        <v>0</v>
      </c>
      <c r="M66" s="144">
        <f>PI()/2-IF(E66&lt;Jacoby_seeing!$D$12,0,ACOS(Jacoby_seeing!$D$12/E66))</f>
        <v>1.5707963267948966</v>
      </c>
      <c r="N66" s="144">
        <f t="shared" si="1"/>
        <v>0.17561502933566939</v>
      </c>
    </row>
    <row r="67" spans="5:14">
      <c r="E67" s="144">
        <f t="shared" si="2"/>
        <v>0.11609999999999997</v>
      </c>
      <c r="F67" s="144">
        <v>9.5744400912138438E-3</v>
      </c>
      <c r="G67" s="144">
        <v>6.0000000000000001E-3</v>
      </c>
      <c r="H67" s="144">
        <f t="shared" si="3"/>
        <v>4.3299999999999996E-3</v>
      </c>
      <c r="I67" s="144">
        <f t="shared" si="4"/>
        <v>5.0000000000000001E-3</v>
      </c>
      <c r="J67" s="144">
        <f t="shared" si="0"/>
        <v>1.3092700373117952E-2</v>
      </c>
      <c r="K67" s="144">
        <f>J67/Jacoby_seeing!$B$15</f>
        <v>0.22969649777399914</v>
      </c>
      <c r="L67" s="144">
        <f>IF(E67&lt;Jacoby_seeing!$D$13,0,ACOS(Jacoby_seeing!$D$13/E67))</f>
        <v>0</v>
      </c>
      <c r="M67" s="144">
        <f>PI()/2-IF(E67&lt;Jacoby_seeing!$D$12,0,ACOS(Jacoby_seeing!$D$12/E67))</f>
        <v>1.5707963267948966</v>
      </c>
      <c r="N67" s="144">
        <f t="shared" si="1"/>
        <v>0.18236945354088743</v>
      </c>
    </row>
    <row r="68" spans="5:14">
      <c r="E68" s="144">
        <f t="shared" si="2"/>
        <v>0.12039999999999997</v>
      </c>
      <c r="F68" s="144">
        <v>9.4233364079009622E-3</v>
      </c>
      <c r="G68" s="144">
        <v>6.0000000000000001E-3</v>
      </c>
      <c r="H68" s="144">
        <f t="shared" si="3"/>
        <v>4.3299999999999996E-3</v>
      </c>
      <c r="I68" s="144">
        <f t="shared" si="4"/>
        <v>5.0000000000000001E-3</v>
      </c>
      <c r="J68" s="144">
        <f t="shared" si="0"/>
        <v>1.2982610255895068E-2</v>
      </c>
      <c r="K68" s="144">
        <f>J68/Jacoby_seeing!$B$15</f>
        <v>0.22776509220868538</v>
      </c>
      <c r="L68" s="144">
        <f>IF(E68&lt;Jacoby_seeing!$D$13,0,ACOS(Jacoby_seeing!$D$13/E68))</f>
        <v>0</v>
      </c>
      <c r="M68" s="144">
        <f>PI()/2-IF(E68&lt;Jacoby_seeing!$D$12,0,ACOS(Jacoby_seeing!$D$12/E68))</f>
        <v>1.5707963267948966</v>
      </c>
      <c r="N68" s="144">
        <f t="shared" si="1"/>
        <v>0.18912387774610548</v>
      </c>
    </row>
    <row r="69" spans="5:14">
      <c r="E69" s="144">
        <f t="shared" si="2"/>
        <v>0.12469999999999996</v>
      </c>
      <c r="F69" s="144">
        <v>9.2671872272069855E-3</v>
      </c>
      <c r="G69" s="144">
        <v>6.0000000000000001E-3</v>
      </c>
      <c r="H69" s="144">
        <f t="shared" si="3"/>
        <v>4.3299999999999996E-3</v>
      </c>
      <c r="I69" s="144">
        <f t="shared" si="4"/>
        <v>5.0000000000000001E-3</v>
      </c>
      <c r="J69" s="144">
        <f t="shared" si="0"/>
        <v>1.286971868783884E-2</v>
      </c>
      <c r="K69" s="144">
        <f>J69/Jacoby_seeing!$B$15</f>
        <v>0.22578453838313753</v>
      </c>
      <c r="L69" s="144">
        <f>IF(E69&lt;Jacoby_seeing!$D$13,0,ACOS(Jacoby_seeing!$D$13/E69))</f>
        <v>0</v>
      </c>
      <c r="M69" s="144">
        <f>PI()/2-IF(E69&lt;Jacoby_seeing!$D$12,0,ACOS(Jacoby_seeing!$D$12/E69))</f>
        <v>1.5707963267948966</v>
      </c>
      <c r="N69" s="144">
        <f t="shared" si="1"/>
        <v>0.19587830195132355</v>
      </c>
    </row>
    <row r="70" spans="5:14">
      <c r="E70" s="144">
        <f t="shared" si="2"/>
        <v>0.12899999999999998</v>
      </c>
      <c r="F70" s="144">
        <v>9.1066813981784261E-3</v>
      </c>
      <c r="G70" s="144">
        <v>6.0000000000000001E-3</v>
      </c>
      <c r="H70" s="144">
        <f t="shared" si="3"/>
        <v>4.3299999999999996E-3</v>
      </c>
      <c r="I70" s="144">
        <f t="shared" si="4"/>
        <v>5.0000000000000001E-3</v>
      </c>
      <c r="J70" s="144">
        <f t="shared" si="0"/>
        <v>1.2754628418261702E-2</v>
      </c>
      <c r="K70" s="144">
        <f>J70/Jacoby_seeing!$B$15</f>
        <v>0.22376541084669652</v>
      </c>
      <c r="L70" s="144">
        <f>IF(E70&lt;Jacoby_seeing!$D$13,0,ACOS(Jacoby_seeing!$D$13/E70))</f>
        <v>0</v>
      </c>
      <c r="M70" s="144">
        <f>PI()/2-IF(E70&lt;Jacoby_seeing!$D$12,0,ACOS(Jacoby_seeing!$D$12/E70))</f>
        <v>1.5707963267948966</v>
      </c>
      <c r="N70" s="144">
        <f t="shared" si="1"/>
        <v>0.20263272615654163</v>
      </c>
    </row>
    <row r="71" spans="5:14">
      <c r="E71" s="144">
        <f t="shared" si="2"/>
        <v>0.13329999999999997</v>
      </c>
      <c r="F71" s="144">
        <v>8.9426041111669522E-3</v>
      </c>
      <c r="G71" s="144">
        <v>6.0000000000000001E-3</v>
      </c>
      <c r="H71" s="144">
        <f t="shared" si="3"/>
        <v>4.3299999999999996E-3</v>
      </c>
      <c r="I71" s="144">
        <f t="shared" si="4"/>
        <v>5.0000000000000001E-3</v>
      </c>
      <c r="J71" s="144">
        <f t="shared" si="0"/>
        <v>1.2638000960953442E-2</v>
      </c>
      <c r="K71" s="144">
        <f>J71/Jacoby_seeing!$B$15</f>
        <v>0.22171931510444634</v>
      </c>
      <c r="L71" s="144">
        <f>IF(E71&lt;Jacoby_seeing!$D$13,0,ACOS(Jacoby_seeing!$D$13/E71))</f>
        <v>0</v>
      </c>
      <c r="M71" s="144">
        <f>PI()/2-IF(E71&lt;Jacoby_seeing!$D$12,0,ACOS(Jacoby_seeing!$D$12/E71))</f>
        <v>1.5707963267948966</v>
      </c>
      <c r="N71" s="144">
        <f t="shared" si="1"/>
        <v>0.20938715036175967</v>
      </c>
    </row>
    <row r="72" spans="5:14">
      <c r="E72" s="144">
        <f t="shared" si="2"/>
        <v>0.13759999999999997</v>
      </c>
      <c r="F72" s="144">
        <v>8.7764742373311212E-3</v>
      </c>
      <c r="G72" s="144">
        <v>6.0000000000000001E-3</v>
      </c>
      <c r="H72" s="144">
        <f t="shared" si="3"/>
        <v>4.3299999999999996E-3</v>
      </c>
      <c r="I72" s="144">
        <f t="shared" si="4"/>
        <v>5.0000000000000001E-3</v>
      </c>
      <c r="J72" s="144">
        <f t="shared" ref="J72:J103" si="5">SQRT(SUMSQ(F72:I72))</f>
        <v>1.2520998364289363E-2</v>
      </c>
      <c r="K72" s="144">
        <f>J72/Jacoby_seeing!$B$15</f>
        <v>0.21966663796998881</v>
      </c>
      <c r="L72" s="144">
        <f>IF(E72&lt;Jacoby_seeing!$D$13,0,ACOS(Jacoby_seeing!$D$13/E72))</f>
        <v>0</v>
      </c>
      <c r="M72" s="144">
        <f>PI()/2-IF(E72&lt;Jacoby_seeing!$D$12,0,ACOS(Jacoby_seeing!$D$12/E72))</f>
        <v>1.5707963267948966</v>
      </c>
      <c r="N72" s="144">
        <f t="shared" ref="N72:N103" si="6">E72*(M72-L72)</f>
        <v>0.21614157456697772</v>
      </c>
    </row>
    <row r="73" spans="5:14">
      <c r="E73" s="144">
        <f t="shared" ref="E73:E104" si="7">E72+0.0043</f>
        <v>0.14189999999999997</v>
      </c>
      <c r="F73" s="144">
        <v>8.610148156148972E-3</v>
      </c>
      <c r="G73" s="144">
        <v>6.0000000000000001E-3</v>
      </c>
      <c r="H73" s="144">
        <f t="shared" ref="H73:H104" si="8">H72</f>
        <v>4.3299999999999996E-3</v>
      </c>
      <c r="I73" s="144">
        <f t="shared" ref="I73:I104" si="9">I72</f>
        <v>5.0000000000000001E-3</v>
      </c>
      <c r="J73" s="144">
        <f t="shared" si="5"/>
        <v>1.2404980905702174E-2</v>
      </c>
      <c r="K73" s="144">
        <f>J73/Jacoby_seeing!$B$15</f>
        <v>0.21763124395968725</v>
      </c>
      <c r="L73" s="144">
        <f>IF(E73&lt;Jacoby_seeing!$D$13,0,ACOS(Jacoby_seeing!$D$13/E73))</f>
        <v>0</v>
      </c>
      <c r="M73" s="144">
        <f>PI()/2-IF(E73&lt;Jacoby_seeing!$D$12,0,ACOS(Jacoby_seeing!$D$12/E73))</f>
        <v>1.5707963267948966</v>
      </c>
      <c r="N73" s="144">
        <f t="shared" si="6"/>
        <v>0.22289599877219576</v>
      </c>
    </row>
    <row r="74" spans="5:14">
      <c r="E74" s="144">
        <f t="shared" si="7"/>
        <v>0.14619999999999997</v>
      </c>
      <c r="F74" s="144">
        <v>8.445484034011113E-3</v>
      </c>
      <c r="G74" s="144">
        <v>6.0000000000000001E-3</v>
      </c>
      <c r="H74" s="144">
        <f t="shared" si="8"/>
        <v>4.3299999999999996E-3</v>
      </c>
      <c r="I74" s="144">
        <f t="shared" si="9"/>
        <v>5.0000000000000001E-3</v>
      </c>
      <c r="J74" s="144">
        <f t="shared" si="5"/>
        <v>1.2291261146389195E-2</v>
      </c>
      <c r="K74" s="144">
        <f>J74/Jacoby_seeing!$B$15</f>
        <v>0.21563616046296832</v>
      </c>
      <c r="L74" s="144">
        <f>IF(E74&lt;Jacoby_seeing!$D$13,0,ACOS(Jacoby_seeing!$D$13/E74))</f>
        <v>0</v>
      </c>
      <c r="M74" s="144">
        <f>PI()/2-IF(E74&lt;Jacoby_seeing!$D$12,0,ACOS(Jacoby_seeing!$D$12/E74))</f>
        <v>1.5707963267948966</v>
      </c>
      <c r="N74" s="144">
        <f t="shared" si="6"/>
        <v>0.22965042297741384</v>
      </c>
    </row>
    <row r="75" spans="5:14">
      <c r="E75" s="144">
        <f t="shared" si="7"/>
        <v>0.15049999999999997</v>
      </c>
      <c r="F75" s="144">
        <v>8.284340037308149E-3</v>
      </c>
      <c r="G75" s="144">
        <v>6.0000000000000001E-3</v>
      </c>
      <c r="H75" s="144">
        <f t="shared" si="8"/>
        <v>4.3299999999999996E-3</v>
      </c>
      <c r="I75" s="144">
        <f t="shared" si="9"/>
        <v>5.0000000000000001E-3</v>
      </c>
      <c r="J75" s="144">
        <f t="shared" si="5"/>
        <v>1.2181099698046429E-2</v>
      </c>
      <c r="K75" s="144">
        <f>J75/Jacoby_seeing!$B$15</f>
        <v>0.21370350347449873</v>
      </c>
      <c r="L75" s="144">
        <f>IF(E75&lt;Jacoby_seeing!$D$13,0,ACOS(Jacoby_seeing!$D$13/E75))</f>
        <v>0</v>
      </c>
      <c r="M75" s="144">
        <f>PI()/2-IF(E75&lt;Jacoby_seeing!$D$12,0,ACOS(Jacoby_seeing!$D$12/E75))</f>
        <v>1.5707963267948966</v>
      </c>
      <c r="N75" s="144">
        <f t="shared" si="6"/>
        <v>0.23640484718263188</v>
      </c>
    </row>
    <row r="76" spans="5:14">
      <c r="E76" s="144">
        <f t="shared" si="7"/>
        <v>0.15479999999999997</v>
      </c>
      <c r="F76" s="144">
        <v>8.1285743324306849E-3</v>
      </c>
      <c r="G76" s="144">
        <v>6.0000000000000001E-3</v>
      </c>
      <c r="H76" s="144">
        <f t="shared" si="8"/>
        <v>4.3299999999999996E-3</v>
      </c>
      <c r="I76" s="144">
        <f t="shared" si="9"/>
        <v>5.0000000000000001E-3</v>
      </c>
      <c r="J76" s="144">
        <f t="shared" si="5"/>
        <v>1.2075703734269526E-2</v>
      </c>
      <c r="K76" s="144">
        <f>J76/Jacoby_seeing!$B$15</f>
        <v>0.21185445147841273</v>
      </c>
      <c r="L76" s="144">
        <f>IF(E76&lt;Jacoby_seeing!$D$13,0,ACOS(Jacoby_seeing!$D$13/E76))</f>
        <v>0</v>
      </c>
      <c r="M76" s="144">
        <f>PI()/2-IF(E76&lt;Jacoby_seeing!$D$12,0,ACOS(Jacoby_seeing!$D$12/E76))</f>
        <v>1.5707963267948966</v>
      </c>
      <c r="N76" s="144">
        <f t="shared" si="6"/>
        <v>0.24315927138784993</v>
      </c>
    </row>
    <row r="77" spans="5:14">
      <c r="E77" s="144">
        <f t="shared" si="7"/>
        <v>0.15909999999999996</v>
      </c>
      <c r="F77" s="144">
        <v>7.9800450857693273E-3</v>
      </c>
      <c r="G77" s="144">
        <v>6.0000000000000001E-3</v>
      </c>
      <c r="H77" s="144">
        <f t="shared" si="8"/>
        <v>4.3299999999999996E-3</v>
      </c>
      <c r="I77" s="144">
        <f t="shared" si="9"/>
        <v>5.0000000000000001E-3</v>
      </c>
      <c r="J77" s="144">
        <f t="shared" si="5"/>
        <v>1.1976227267838199E-2</v>
      </c>
      <c r="K77" s="144">
        <f>J77/Jacoby_seeing!$B$15</f>
        <v>0.21010925031295086</v>
      </c>
      <c r="L77" s="144">
        <f>IF(E77&lt;Jacoby_seeing!$D$13,0,ACOS(Jacoby_seeing!$D$13/E77))</f>
        <v>0</v>
      </c>
      <c r="M77" s="144">
        <f>PI()/2-IF(E77&lt;Jacoby_seeing!$D$12,0,ACOS(Jacoby_seeing!$D$12/E77))</f>
        <v>1.5707963267948966</v>
      </c>
      <c r="N77" s="144">
        <f t="shared" si="6"/>
        <v>0.24991369559306797</v>
      </c>
    </row>
    <row r="78" spans="5:14">
      <c r="E78" s="144">
        <f t="shared" si="7"/>
        <v>0.16339999999999996</v>
      </c>
      <c r="F78" s="144">
        <v>7.8406104637146826E-3</v>
      </c>
      <c r="G78" s="144">
        <v>6.0000000000000001E-3</v>
      </c>
      <c r="H78" s="144">
        <f t="shared" si="8"/>
        <v>4.3299999999999996E-3</v>
      </c>
      <c r="I78" s="144">
        <f t="shared" si="9"/>
        <v>5.0000000000000001E-3</v>
      </c>
      <c r="J78" s="144">
        <f t="shared" si="5"/>
        <v>1.1883773493453676E-2</v>
      </c>
      <c r="K78" s="144">
        <f>J78/Jacoby_seeing!$B$15</f>
        <v>0.20848725427111711</v>
      </c>
      <c r="L78" s="144">
        <f>IF(E78&lt;Jacoby_seeing!$D$13,0,ACOS(Jacoby_seeing!$D$13/E78))</f>
        <v>0</v>
      </c>
      <c r="M78" s="144">
        <f>PI()/2-IF(E78&lt;Jacoby_seeing!$D$12,0,ACOS(Jacoby_seeing!$D$12/E78))</f>
        <v>1.5707963267948966</v>
      </c>
      <c r="N78" s="144">
        <f t="shared" si="6"/>
        <v>0.25666811979828602</v>
      </c>
    </row>
    <row r="79" spans="5:14">
      <c r="E79" s="144">
        <f t="shared" si="7"/>
        <v>0.16769999999999996</v>
      </c>
      <c r="F79" s="144">
        <v>7.7121286326573566E-3</v>
      </c>
      <c r="G79" s="144">
        <v>6.0000000000000001E-3</v>
      </c>
      <c r="H79" s="144">
        <f t="shared" si="8"/>
        <v>4.3299999999999996E-3</v>
      </c>
      <c r="I79" s="144">
        <f t="shared" si="9"/>
        <v>5.0000000000000001E-3</v>
      </c>
      <c r="J79" s="144">
        <f t="shared" si="5"/>
        <v>1.1799399478221485E-2</v>
      </c>
      <c r="K79" s="144">
        <f>J79/Jacoby_seeing!$B$15</f>
        <v>0.20700700838985062</v>
      </c>
      <c r="L79" s="144">
        <f>IF(E79&lt;Jacoby_seeing!$D$13,0,ACOS(Jacoby_seeing!$D$13/E79))</f>
        <v>0</v>
      </c>
      <c r="M79" s="144">
        <f>PI()/2-IF(E79&lt;Jacoby_seeing!$D$12,0,ACOS(Jacoby_seeing!$D$12/E79))</f>
        <v>1.5707963267948966</v>
      </c>
      <c r="N79" s="144">
        <f t="shared" si="6"/>
        <v>0.26342254400350407</v>
      </c>
    </row>
    <row r="80" spans="5:14">
      <c r="E80" s="144">
        <f t="shared" si="7"/>
        <v>0.17199999999999996</v>
      </c>
      <c r="F80" s="144">
        <v>7.596416251047327E-3</v>
      </c>
      <c r="G80" s="144">
        <v>6.0000000000000001E-3</v>
      </c>
      <c r="H80" s="144">
        <f t="shared" si="8"/>
        <v>4.3299999999999996E-3</v>
      </c>
      <c r="I80" s="144">
        <f t="shared" si="9"/>
        <v>5.0000000000000001E-3</v>
      </c>
      <c r="J80" s="144">
        <f t="shared" si="5"/>
        <v>1.1724096547673766E-2</v>
      </c>
      <c r="K80" s="144">
        <f>J80/Jacoby_seeing!$B$15</f>
        <v>0.20568590434515377</v>
      </c>
      <c r="L80" s="144">
        <f>IF(E80&lt;Jacoby_seeing!$D$13,0,ACOS(Jacoby_seeing!$D$13/E80))</f>
        <v>0</v>
      </c>
      <c r="M80" s="144">
        <f>PI()/2-IF(E80&lt;Jacoby_seeing!$D$12,0,ACOS(Jacoby_seeing!$D$12/E80))</f>
        <v>1.5707963267948966</v>
      </c>
      <c r="N80" s="144">
        <f t="shared" si="6"/>
        <v>0.27017696820872217</v>
      </c>
    </row>
    <row r="81" spans="5:14">
      <c r="E81" s="144">
        <f t="shared" si="7"/>
        <v>0.17629999999999996</v>
      </c>
      <c r="F81" s="144">
        <v>7.4938405231794337E-3</v>
      </c>
      <c r="G81" s="144">
        <v>6.0000000000000001E-3</v>
      </c>
      <c r="H81" s="144">
        <f t="shared" si="8"/>
        <v>4.3299999999999996E-3</v>
      </c>
      <c r="I81" s="144">
        <f t="shared" si="9"/>
        <v>5.0000000000000001E-3</v>
      </c>
      <c r="J81" s="144">
        <f t="shared" si="5"/>
        <v>1.1657896284786815E-2</v>
      </c>
      <c r="K81" s="144">
        <f>J81/Jacoby_seeing!$B$15</f>
        <v>0.20452449622433008</v>
      </c>
      <c r="L81" s="144">
        <f>IF(E81&lt;Jacoby_seeing!$D$13,0,ACOS(Jacoby_seeing!$D$13/E81))</f>
        <v>0</v>
      </c>
      <c r="M81" s="144">
        <f>PI()/2-IF(E81&lt;Jacoby_seeing!$D$12,0,ACOS(Jacoby_seeing!$D$12/E81))</f>
        <v>1.5707963267948966</v>
      </c>
      <c r="N81" s="144">
        <f t="shared" si="6"/>
        <v>0.27693139241394021</v>
      </c>
    </row>
    <row r="82" spans="5:14">
      <c r="E82" s="144">
        <f t="shared" si="7"/>
        <v>0.18059999999999996</v>
      </c>
      <c r="F82" s="144">
        <v>7.4029755843330255E-3</v>
      </c>
      <c r="G82" s="144">
        <v>6.0000000000000001E-3</v>
      </c>
      <c r="H82" s="144">
        <f t="shared" si="8"/>
        <v>4.3299999999999996E-3</v>
      </c>
      <c r="I82" s="144">
        <f t="shared" si="9"/>
        <v>5.0000000000000001E-3</v>
      </c>
      <c r="J82" s="144">
        <f t="shared" si="5"/>
        <v>1.1599696009043984E-2</v>
      </c>
      <c r="K82" s="144">
        <f>J82/Jacoby_seeing!$B$15</f>
        <v>0.20350343875515761</v>
      </c>
      <c r="L82" s="144">
        <f>IF(E82&lt;Jacoby_seeing!$D$13,0,ACOS(Jacoby_seeing!$D$13/E82))</f>
        <v>0</v>
      </c>
      <c r="M82" s="144">
        <f>PI()/2-IF(E82&lt;Jacoby_seeing!$D$12,0,ACOS(Jacoby_seeing!$D$12/E82))</f>
        <v>1.5707963267948966</v>
      </c>
      <c r="N82" s="144">
        <f t="shared" si="6"/>
        <v>0.28368581661915826</v>
      </c>
    </row>
    <row r="83" spans="5:14">
      <c r="E83" s="144">
        <f t="shared" si="7"/>
        <v>0.18489999999999995</v>
      </c>
      <c r="F83" s="144">
        <v>7.3222843623847915E-3</v>
      </c>
      <c r="G83" s="144">
        <v>6.0000000000000001E-3</v>
      </c>
      <c r="H83" s="144">
        <f t="shared" si="8"/>
        <v>4.3299999999999996E-3</v>
      </c>
      <c r="I83" s="144">
        <f t="shared" si="9"/>
        <v>5.0000000000000001E-3</v>
      </c>
      <c r="J83" s="144">
        <f t="shared" si="5"/>
        <v>1.1548365610926287E-2</v>
      </c>
      <c r="K83" s="144">
        <f>J83/Jacoby_seeing!$B$15</f>
        <v>0.20260290545484713</v>
      </c>
      <c r="L83" s="144">
        <f>IF(E83&lt;Jacoby_seeing!$D$13,0,ACOS(Jacoby_seeing!$D$13/E83))</f>
        <v>0</v>
      </c>
      <c r="M83" s="144">
        <f>PI()/2-IF(E83&lt;Jacoby_seeing!$D$12,0,ACOS(Jacoby_seeing!$D$12/E83))</f>
        <v>1.5707963267948966</v>
      </c>
      <c r="N83" s="144">
        <f t="shared" si="6"/>
        <v>0.29044024082437631</v>
      </c>
    </row>
    <row r="84" spans="5:14">
      <c r="E84" s="144">
        <f t="shared" si="7"/>
        <v>0.18919999999999995</v>
      </c>
      <c r="F84" s="144">
        <v>7.2502297852114197E-3</v>
      </c>
      <c r="G84" s="144">
        <v>6.0000000000000001E-3</v>
      </c>
      <c r="H84" s="144">
        <f t="shared" si="8"/>
        <v>4.3299999999999996E-3</v>
      </c>
      <c r="I84" s="144">
        <f t="shared" si="9"/>
        <v>5.0000000000000001E-3</v>
      </c>
      <c r="J84" s="144">
        <f t="shared" si="5"/>
        <v>1.150281408779464E-2</v>
      </c>
      <c r="K84" s="144">
        <f>J84/Jacoby_seeing!$B$15</f>
        <v>0.20180375592622174</v>
      </c>
      <c r="L84" s="144">
        <f>IF(E84&lt;Jacoby_seeing!$D$13,0,ACOS(Jacoby_seeing!$D$13/E84))</f>
        <v>0</v>
      </c>
      <c r="M84" s="144">
        <f>PI()/2-IF(E84&lt;Jacoby_seeing!$D$12,0,ACOS(Jacoby_seeing!$D$12/E84))</f>
        <v>1.5707963267948966</v>
      </c>
      <c r="N84" s="144">
        <f t="shared" si="6"/>
        <v>0.29719466502959435</v>
      </c>
    </row>
    <row r="85" spans="5:14">
      <c r="E85" s="144">
        <f t="shared" si="7"/>
        <v>0.19349999999999995</v>
      </c>
      <c r="F85" s="144">
        <v>7.1852747806895991E-3</v>
      </c>
      <c r="G85" s="144">
        <v>6.0000000000000001E-3</v>
      </c>
      <c r="H85" s="144">
        <f t="shared" si="8"/>
        <v>4.3299999999999996E-3</v>
      </c>
      <c r="I85" s="144">
        <f t="shared" si="9"/>
        <v>5.0000000000000001E-3</v>
      </c>
      <c r="J85" s="144">
        <f t="shared" si="5"/>
        <v>1.1461983845478668E-2</v>
      </c>
      <c r="K85" s="144">
        <f>J85/Jacoby_seeing!$B$15</f>
        <v>0.20108743588559067</v>
      </c>
      <c r="L85" s="144">
        <f>IF(E85&lt;Jacoby_seeing!$D$13,0,ACOS(Jacoby_seeing!$D$13/E85))</f>
        <v>0</v>
      </c>
      <c r="M85" s="144">
        <f>PI()/2-IF(E85&lt;Jacoby_seeing!$D$12,0,ACOS(Jacoby_seeing!$D$12/E85))</f>
        <v>1.5707963267948966</v>
      </c>
      <c r="N85" s="144">
        <f t="shared" si="6"/>
        <v>0.3039490892348124</v>
      </c>
    </row>
    <row r="86" spans="5:14">
      <c r="E86" s="144">
        <f t="shared" si="7"/>
        <v>0.19779999999999995</v>
      </c>
      <c r="F86" s="144">
        <v>7.1258822766960168E-3</v>
      </c>
      <c r="G86" s="144">
        <v>6.0000000000000001E-3</v>
      </c>
      <c r="H86" s="144">
        <f t="shared" si="8"/>
        <v>4.3299999999999996E-3</v>
      </c>
      <c r="I86" s="144">
        <f t="shared" si="9"/>
        <v>5.0000000000000001E-3</v>
      </c>
      <c r="J86" s="144">
        <f t="shared" si="5"/>
        <v>1.142484565415789E-2</v>
      </c>
      <c r="K86" s="144">
        <f>J86/Jacoby_seeing!$B$15</f>
        <v>0.20043588866943668</v>
      </c>
      <c r="L86" s="144">
        <f>IF(E86&lt;Jacoby_seeing!$D$13,0,ACOS(Jacoby_seeing!$D$13/E86))</f>
        <v>0</v>
      </c>
      <c r="M86" s="144">
        <f>PI()/2-IF(E86&lt;Jacoby_seeing!$D$12,0,ACOS(Jacoby_seeing!$D$12/E86))</f>
        <v>1.5707963267948966</v>
      </c>
      <c r="N86" s="144">
        <f t="shared" si="6"/>
        <v>0.31070351344003044</v>
      </c>
    </row>
    <row r="87" spans="5:14">
      <c r="E87" s="144">
        <f t="shared" si="7"/>
        <v>0.20209999999999995</v>
      </c>
      <c r="F87" s="144">
        <v>7.0705152011073637E-3</v>
      </c>
      <c r="G87" s="144">
        <v>6.0000000000000001E-3</v>
      </c>
      <c r="H87" s="144">
        <f t="shared" si="8"/>
        <v>4.3299999999999996E-3</v>
      </c>
      <c r="I87" s="144">
        <f t="shared" si="9"/>
        <v>5.0000000000000001E-3</v>
      </c>
      <c r="J87" s="144">
        <f t="shared" si="5"/>
        <v>1.1390394427283469E-2</v>
      </c>
      <c r="K87" s="144">
        <f>J87/Jacoby_seeing!$B$15</f>
        <v>0.19983148118041172</v>
      </c>
      <c r="L87" s="144">
        <f>IF(E87&lt;Jacoby_seeing!$D$13,0,ACOS(Jacoby_seeing!$D$13/E87))</f>
        <v>0</v>
      </c>
      <c r="M87" s="144">
        <f>PI()/2-IF(E87&lt;Jacoby_seeing!$D$12,0,ACOS(Jacoby_seeing!$D$12/E87))</f>
        <v>1.5707963267948966</v>
      </c>
      <c r="N87" s="144">
        <f t="shared" si="6"/>
        <v>0.31745793764524849</v>
      </c>
    </row>
    <row r="88" spans="5:14">
      <c r="E88" s="144">
        <f t="shared" si="7"/>
        <v>0.20639999999999994</v>
      </c>
      <c r="F88" s="144">
        <v>7.0176364818003252E-3</v>
      </c>
      <c r="G88" s="144">
        <v>6.0000000000000001E-3</v>
      </c>
      <c r="H88" s="144">
        <f t="shared" si="8"/>
        <v>4.3299999999999996E-3</v>
      </c>
      <c r="I88" s="144">
        <f t="shared" si="9"/>
        <v>5.0000000000000001E-3</v>
      </c>
      <c r="J88" s="144">
        <f t="shared" si="5"/>
        <v>1.1357645961672465E-2</v>
      </c>
      <c r="K88" s="144">
        <f>J88/Jacoby_seeing!$B$15</f>
        <v>0.19925694669600816</v>
      </c>
      <c r="L88" s="144">
        <f>IF(E88&lt;Jacoby_seeing!$D$13,0,ACOS(Jacoby_seeing!$D$13/E88))</f>
        <v>0</v>
      </c>
      <c r="M88" s="144">
        <f>PI()/2-IF(E88&lt;Jacoby_seeing!$D$12,0,ACOS(Jacoby_seeing!$D$12/E88))</f>
        <v>1.5707963267948966</v>
      </c>
      <c r="N88" s="144">
        <f t="shared" si="6"/>
        <v>0.32421236185046653</v>
      </c>
    </row>
    <row r="89" spans="5:14">
      <c r="E89" s="144">
        <f t="shared" si="7"/>
        <v>0.21069999999999994</v>
      </c>
      <c r="F89" s="144">
        <v>6.9660763361661191E-3</v>
      </c>
      <c r="G89" s="144">
        <v>6.0000000000000001E-3</v>
      </c>
      <c r="H89" s="144">
        <f t="shared" si="8"/>
        <v>4.3299999999999996E-3</v>
      </c>
      <c r="I89" s="144">
        <f t="shared" si="9"/>
        <v>5.0000000000000001E-3</v>
      </c>
      <c r="J89" s="144">
        <f t="shared" si="5"/>
        <v>1.1325860652563831E-2</v>
      </c>
      <c r="K89" s="144">
        <f>J89/Jacoby_seeing!$B$15</f>
        <v>0.19869930969410229</v>
      </c>
      <c r="L89" s="144">
        <f>IF(E89&lt;Jacoby_seeing!$D$13,0,ACOS(Jacoby_seeing!$D$13/E89))</f>
        <v>0</v>
      </c>
      <c r="M89" s="144">
        <f>PI()/2-IF(E89&lt;Jacoby_seeing!$D$12,0,ACOS(Jacoby_seeing!$D$12/E89))</f>
        <v>1.5707963267948966</v>
      </c>
      <c r="N89" s="144">
        <f t="shared" si="6"/>
        <v>0.33096678605568464</v>
      </c>
    </row>
    <row r="90" spans="5:14">
      <c r="E90" s="144">
        <f t="shared" si="7"/>
        <v>0.21499999999999994</v>
      </c>
      <c r="F90" s="144">
        <v>6.9188168033532758E-3</v>
      </c>
      <c r="G90" s="144">
        <v>6.0000000000000001E-3</v>
      </c>
      <c r="H90" s="144">
        <f t="shared" si="8"/>
        <v>4.3299999999999996E-3</v>
      </c>
      <c r="I90" s="144">
        <f t="shared" si="9"/>
        <v>5.0000000000000001E-3</v>
      </c>
      <c r="J90" s="144">
        <f t="shared" si="5"/>
        <v>1.1296854693159669E-2</v>
      </c>
      <c r="K90" s="144">
        <f>J90/Jacoby_seeing!$B$15</f>
        <v>0.19819043321332752</v>
      </c>
      <c r="L90" s="144">
        <f>IF(E90&lt;Jacoby_seeing!$D$13,0,ACOS(Jacoby_seeing!$D$13/E90))</f>
        <v>0</v>
      </c>
      <c r="M90" s="144">
        <f>PI()/2-IF(E90&lt;Jacoby_seeing!$D$12,0,ACOS(Jacoby_seeing!$D$12/E90))</f>
        <v>1.5707963267948966</v>
      </c>
      <c r="N90" s="144">
        <f t="shared" si="6"/>
        <v>0.33772121026090268</v>
      </c>
    </row>
    <row r="91" spans="5:14">
      <c r="E91" s="144">
        <f t="shared" si="7"/>
        <v>0.21929999999999994</v>
      </c>
      <c r="F91" s="144">
        <v>6.8814635674876749E-3</v>
      </c>
      <c r="G91" s="144">
        <v>6.0000000000000001E-3</v>
      </c>
      <c r="H91" s="144">
        <f t="shared" si="8"/>
        <v>4.3299999999999996E-3</v>
      </c>
      <c r="I91" s="144">
        <f t="shared" si="9"/>
        <v>5.0000000000000001E-3</v>
      </c>
      <c r="J91" s="144">
        <f t="shared" si="5"/>
        <v>1.1274016180166685E-2</v>
      </c>
      <c r="K91" s="144">
        <f>J91/Jacoby_seeing!$B$15</f>
        <v>0.19778975754678393</v>
      </c>
      <c r="L91" s="144">
        <f>IF(E91&lt;Jacoby_seeing!$D$13,0,ACOS(Jacoby_seeing!$D$13/E91))</f>
        <v>0</v>
      </c>
      <c r="M91" s="144">
        <f>PI()/2-IF(E91&lt;Jacoby_seeing!$D$12,0,ACOS(Jacoby_seeing!$D$12/E91))</f>
        <v>1.5707963267948966</v>
      </c>
      <c r="N91" s="144">
        <f t="shared" si="6"/>
        <v>0.34447563446612073</v>
      </c>
    </row>
    <row r="92" spans="5:14">
      <c r="E92" s="144">
        <f t="shared" si="7"/>
        <v>0.22359999999999994</v>
      </c>
      <c r="F92" s="144">
        <v>6.8596636363422395E-3</v>
      </c>
      <c r="G92" s="144">
        <v>6.0000000000000001E-3</v>
      </c>
      <c r="H92" s="144">
        <f t="shared" si="8"/>
        <v>4.3299999999999996E-3</v>
      </c>
      <c r="I92" s="144">
        <f t="shared" si="9"/>
        <v>5.0000000000000001E-3</v>
      </c>
      <c r="J92" s="144">
        <f t="shared" si="5"/>
        <v>1.1260723120819376E-2</v>
      </c>
      <c r="K92" s="144">
        <f>J92/Jacoby_seeing!$B$15</f>
        <v>0.19755654597928729</v>
      </c>
      <c r="L92" s="144">
        <f>IF(E92&lt;Jacoby_seeing!$D$13,0,ACOS(Jacoby_seeing!$D$13/E92))</f>
        <v>0</v>
      </c>
      <c r="M92" s="144">
        <f>PI()/2-IF(E92&lt;Jacoby_seeing!$D$12,0,ACOS(Jacoby_seeing!$D$12/E92))</f>
        <v>1.5707963267948966</v>
      </c>
      <c r="N92" s="144">
        <f t="shared" si="6"/>
        <v>0.35123005867133877</v>
      </c>
    </row>
    <row r="93" spans="5:14">
      <c r="E93" s="144">
        <f t="shared" si="7"/>
        <v>0.22789999999999994</v>
      </c>
      <c r="F93" s="144">
        <v>6.8590634832891599E-3</v>
      </c>
      <c r="G93" s="144">
        <v>6.0000000000000001E-3</v>
      </c>
      <c r="H93" s="144">
        <f t="shared" si="8"/>
        <v>4.3299999999999996E-3</v>
      </c>
      <c r="I93" s="144">
        <f t="shared" si="9"/>
        <v>5.0000000000000001E-3</v>
      </c>
      <c r="J93" s="144">
        <f t="shared" si="5"/>
        <v>1.1260357537298309E-2</v>
      </c>
      <c r="K93" s="144">
        <f>J93/Jacoby_seeing!$B$15</f>
        <v>0.19755013223330364</v>
      </c>
      <c r="L93" s="144">
        <f>IF(E93&lt;Jacoby_seeing!$D$13,0,ACOS(Jacoby_seeing!$D$13/E93))</f>
        <v>0</v>
      </c>
      <c r="M93" s="144">
        <f>PI()/2-IF(E93&lt;Jacoby_seeing!$D$12,0,ACOS(Jacoby_seeing!$D$12/E93))</f>
        <v>1.5707963267948966</v>
      </c>
      <c r="N93" s="144">
        <f t="shared" si="6"/>
        <v>0.35798448287655682</v>
      </c>
    </row>
    <row r="94" spans="5:14">
      <c r="E94" s="144">
        <f t="shared" si="7"/>
        <v>0.23219999999999993</v>
      </c>
      <c r="F94" s="144">
        <v>6.8833851848487098E-3</v>
      </c>
      <c r="G94" s="144">
        <v>6.0000000000000001E-3</v>
      </c>
      <c r="H94" s="144">
        <f t="shared" si="8"/>
        <v>4.3299999999999996E-3</v>
      </c>
      <c r="I94" s="144">
        <f t="shared" si="9"/>
        <v>5.0000000000000001E-3</v>
      </c>
      <c r="J94" s="144">
        <f t="shared" si="5"/>
        <v>1.1275189204753715E-2</v>
      </c>
      <c r="K94" s="144">
        <f>J94/Jacoby_seeing!$B$15</f>
        <v>0.19781033692550376</v>
      </c>
      <c r="L94" s="144">
        <f>IF(E94&lt;Jacoby_seeing!$D$13,0,ACOS(Jacoby_seeing!$D$13/E94))</f>
        <v>0</v>
      </c>
      <c r="M94" s="144">
        <f>PI()/2-IF(E94&lt;Jacoby_seeing!$D$12,0,ACOS(Jacoby_seeing!$D$12/E94))</f>
        <v>1.5707963267948966</v>
      </c>
      <c r="N94" s="144">
        <f t="shared" si="6"/>
        <v>0.36473890708177487</v>
      </c>
    </row>
    <row r="95" spans="5:14">
      <c r="E95" s="144">
        <f t="shared" si="7"/>
        <v>0.23649999999999993</v>
      </c>
      <c r="F95" s="144">
        <v>6.9301005654669274E-3</v>
      </c>
      <c r="G95" s="144">
        <v>6.0000000000000001E-3</v>
      </c>
      <c r="H95" s="144">
        <f t="shared" si="8"/>
        <v>4.3299999999999996E-3</v>
      </c>
      <c r="I95" s="144">
        <f t="shared" si="9"/>
        <v>5.0000000000000001E-3</v>
      </c>
      <c r="J95" s="144">
        <f t="shared" si="5"/>
        <v>1.1303769010709881E-2</v>
      </c>
      <c r="K95" s="144">
        <f>J95/Jacoby_seeing!$B$15</f>
        <v>0.19831173702999791</v>
      </c>
      <c r="L95" s="144">
        <f>IF(E95&lt;Jacoby_seeing!$D$13,0,ACOS(Jacoby_seeing!$D$13/E95))</f>
        <v>0</v>
      </c>
      <c r="M95" s="144">
        <f>PI()/2-IF(E95&lt;Jacoby_seeing!$D$12,0,ACOS(Jacoby_seeing!$D$12/E95))</f>
        <v>1.5707963267948966</v>
      </c>
      <c r="N95" s="144">
        <f t="shared" si="6"/>
        <v>0.37149333128699291</v>
      </c>
    </row>
    <row r="96" spans="5:14">
      <c r="E96" s="144">
        <f t="shared" si="7"/>
        <v>0.24079999999999993</v>
      </c>
      <c r="F96" s="144">
        <v>6.9954147219134294E-3</v>
      </c>
      <c r="G96" s="144">
        <v>6.0000000000000001E-3</v>
      </c>
      <c r="H96" s="144">
        <f t="shared" si="8"/>
        <v>4.3299999999999996E-3</v>
      </c>
      <c r="I96" s="144">
        <f t="shared" si="9"/>
        <v>5.0000000000000001E-3</v>
      </c>
      <c r="J96" s="144">
        <f t="shared" si="5"/>
        <v>1.1343929087029907E-2</v>
      </c>
      <c r="K96" s="144">
        <f>J96/Jacoby_seeing!$B$15</f>
        <v>0.1990162997724545</v>
      </c>
      <c r="L96" s="144">
        <f>IF(E96&lt;Jacoby_seeing!$D$13,0,ACOS(Jacoby_seeing!$D$13/E96))</f>
        <v>0</v>
      </c>
      <c r="M96" s="144">
        <f>PI()/2-IF(E96&lt;Jacoby_seeing!$D$12,0,ACOS(Jacoby_seeing!$D$12/E96))</f>
        <v>1.5707963267948966</v>
      </c>
      <c r="N96" s="144">
        <f t="shared" si="6"/>
        <v>0.37824775549221096</v>
      </c>
    </row>
    <row r="97" spans="5:14">
      <c r="E97" s="144">
        <f t="shared" si="7"/>
        <v>0.24509999999999993</v>
      </c>
      <c r="F97" s="144">
        <v>7.07553275095784E-3</v>
      </c>
      <c r="G97" s="144">
        <v>6.0000000000000001E-3</v>
      </c>
      <c r="H97" s="144">
        <f t="shared" si="8"/>
        <v>4.3299999999999996E-3</v>
      </c>
      <c r="I97" s="144">
        <f t="shared" si="9"/>
        <v>5.0000000000000001E-3</v>
      </c>
      <c r="J97" s="144">
        <f t="shared" si="5"/>
        <v>1.1393509718689717E-2</v>
      </c>
      <c r="K97" s="144">
        <f>J97/Jacoby_seeing!$B$15</f>
        <v>0.19988613541560907</v>
      </c>
      <c r="L97" s="144">
        <f>IF(E97&lt;Jacoby_seeing!$D$13,0,ACOS(Jacoby_seeing!$D$13/E97))</f>
        <v>0</v>
      </c>
      <c r="M97" s="144">
        <f>PI()/2-IF(E97&lt;Jacoby_seeing!$D$12,0,ACOS(Jacoby_seeing!$D$12/E97))</f>
        <v>1.5707963267948966</v>
      </c>
      <c r="N97" s="144">
        <f t="shared" si="6"/>
        <v>0.38500217969742906</v>
      </c>
    </row>
    <row r="98" spans="5:14">
      <c r="E98" s="144">
        <f t="shared" si="7"/>
        <v>0.24939999999999993</v>
      </c>
      <c r="F98" s="144">
        <v>7.1666597493697812E-3</v>
      </c>
      <c r="G98" s="144">
        <v>6.0000000000000001E-3</v>
      </c>
      <c r="H98" s="144">
        <f t="shared" si="8"/>
        <v>4.3299999999999996E-3</v>
      </c>
      <c r="I98" s="144">
        <f t="shared" si="9"/>
        <v>5.0000000000000001E-3</v>
      </c>
      <c r="J98" s="144">
        <f t="shared" si="5"/>
        <v>1.1450323661942353E-2</v>
      </c>
      <c r="K98" s="144">
        <f>J98/Jacoby_seeing!$B$15</f>
        <v>0.20088287126214655</v>
      </c>
      <c r="L98" s="144">
        <f>IF(E98&lt;Jacoby_seeing!$D$13,0,ACOS(Jacoby_seeing!$D$13/E98))</f>
        <v>0</v>
      </c>
      <c r="M98" s="144">
        <f>PI()/2-IF(E98&lt;Jacoby_seeing!$D$12,0,ACOS(Jacoby_seeing!$D$12/E98))</f>
        <v>1.5707963267948966</v>
      </c>
      <c r="N98" s="144">
        <f t="shared" si="6"/>
        <v>0.3917566039026471</v>
      </c>
    </row>
    <row r="99" spans="5:14">
      <c r="E99" s="144">
        <f t="shared" si="7"/>
        <v>0.25369999999999993</v>
      </c>
      <c r="F99" s="144">
        <v>7.2650008139188739E-3</v>
      </c>
      <c r="G99" s="144">
        <v>6.0000000000000001E-3</v>
      </c>
      <c r="H99" s="144">
        <f t="shared" si="8"/>
        <v>4.3299999999999996E-3</v>
      </c>
      <c r="I99" s="144">
        <f t="shared" si="9"/>
        <v>5.0000000000000001E-3</v>
      </c>
      <c r="J99" s="144">
        <f t="shared" si="5"/>
        <v>1.1512129986507358E-2</v>
      </c>
      <c r="K99" s="144">
        <f>J99/Jacoby_seeing!$B$15</f>
        <v>0.20196719274574312</v>
      </c>
      <c r="L99" s="144">
        <f>IF(E99&lt;Jacoby_seeing!$D$13,0,ACOS(Jacoby_seeing!$D$13/E99))</f>
        <v>0</v>
      </c>
      <c r="M99" s="144">
        <f>PI()/2-IF(E99&lt;Jacoby_seeing!$D$12,0,ACOS(Jacoby_seeing!$D$12/E99))</f>
        <v>1.5707963267948966</v>
      </c>
      <c r="N99" s="144">
        <f t="shared" si="6"/>
        <v>0.39851102810786515</v>
      </c>
    </row>
    <row r="100" spans="5:14">
      <c r="E100" s="144">
        <f t="shared" si="7"/>
        <v>0.25799999999999995</v>
      </c>
      <c r="F100" s="144">
        <v>7.3671705626741201E-3</v>
      </c>
      <c r="G100" s="144">
        <v>6.0000000000000001E-3</v>
      </c>
      <c r="H100" s="144">
        <f t="shared" si="8"/>
        <v>4.3299999999999996E-3</v>
      </c>
      <c r="I100" s="144">
        <f t="shared" si="9"/>
        <v>5.0000000000000001E-3</v>
      </c>
      <c r="J100" s="144">
        <f t="shared" si="5"/>
        <v>1.1576877908120658E-2</v>
      </c>
      <c r="K100" s="144">
        <f>J100/Jacoby_seeing!$B$15</f>
        <v>0.20310312119509924</v>
      </c>
      <c r="L100" s="144">
        <f>IF(E100&lt;Jacoby_seeing!$D$13,0,ACOS(Jacoby_seeing!$D$13/E100))</f>
        <v>0</v>
      </c>
      <c r="M100" s="144">
        <f>PI()/2-IF(E100&lt;Jacoby_seeing!$D$12,0,ACOS(Jacoby_seeing!$D$12/E100))</f>
        <v>1.5707963267948966</v>
      </c>
      <c r="N100" s="144">
        <f t="shared" si="6"/>
        <v>0.40526545231308325</v>
      </c>
    </row>
    <row r="101" spans="5:14">
      <c r="E101" s="144">
        <f t="shared" si="7"/>
        <v>0.26229999999999998</v>
      </c>
      <c r="F101" s="144">
        <v>7.4731478943671596E-3</v>
      </c>
      <c r="G101" s="144">
        <v>6.0000000000000001E-3</v>
      </c>
      <c r="H101" s="144">
        <f t="shared" si="8"/>
        <v>4.3299999999999996E-3</v>
      </c>
      <c r="I101" s="144">
        <f t="shared" si="9"/>
        <v>5.0000000000000001E-3</v>
      </c>
      <c r="J101" s="144">
        <f t="shared" si="5"/>
        <v>1.1644605594483838E-2</v>
      </c>
      <c r="K101" s="144">
        <f>J101/Jacoby_seeing!$B$15</f>
        <v>0.20429132621901469</v>
      </c>
      <c r="L101" s="144">
        <f>IF(E101&lt;Jacoby_seeing!$D$13,0,ACOS(Jacoby_seeing!$D$13/E101))</f>
        <v>0</v>
      </c>
      <c r="M101" s="144">
        <f>PI()/2-IF(E101&lt;Jacoby_seeing!$D$12,0,ACOS(Jacoby_seeing!$D$12/E101))</f>
        <v>1.5707963267948966</v>
      </c>
      <c r="N101" s="144">
        <f t="shared" si="6"/>
        <v>0.41201987651830135</v>
      </c>
    </row>
    <row r="102" spans="5:14">
      <c r="E102" s="144">
        <f t="shared" si="7"/>
        <v>0.2666</v>
      </c>
      <c r="F102" s="144">
        <v>7.5845626584848521E-3</v>
      </c>
      <c r="G102" s="144">
        <v>6.0000000000000001E-3</v>
      </c>
      <c r="H102" s="144">
        <f t="shared" si="8"/>
        <v>4.3299999999999996E-3</v>
      </c>
      <c r="I102" s="144">
        <f t="shared" si="9"/>
        <v>5.0000000000000001E-3</v>
      </c>
      <c r="J102" s="144">
        <f t="shared" si="5"/>
        <v>1.1716419705715684E-2</v>
      </c>
      <c r="K102" s="144">
        <f>J102/Jacoby_seeing!$B$15</f>
        <v>0.20555122290729269</v>
      </c>
      <c r="L102" s="144">
        <f>IF(E102&lt;Jacoby_seeing!$D$13,0,ACOS(Jacoby_seeing!$D$13/E102))</f>
        <v>0</v>
      </c>
      <c r="M102" s="144">
        <f>PI()/2-IF(E102&lt;Jacoby_seeing!$D$12,0,ACOS(Jacoby_seeing!$D$12/E102))</f>
        <v>1.5707963267948966</v>
      </c>
      <c r="N102" s="144">
        <f t="shared" si="6"/>
        <v>0.41877430072351945</v>
      </c>
    </row>
    <row r="103" spans="5:14">
      <c r="E103" s="144">
        <f t="shared" si="7"/>
        <v>0.27090000000000003</v>
      </c>
      <c r="F103" s="144">
        <v>7.7030561000478873E-3</v>
      </c>
      <c r="G103" s="144">
        <v>6.0000000000000001E-3</v>
      </c>
      <c r="H103" s="144">
        <f t="shared" si="8"/>
        <v>4.3299999999999996E-3</v>
      </c>
      <c r="I103" s="144">
        <f t="shared" si="9"/>
        <v>5.0000000000000001E-3</v>
      </c>
      <c r="J103" s="144">
        <f t="shared" si="5"/>
        <v>1.1793471638176987E-2</v>
      </c>
      <c r="K103" s="144">
        <f>J103/Jacoby_seeing!$B$15</f>
        <v>0.20690301119608748</v>
      </c>
      <c r="L103" s="144">
        <f>IF(E103&lt;Jacoby_seeing!$D$13,0,ACOS(Jacoby_seeing!$D$13/E103))</f>
        <v>0</v>
      </c>
      <c r="M103" s="144">
        <f>PI()/2-IF(E103&lt;Jacoby_seeing!$D$12,0,ACOS(Jacoby_seeing!$D$12/E103))</f>
        <v>1.5707963267948966</v>
      </c>
      <c r="N103" s="144">
        <f t="shared" si="6"/>
        <v>0.4255287249287375</v>
      </c>
    </row>
    <row r="104" spans="5:14">
      <c r="E104" s="144">
        <f t="shared" si="7"/>
        <v>0.27520000000000006</v>
      </c>
      <c r="F104" s="144">
        <v>7.83026946407696E-3</v>
      </c>
      <c r="G104" s="144">
        <v>6.0000000000000001E-3</v>
      </c>
      <c r="H104" s="144">
        <f t="shared" si="8"/>
        <v>4.3299999999999996E-3</v>
      </c>
      <c r="I104" s="144">
        <f t="shared" si="9"/>
        <v>5.0000000000000001E-3</v>
      </c>
      <c r="J104" s="144">
        <f t="shared" ref="J104:J135" si="10">SQRT(SUMSQ(F104:I104))</f>
        <v>1.187695330798501E-2</v>
      </c>
      <c r="K104" s="144">
        <f>J104/Jacoby_seeing!$B$15</f>
        <v>0.20836760189447384</v>
      </c>
      <c r="L104" s="144">
        <f>IF(E104&lt;Jacoby_seeing!$D$13,0,ACOS(Jacoby_seeing!$D$13/E104))</f>
        <v>0</v>
      </c>
      <c r="M104" s="144">
        <f>PI()/2-IF(E104&lt;Jacoby_seeing!$D$12,0,ACOS(Jacoby_seeing!$D$12/E104))</f>
        <v>1.5707963267948966</v>
      </c>
      <c r="N104" s="144">
        <f t="shared" ref="N104:N135" si="11">E104*(M104-L104)</f>
        <v>0.4322831491339556</v>
      </c>
    </row>
    <row r="105" spans="5:14">
      <c r="E105" s="144">
        <f t="shared" ref="E105:E140" si="12">E104+0.0043</f>
        <v>0.27950000000000008</v>
      </c>
      <c r="F105" s="144">
        <v>7.9678439955927615E-3</v>
      </c>
      <c r="G105" s="144">
        <v>6.0000000000000001E-3</v>
      </c>
      <c r="H105" s="144">
        <f t="shared" ref="H105:H140" si="13">H104</f>
        <v>4.3299999999999996E-3</v>
      </c>
      <c r="I105" s="144">
        <f t="shared" ref="I105:I140" si="14">I104</f>
        <v>5.0000000000000001E-3</v>
      </c>
      <c r="J105" s="144">
        <f t="shared" si="10"/>
        <v>1.196810084926191E-2</v>
      </c>
      <c r="K105" s="144">
        <f>J105/Jacoby_seeing!$B$15</f>
        <v>0.2099666815659984</v>
      </c>
      <c r="L105" s="144">
        <f>IF(E105&lt;Jacoby_seeing!$D$13,0,ACOS(Jacoby_seeing!$D$13/E105))</f>
        <v>0</v>
      </c>
      <c r="M105" s="144">
        <f>PI()/2-IF(E105&lt;Jacoby_seeing!$D$12,0,ACOS(Jacoby_seeing!$D$12/E105))</f>
        <v>1.5707963267948966</v>
      </c>
      <c r="N105" s="144">
        <f t="shared" si="11"/>
        <v>0.4390375733391737</v>
      </c>
    </row>
    <row r="106" spans="5:14">
      <c r="E106" s="144">
        <f t="shared" si="12"/>
        <v>0.28380000000000011</v>
      </c>
      <c r="F106" s="144">
        <v>8.1170152243869621E-3</v>
      </c>
      <c r="G106" s="144">
        <v>6.0000000000000001E-3</v>
      </c>
      <c r="H106" s="144">
        <f t="shared" si="13"/>
        <v>4.3299999999999996E-3</v>
      </c>
      <c r="I106" s="144">
        <f t="shared" si="14"/>
        <v>5.0000000000000001E-3</v>
      </c>
      <c r="J106" s="144">
        <f t="shared" si="10"/>
        <v>1.20679259258967E-2</v>
      </c>
      <c r="K106" s="144">
        <f>J106/Jacoby_seeing!$B$15</f>
        <v>0.21171799869994209</v>
      </c>
      <c r="L106" s="144">
        <f>IF(E106&lt;Jacoby_seeing!$D$13,0,ACOS(Jacoby_seeing!$D$13/E106))</f>
        <v>0</v>
      </c>
      <c r="M106" s="144">
        <f>PI()/2-IF(E106&lt;Jacoby_seeing!$D$12,0,ACOS(Jacoby_seeing!$D$12/E106))</f>
        <v>1.5707963267948966</v>
      </c>
      <c r="N106" s="144">
        <f t="shared" si="11"/>
        <v>0.4457919975443918</v>
      </c>
    </row>
    <row r="107" spans="5:14">
      <c r="E107" s="144">
        <f t="shared" si="12"/>
        <v>0.28810000000000013</v>
      </c>
      <c r="F107" s="144">
        <v>8.2754181185524748E-3</v>
      </c>
      <c r="G107" s="144">
        <v>6.0000000000000001E-3</v>
      </c>
      <c r="H107" s="144">
        <f t="shared" si="13"/>
        <v>4.3299999999999996E-3</v>
      </c>
      <c r="I107" s="144">
        <f t="shared" si="14"/>
        <v>5.0000000000000001E-3</v>
      </c>
      <c r="J107" s="144">
        <f t="shared" si="10"/>
        <v>1.2175033677032134E-2</v>
      </c>
      <c r="K107" s="144">
        <f>J107/Jacoby_seeing!$B$15</f>
        <v>0.21359708205319533</v>
      </c>
      <c r="L107" s="144">
        <f>IF(E107&lt;Jacoby_seeing!$D$13,0,ACOS(Jacoby_seeing!$D$13/E107))</f>
        <v>0</v>
      </c>
      <c r="M107" s="144">
        <f>PI()/2-IF(E107&lt;Jacoby_seeing!$D$12,0,ACOS(Jacoby_seeing!$D$12/E107))</f>
        <v>1.5707963267948966</v>
      </c>
      <c r="N107" s="144">
        <f t="shared" si="11"/>
        <v>0.45254642174960991</v>
      </c>
    </row>
    <row r="108" spans="5:14">
      <c r="E108" s="144">
        <f t="shared" si="12"/>
        <v>0.29240000000000016</v>
      </c>
      <c r="F108" s="144">
        <v>8.4388039329576347E-3</v>
      </c>
      <c r="G108" s="144">
        <v>6.0000000000000001E-3</v>
      </c>
      <c r="H108" s="144">
        <f t="shared" si="13"/>
        <v>4.3299999999999996E-3</v>
      </c>
      <c r="I108" s="144">
        <f t="shared" si="14"/>
        <v>5.0000000000000001E-3</v>
      </c>
      <c r="J108" s="144">
        <f t="shared" si="10"/>
        <v>1.2286672121404609E-2</v>
      </c>
      <c r="K108" s="144">
        <f>J108/Jacoby_seeing!$B$15</f>
        <v>0.21555565125271242</v>
      </c>
      <c r="L108" s="144">
        <f>IF(E108&lt;Jacoby_seeing!$D$13,0,ACOS(Jacoby_seeing!$D$13/E108))</f>
        <v>0</v>
      </c>
      <c r="M108" s="144">
        <f>PI()/2-IF(E108&lt;Jacoby_seeing!$D$12,0,ACOS(Jacoby_seeing!$D$12/E108))</f>
        <v>1.5707963267948966</v>
      </c>
      <c r="N108" s="144">
        <f t="shared" si="11"/>
        <v>0.45930084595482801</v>
      </c>
    </row>
    <row r="109" spans="5:14">
      <c r="E109" s="144">
        <f t="shared" si="12"/>
        <v>0.29670000000000019</v>
      </c>
      <c r="F109" s="144">
        <v>8.602907442765876E-3</v>
      </c>
      <c r="G109" s="144">
        <v>6.0000000000000001E-3</v>
      </c>
      <c r="H109" s="144">
        <f t="shared" si="13"/>
        <v>4.3299999999999996E-3</v>
      </c>
      <c r="I109" s="144">
        <f t="shared" si="14"/>
        <v>5.0000000000000001E-3</v>
      </c>
      <c r="J109" s="144">
        <f t="shared" si="10"/>
        <v>1.2399956309148695E-2</v>
      </c>
      <c r="K109" s="144">
        <f>J109/Jacoby_seeing!$B$15</f>
        <v>0.21754309314295955</v>
      </c>
      <c r="L109" s="144">
        <f>IF(E109&lt;Jacoby_seeing!$D$13,0,ACOS(Jacoby_seeing!$D$13/E109))</f>
        <v>0</v>
      </c>
      <c r="M109" s="144">
        <f>PI()/2-IF(E109&lt;Jacoby_seeing!$D$12,0,ACOS(Jacoby_seeing!$D$12/E109))</f>
        <v>1.5707963267948966</v>
      </c>
      <c r="N109" s="144">
        <f t="shared" si="11"/>
        <v>0.46605527016004611</v>
      </c>
    </row>
    <row r="110" spans="5:14">
      <c r="E110" s="144">
        <f t="shared" si="12"/>
        <v>0.30100000000000021</v>
      </c>
      <c r="F110" s="144">
        <v>8.763463423140638E-3</v>
      </c>
      <c r="G110" s="144">
        <v>6.0000000000000001E-3</v>
      </c>
      <c r="H110" s="144">
        <f t="shared" si="13"/>
        <v>4.3299999999999996E-3</v>
      </c>
      <c r="I110" s="144">
        <f t="shared" si="14"/>
        <v>5.0000000000000001E-3</v>
      </c>
      <c r="J110" s="144">
        <f t="shared" si="10"/>
        <v>1.2511881999472495E-2</v>
      </c>
      <c r="K110" s="144">
        <f>J110/Jacoby_seeing!$B$15</f>
        <v>0.21950670174513148</v>
      </c>
      <c r="L110" s="144">
        <f>IF(E110&lt;Jacoby_seeing!$D$13,0,ACOS(Jacoby_seeing!$D$13/E110))</f>
        <v>0</v>
      </c>
      <c r="M110" s="144">
        <f>PI()/2-IF(E110&lt;Jacoby_seeing!$D$12,0,ACOS(Jacoby_seeing!$D$12/E110))</f>
        <v>1.5707963267948966</v>
      </c>
      <c r="N110" s="144">
        <f t="shared" si="11"/>
        <v>0.47280969436526421</v>
      </c>
    </row>
    <row r="111" spans="5:14">
      <c r="E111" s="144">
        <f t="shared" si="12"/>
        <v>0.30530000000000024</v>
      </c>
      <c r="F111" s="144">
        <v>8.9171561371556261E-3</v>
      </c>
      <c r="G111" s="144">
        <v>6.0000000000000001E-3</v>
      </c>
      <c r="H111" s="144">
        <f t="shared" si="13"/>
        <v>4.3299999999999996E-3</v>
      </c>
      <c r="I111" s="144">
        <f t="shared" si="14"/>
        <v>5.0000000000000001E-3</v>
      </c>
      <c r="J111" s="144">
        <f t="shared" si="10"/>
        <v>1.2620006876955822E-2</v>
      </c>
      <c r="K111" s="144">
        <f>J111/Jacoby_seeing!$B$15</f>
        <v>0.22140362942027755</v>
      </c>
      <c r="L111" s="144">
        <f>IF(E111&lt;Jacoby_seeing!$D$13,0,ACOS(Jacoby_seeing!$D$13/E111))</f>
        <v>0</v>
      </c>
      <c r="M111" s="144">
        <f>PI()/2-IF(E111&lt;Jacoby_seeing!$D$12,0,ACOS(Jacoby_seeing!$D$12/E111))</f>
        <v>1.4214283479889556</v>
      </c>
      <c r="N111" s="144">
        <f t="shared" si="11"/>
        <v>0.43396207464102848</v>
      </c>
    </row>
    <row r="112" spans="5:14">
      <c r="E112" s="144">
        <f t="shared" si="12"/>
        <v>0.30960000000000026</v>
      </c>
      <c r="F112" s="144">
        <v>9.0673810831074075E-3</v>
      </c>
      <c r="G112" s="144">
        <v>6.0000000000000001E-3</v>
      </c>
      <c r="H112" s="144">
        <f t="shared" si="13"/>
        <v>4.3299999999999996E-3</v>
      </c>
      <c r="I112" s="144">
        <f t="shared" si="14"/>
        <v>5.0000000000000001E-3</v>
      </c>
      <c r="J112" s="144">
        <f t="shared" si="10"/>
        <v>1.2726598119933468E-2</v>
      </c>
      <c r="K112" s="144">
        <f>J112/Jacoby_seeing!$B$15</f>
        <v>0.22327365122690293</v>
      </c>
      <c r="L112" s="144">
        <f>IF(E112&lt;Jacoby_seeing!$D$13,0,ACOS(Jacoby_seeing!$D$13/E112))</f>
        <v>0.13521996068895614</v>
      </c>
      <c r="M112" s="144">
        <f>PI()/2-IF(E112&lt;Jacoby_seeing!$D$12,0,ACOS(Jacoby_seeing!$D$12/E112))</f>
        <v>1.3473117484345001</v>
      </c>
      <c r="N112" s="144">
        <f t="shared" si="11"/>
        <v>0.37526361748602072</v>
      </c>
    </row>
    <row r="113" spans="5:14">
      <c r="E113" s="144">
        <f t="shared" si="12"/>
        <v>0.31390000000000029</v>
      </c>
      <c r="F113" s="144">
        <v>9.2204260268037783E-3</v>
      </c>
      <c r="G113" s="144">
        <v>6.0000000000000001E-3</v>
      </c>
      <c r="H113" s="144">
        <f t="shared" si="13"/>
        <v>4.3299999999999996E-3</v>
      </c>
      <c r="I113" s="144">
        <f t="shared" si="14"/>
        <v>5.0000000000000001E-3</v>
      </c>
      <c r="J113" s="144">
        <f t="shared" si="10"/>
        <v>1.2836088037862646E-2</v>
      </c>
      <c r="K113" s="144">
        <f>J113/Jacoby_seeing!$B$15</f>
        <v>0.22519452698004641</v>
      </c>
      <c r="L113" s="144">
        <f>IF(E113&lt;Jacoby_seeing!$D$13,0,ACOS(Jacoby_seeing!$D$13/E113))</f>
        <v>0.21348677732827848</v>
      </c>
      <c r="M113" s="144">
        <f>PI()/2-IF(E113&lt;Jacoby_seeing!$D$12,0,ACOS(Jacoby_seeing!$D$12/E113))</f>
        <v>1.2934051414582146</v>
      </c>
      <c r="N113" s="144">
        <f t="shared" si="11"/>
        <v>0.33898637450038727</v>
      </c>
    </row>
    <row r="114" spans="5:14">
      <c r="E114" s="144">
        <f t="shared" si="12"/>
        <v>0.31820000000000032</v>
      </c>
      <c r="F114" s="144">
        <v>9.3825900725437311E-3</v>
      </c>
      <c r="G114" s="144">
        <v>6.0000000000000001E-3</v>
      </c>
      <c r="H114" s="144">
        <f t="shared" si="13"/>
        <v>4.3299999999999996E-3</v>
      </c>
      <c r="I114" s="144">
        <f t="shared" si="14"/>
        <v>5.0000000000000001E-3</v>
      </c>
      <c r="J114" s="144">
        <f t="shared" si="10"/>
        <v>1.2953065138004833E-2</v>
      </c>
      <c r="K114" s="144">
        <f>J114/Jacoby_seeing!$B$15</f>
        <v>0.22724675680710232</v>
      </c>
      <c r="L114" s="144">
        <f>IF(E114&lt;Jacoby_seeing!$D$13,0,ACOS(Jacoby_seeing!$D$13/E114))</f>
        <v>0.26879583439931309</v>
      </c>
      <c r="M114" s="144">
        <f>PI()/2-IF(E114&lt;Jacoby_seeing!$D$12,0,ACOS(Jacoby_seeing!$D$12/E114))</f>
        <v>1.2493396633997564</v>
      </c>
      <c r="N114" s="144">
        <f t="shared" si="11"/>
        <v>0.31200904638794136</v>
      </c>
    </row>
    <row r="115" spans="5:14">
      <c r="E115" s="144">
        <f t="shared" si="12"/>
        <v>0.32250000000000034</v>
      </c>
      <c r="F115" s="144">
        <v>9.5601252360315477E-3</v>
      </c>
      <c r="G115" s="144">
        <v>6.0000000000000001E-3</v>
      </c>
      <c r="H115" s="144">
        <f t="shared" si="13"/>
        <v>4.3299999999999996E-3</v>
      </c>
      <c r="I115" s="144">
        <f t="shared" si="14"/>
        <v>5.0000000000000001E-3</v>
      </c>
      <c r="J115" s="144">
        <f t="shared" si="10"/>
        <v>1.3082235838288778E-2</v>
      </c>
      <c r="K115" s="144">
        <f>J115/Jacoby_seeing!$B$15</f>
        <v>0.22951290944366276</v>
      </c>
      <c r="L115" s="144">
        <f>IF(E115&lt;Jacoby_seeing!$D$13,0,ACOS(Jacoby_seeing!$D$13/E115))</f>
        <v>0.31357521828043766</v>
      </c>
      <c r="M115" s="144">
        <f>PI()/2-IF(E115&lt;Jacoby_seeing!$D$12,0,ACOS(Jacoby_seeing!$D$12/E115))</f>
        <v>1.2114470096066332</v>
      </c>
      <c r="N115" s="144">
        <f t="shared" si="11"/>
        <v>0.28956365270269835</v>
      </c>
    </row>
    <row r="116" spans="5:14">
      <c r="E116" s="144">
        <f t="shared" si="12"/>
        <v>0.32680000000000037</v>
      </c>
      <c r="F116" s="144">
        <v>9.7549381113403565E-3</v>
      </c>
      <c r="G116" s="144">
        <v>6.0000000000000001E-3</v>
      </c>
      <c r="H116" s="144">
        <f t="shared" si="13"/>
        <v>4.3299999999999996E-3</v>
      </c>
      <c r="I116" s="144">
        <f t="shared" si="14"/>
        <v>5.0000000000000001E-3</v>
      </c>
      <c r="J116" s="144">
        <f t="shared" si="10"/>
        <v>1.3225268146849824E-2</v>
      </c>
      <c r="K116" s="144">
        <f>J116/Jacoby_seeing!$B$15</f>
        <v>0.23202224819034778</v>
      </c>
      <c r="L116" s="144">
        <f>IF(E116&lt;Jacoby_seeing!$D$13,0,ACOS(Jacoby_seeing!$D$13/E116))</f>
        <v>0.35189695784129937</v>
      </c>
      <c r="M116" s="144">
        <f>PI()/2-IF(E116&lt;Jacoby_seeing!$D$12,0,ACOS(Jacoby_seeing!$D$12/E116))</f>
        <v>1.1779114059781017</v>
      </c>
      <c r="N116" s="144">
        <f t="shared" si="11"/>
        <v>0.2699415216511073</v>
      </c>
    </row>
    <row r="117" spans="5:14">
      <c r="E117" s="144">
        <f t="shared" si="12"/>
        <v>0.33110000000000039</v>
      </c>
      <c r="F117" s="144">
        <v>9.9611400590922192E-3</v>
      </c>
      <c r="G117" s="144">
        <v>6.0000000000000001E-3</v>
      </c>
      <c r="H117" s="144">
        <f t="shared" si="13"/>
        <v>4.3299999999999996E-3</v>
      </c>
      <c r="I117" s="144">
        <f t="shared" si="14"/>
        <v>5.0000000000000001E-3</v>
      </c>
      <c r="J117" s="144">
        <f t="shared" si="10"/>
        <v>1.3378086981211169E-2</v>
      </c>
      <c r="K117" s="144">
        <f>J117/Jacoby_seeing!$B$15</f>
        <v>0.23470328037212576</v>
      </c>
      <c r="L117" s="144">
        <f>IF(E117&lt;Jacoby_seeing!$D$13,0,ACOS(Jacoby_seeing!$D$13/E117))</f>
        <v>0.38571576207737102</v>
      </c>
      <c r="M117" s="144">
        <f>PI()/2-IF(E117&lt;Jacoby_seeing!$D$12,0,ACOS(Jacoby_seeing!$D$12/E117))</f>
        <v>1.1476729214888031</v>
      </c>
      <c r="N117" s="144">
        <f t="shared" si="11"/>
        <v>0.25228401548112545</v>
      </c>
    </row>
    <row r="118" spans="5:14">
      <c r="E118" s="144">
        <f t="shared" si="12"/>
        <v>0.33540000000000042</v>
      </c>
      <c r="F118" s="144">
        <v>1.0172030624906259E-2</v>
      </c>
      <c r="G118" s="144">
        <v>6.0000000000000001E-3</v>
      </c>
      <c r="H118" s="144">
        <f t="shared" si="13"/>
        <v>4.3299999999999996E-3</v>
      </c>
      <c r="I118" s="144">
        <f t="shared" si="14"/>
        <v>5.0000000000000001E-3</v>
      </c>
      <c r="J118" s="144">
        <f t="shared" si="10"/>
        <v>1.3535845264852535E-2</v>
      </c>
      <c r="K118" s="144">
        <f>J118/Jacoby_seeing!$B$15</f>
        <v>0.23747096955881639</v>
      </c>
      <c r="L118" s="144">
        <f>IF(E118&lt;Jacoby_seeing!$D$13,0,ACOS(Jacoby_seeing!$D$13/E118))</f>
        <v>0.41615307884907682</v>
      </c>
      <c r="M118" s="144">
        <f>PI()/2-IF(E118&lt;Jacoby_seeing!$D$12,0,ACOS(Jacoby_seeing!$D$12/E118))</f>
        <v>1.1200471971876986</v>
      </c>
      <c r="N118" s="144">
        <f t="shared" si="11"/>
        <v>0.23608608729077404</v>
      </c>
    </row>
    <row r="119" spans="5:14">
      <c r="E119" s="144">
        <f t="shared" si="12"/>
        <v>0.33970000000000045</v>
      </c>
      <c r="F119" s="144">
        <v>1.0380909354401604E-2</v>
      </c>
      <c r="G119" s="144">
        <v>6.0000000000000001E-3</v>
      </c>
      <c r="H119" s="144">
        <f t="shared" si="13"/>
        <v>4.3299999999999996E-3</v>
      </c>
      <c r="I119" s="144">
        <f t="shared" si="14"/>
        <v>5.0000000000000001E-3</v>
      </c>
      <c r="J119" s="144">
        <f t="shared" si="10"/>
        <v>1.369350864549706E-2</v>
      </c>
      <c r="K119" s="144">
        <f>J119/Jacoby_seeing!$B$15</f>
        <v>0.24023699378065017</v>
      </c>
      <c r="L119" s="144">
        <f>IF(E119&lt;Jacoby_seeing!$D$13,0,ACOS(Jacoby_seeing!$D$13/E119))</f>
        <v>0.44392486447988855</v>
      </c>
      <c r="M119" s="144">
        <f>PI()/2-IF(E119&lt;Jacoby_seeing!$D$12,0,ACOS(Jacoby_seeing!$D$12/E119))</f>
        <v>1.0945609708019526</v>
      </c>
      <c r="N119" s="144">
        <f t="shared" si="11"/>
        <v>0.22102108531760545</v>
      </c>
    </row>
    <row r="120" spans="5:14">
      <c r="E120" s="144">
        <f t="shared" si="12"/>
        <v>0.34400000000000047</v>
      </c>
      <c r="F120" s="144">
        <v>1.0582336450190084E-2</v>
      </c>
      <c r="G120" s="144">
        <v>6.0000000000000001E-3</v>
      </c>
      <c r="H120" s="144">
        <f t="shared" si="13"/>
        <v>4.3299999999999996E-3</v>
      </c>
      <c r="I120" s="144">
        <f t="shared" si="14"/>
        <v>5.0000000000000001E-3</v>
      </c>
      <c r="J120" s="144">
        <f t="shared" si="10"/>
        <v>1.3846831577838364E-2</v>
      </c>
      <c r="K120" s="144">
        <f>J120/Jacoby_seeing!$B$15</f>
        <v>0.24292686978663797</v>
      </c>
      <c r="L120" s="144">
        <f>IF(E120&lt;Jacoby_seeing!$D$13,0,ACOS(Jacoby_seeing!$D$13/E120))</f>
        <v>0.469522295244861</v>
      </c>
      <c r="M120" s="144">
        <f>PI()/2-IF(E120&lt;Jacoby_seeing!$D$12,0,ACOS(Jacoby_seeing!$D$12/E120))</f>
        <v>1.0708702059647666</v>
      </c>
      <c r="N120" s="144">
        <f t="shared" si="11"/>
        <v>0.20686368128764779</v>
      </c>
    </row>
    <row r="121" spans="5:14">
      <c r="E121" s="144">
        <f t="shared" si="12"/>
        <v>0.3483000000000005</v>
      </c>
      <c r="F121" s="144">
        <v>1.0777547248924131E-2</v>
      </c>
      <c r="G121" s="144">
        <v>6.0000000000000001E-3</v>
      </c>
      <c r="H121" s="144">
        <f t="shared" si="13"/>
        <v>4.3299999999999996E-3</v>
      </c>
      <c r="I121" s="144">
        <f t="shared" si="14"/>
        <v>5.0000000000000001E-3</v>
      </c>
      <c r="J121" s="144">
        <f t="shared" si="10"/>
        <v>1.3996586180308116E-2</v>
      </c>
      <c r="K121" s="144">
        <f>J121/Jacoby_seeing!$B$15</f>
        <v>0.24555414351417745</v>
      </c>
      <c r="L121" s="144">
        <f>IF(E121&lt;Jacoby_seeing!$D$13,0,ACOS(Jacoby_seeing!$D$13/E121))</f>
        <v>0.49330030598483132</v>
      </c>
      <c r="M121" s="144">
        <f>PI()/2-IF(E121&lt;Jacoby_seeing!$D$12,0,ACOS(Jacoby_seeing!$D$12/E121))</f>
        <v>1.0487151170541977</v>
      </c>
      <c r="N121" s="144">
        <f t="shared" si="11"/>
        <v>0.1934509786954606</v>
      </c>
    </row>
    <row r="122" spans="5:14">
      <c r="E122" s="144">
        <f t="shared" si="12"/>
        <v>0.35260000000000052</v>
      </c>
      <c r="F122" s="144">
        <v>1.0969978109909349E-2</v>
      </c>
      <c r="G122" s="144">
        <v>6.0000000000000001E-3</v>
      </c>
      <c r="H122" s="144">
        <f t="shared" si="13"/>
        <v>4.3299999999999996E-3</v>
      </c>
      <c r="I122" s="144">
        <f t="shared" si="14"/>
        <v>5.0000000000000001E-3</v>
      </c>
      <c r="J122" s="144">
        <f t="shared" si="10"/>
        <v>1.414529320063357E-2</v>
      </c>
      <c r="K122" s="144">
        <f>J122/Jacoby_seeing!$B$15</f>
        <v>0.2481630386076065</v>
      </c>
      <c r="L122" s="144">
        <f>IF(E122&lt;Jacoby_seeing!$D$13,0,ACOS(Jacoby_seeing!$D$13/E122))</f>
        <v>0.51552567230304036</v>
      </c>
      <c r="M122" s="144">
        <f>PI()/2-IF(E122&lt;Jacoby_seeing!$D$12,0,ACOS(Jacoby_seeing!$D$12/E122))</f>
        <v>1.027893578323821</v>
      </c>
      <c r="N122" s="144">
        <f t="shared" si="11"/>
        <v>0.18066092366292752</v>
      </c>
    </row>
    <row r="123" spans="5:14">
      <c r="E123" s="144">
        <f t="shared" si="12"/>
        <v>0.35690000000000055</v>
      </c>
      <c r="F123" s="144">
        <v>1.1163066752589703E-2</v>
      </c>
      <c r="G123" s="144">
        <v>6.0000000000000001E-3</v>
      </c>
      <c r="H123" s="144">
        <f t="shared" si="13"/>
        <v>4.3299999999999996E-3</v>
      </c>
      <c r="I123" s="144">
        <f t="shared" si="14"/>
        <v>5.0000000000000001E-3</v>
      </c>
      <c r="J123" s="144">
        <f t="shared" si="10"/>
        <v>1.4295557328162258E-2</v>
      </c>
      <c r="K123" s="144">
        <f>J123/Jacoby_seeing!$B$15</f>
        <v>0.25079925137126768</v>
      </c>
      <c r="L123" s="144">
        <f>IF(E123&lt;Jacoby_seeing!$D$13,0,ACOS(Jacoby_seeing!$D$13/E123))</f>
        <v>0.53640519026228883</v>
      </c>
      <c r="M123" s="144">
        <f>PI()/2-IF(E123&lt;Jacoby_seeing!$D$12,0,ACOS(Jacoby_seeing!$D$12/E123))</f>
        <v>1.0082444785436575</v>
      </c>
      <c r="N123" s="144">
        <f t="shared" si="11"/>
        <v>0.16839944198762075</v>
      </c>
    </row>
    <row r="124" spans="5:14">
      <c r="E124" s="144">
        <f t="shared" si="12"/>
        <v>0.36120000000000058</v>
      </c>
      <c r="F124" s="144">
        <v>1.1360243483318258E-2</v>
      </c>
      <c r="G124" s="144">
        <v>6.0000000000000001E-3</v>
      </c>
      <c r="H124" s="144">
        <f t="shared" si="13"/>
        <v>4.3299999999999996E-3</v>
      </c>
      <c r="I124" s="144">
        <f t="shared" si="14"/>
        <v>5.0000000000000001E-3</v>
      </c>
      <c r="J124" s="144">
        <f t="shared" si="10"/>
        <v>1.4450053010292901E-2</v>
      </c>
      <c r="K124" s="144">
        <f>J124/Jacoby_seeing!$B$15</f>
        <v>0.25350970193496319</v>
      </c>
      <c r="L124" s="144">
        <f>IF(E124&lt;Jacoby_seeing!$D$13,0,ACOS(Jacoby_seeing!$D$13/E124))</f>
        <v>0.55610319446214085</v>
      </c>
      <c r="M124" s="144">
        <f>PI()/2-IF(E124&lt;Jacoby_seeing!$D$12,0,ACOS(Jacoby_seeing!$D$12/E124))</f>
        <v>0.98963681350559762</v>
      </c>
      <c r="N124" s="144">
        <f t="shared" si="11"/>
        <v>0.15659234319849683</v>
      </c>
    </row>
    <row r="125" spans="5:14">
      <c r="E125" s="144">
        <f t="shared" si="12"/>
        <v>0.3655000000000006</v>
      </c>
      <c r="F125" s="144">
        <v>1.1564375699422346E-2</v>
      </c>
      <c r="G125" s="144">
        <v>6.0000000000000001E-3</v>
      </c>
      <c r="H125" s="144">
        <f t="shared" si="13"/>
        <v>4.3299999999999996E-3</v>
      </c>
      <c r="I125" s="144">
        <f t="shared" si="14"/>
        <v>5.0000000000000001E-3</v>
      </c>
      <c r="J125" s="144">
        <f t="shared" si="10"/>
        <v>1.4611080908590921E-2</v>
      </c>
      <c r="K125" s="144">
        <f>J125/Jacoby_seeing!$B$15</f>
        <v>0.25633475278229684</v>
      </c>
      <c r="L125" s="144">
        <f>IF(E125&lt;Jacoby_seeing!$D$13,0,ACOS(Jacoby_seeing!$D$13/E125))</f>
        <v>0.57475297294666483</v>
      </c>
      <c r="M125" s="144">
        <f>PI()/2-IF(E125&lt;Jacoby_seeing!$D$12,0,ACOS(Jacoby_seeing!$D$12/E125))</f>
        <v>0.97196226508134276</v>
      </c>
      <c r="N125" s="144">
        <f t="shared" si="11"/>
        <v>0.14517999627522502</v>
      </c>
    </row>
    <row r="126" spans="5:14">
      <c r="E126" s="144">
        <f t="shared" si="12"/>
        <v>0.36980000000000063</v>
      </c>
      <c r="F126" s="144">
        <v>1.1777382594056827E-2</v>
      </c>
      <c r="G126" s="144">
        <v>6.0000000000000001E-3</v>
      </c>
      <c r="H126" s="144">
        <f t="shared" si="13"/>
        <v>4.3299999999999996E-3</v>
      </c>
      <c r="I126" s="144">
        <f t="shared" si="14"/>
        <v>5.0000000000000001E-3</v>
      </c>
      <c r="J126" s="144">
        <f t="shared" si="10"/>
        <v>1.4780244949485538E-2</v>
      </c>
      <c r="K126" s="144">
        <f>J126/Jacoby_seeing!$B$15</f>
        <v>0.25930254297343047</v>
      </c>
      <c r="L126" s="144">
        <f>IF(E126&lt;Jacoby_seeing!$D$13,0,ACOS(Jacoby_seeing!$D$13/E126))</f>
        <v>0.59246449714625771</v>
      </c>
      <c r="M126" s="144">
        <f>PI()/2-IF(E126&lt;Jacoby_seeing!$D$12,0,ACOS(Jacoby_seeing!$D$12/E126))</f>
        <v>0.95512999141220045</v>
      </c>
      <c r="N126" s="144">
        <f t="shared" si="11"/>
        <v>0.13411369977954585</v>
      </c>
    </row>
    <row r="127" spans="5:14">
      <c r="E127" s="144">
        <f t="shared" si="12"/>
        <v>0.37410000000000065</v>
      </c>
      <c r="F127" s="144">
        <v>1.2001092257302171E-2</v>
      </c>
      <c r="G127" s="144">
        <v>6.0000000000000001E-3</v>
      </c>
      <c r="H127" s="144">
        <f t="shared" si="13"/>
        <v>4.3299999999999996E-3</v>
      </c>
      <c r="I127" s="144">
        <f t="shared" si="14"/>
        <v>5.0000000000000001E-3</v>
      </c>
      <c r="J127" s="144">
        <f t="shared" si="10"/>
        <v>1.4959114792268897E-2</v>
      </c>
      <c r="K127" s="144">
        <f>J127/Jacoby_seeing!$B$15</f>
        <v>0.26244061039068239</v>
      </c>
      <c r="L127" s="144">
        <f>IF(E127&lt;Jacoby_seeing!$D$13,0,ACOS(Jacoby_seeing!$D$13/E127))</f>
        <v>0.60932982723388773</v>
      </c>
      <c r="M127" s="144">
        <f>PI()/2-IF(E127&lt;Jacoby_seeing!$D$12,0,ACOS(Jacoby_seeing!$D$12/E127))</f>
        <v>0.93906287064734983</v>
      </c>
      <c r="N127" s="144">
        <f t="shared" si="11"/>
        <v>0.12335313154097639</v>
      </c>
    </row>
    <row r="128" spans="5:14">
      <c r="E128" s="144">
        <f t="shared" si="12"/>
        <v>0.37840000000000068</v>
      </c>
      <c r="F128" s="144">
        <v>1.2237332779238851E-2</v>
      </c>
      <c r="G128" s="144">
        <v>6.0000000000000001E-3</v>
      </c>
      <c r="H128" s="144">
        <f t="shared" si="13"/>
        <v>4.3299999999999996E-3</v>
      </c>
      <c r="I128" s="144">
        <f t="shared" si="14"/>
        <v>5.0000000000000001E-3</v>
      </c>
      <c r="J128" s="144">
        <f t="shared" si="10"/>
        <v>1.5149297460603039E-2</v>
      </c>
      <c r="K128" s="144">
        <f>J128/Jacoby_seeing!$B$15</f>
        <v>0.26577714843163225</v>
      </c>
      <c r="L128" s="144">
        <f>IF(E128&lt;Jacoby_seeing!$D$13,0,ACOS(Jacoby_seeing!$D$13/E128))</f>
        <v>0.62542699621178266</v>
      </c>
      <c r="M128" s="144">
        <f>PI()/2-IF(E128&lt;Jacoby_seeing!$D$12,0,ACOS(Jacoby_seeing!$D$12/E128))</f>
        <v>0.92369472991392487</v>
      </c>
      <c r="N128" s="144">
        <f t="shared" si="11"/>
        <v>0.11286451043289082</v>
      </c>
    </row>
    <row r="129" spans="5:14">
      <c r="E129" s="144">
        <f t="shared" si="12"/>
        <v>0.38270000000000071</v>
      </c>
      <c r="F129" s="144">
        <v>1.2488374656381931E-2</v>
      </c>
      <c r="G129" s="144">
        <v>6.0000000000000001E-3</v>
      </c>
      <c r="H129" s="144">
        <f t="shared" si="13"/>
        <v>4.3299999999999996E-3</v>
      </c>
      <c r="I129" s="144">
        <f t="shared" si="14"/>
        <v>5.0000000000000001E-3</v>
      </c>
      <c r="J129" s="144">
        <f t="shared" si="10"/>
        <v>1.5352797841376097E-2</v>
      </c>
      <c r="K129" s="144">
        <f>J129/Jacoby_seeing!$B$15</f>
        <v>0.26934733055045784</v>
      </c>
      <c r="L129" s="144">
        <f>IF(E129&lt;Jacoby_seeing!$D$13,0,ACOS(Jacoby_seeing!$D$13/E129))</f>
        <v>0.64082286684303202</v>
      </c>
      <c r="M129" s="144">
        <f>PI()/2-IF(E129&lt;Jacoby_seeing!$D$12,0,ACOS(Jacoby_seeing!$D$12/E129))</f>
        <v>0.90896825996628672</v>
      </c>
      <c r="N129" s="144">
        <f t="shared" si="11"/>
        <v>0.10261924194826975</v>
      </c>
    </row>
    <row r="130" spans="5:14">
      <c r="E130" s="144">
        <f t="shared" si="12"/>
        <v>0.38700000000000073</v>
      </c>
      <c r="F130" s="144">
        <v>1.2760414566838256E-2</v>
      </c>
      <c r="G130" s="144">
        <v>6.0000000000000001E-3</v>
      </c>
      <c r="H130" s="144">
        <f t="shared" si="13"/>
        <v>4.3299999999999996E-3</v>
      </c>
      <c r="I130" s="144">
        <f t="shared" si="14"/>
        <v>5.0000000000000001E-3</v>
      </c>
      <c r="J130" s="144">
        <f t="shared" si="10"/>
        <v>1.5574886192764877E-2</v>
      </c>
      <c r="K130" s="144">
        <f>J130/Jacoby_seeing!$B$15</f>
        <v>0.27324361741692765</v>
      </c>
      <c r="L130" s="144">
        <f>IF(E130&lt;Jacoby_seeing!$D$13,0,ACOS(Jacoby_seeing!$D$13/E130))</f>
        <v>0.65557527612581479</v>
      </c>
      <c r="M130" s="144">
        <f>PI()/2-IF(E130&lt;Jacoby_seeing!$D$12,0,ACOS(Jacoby_seeing!$D$12/E130))</f>
        <v>0.89483341816305917</v>
      </c>
      <c r="N130" s="144">
        <f t="shared" si="11"/>
        <v>9.2592900968413744E-2</v>
      </c>
    </row>
    <row r="131" spans="5:14">
      <c r="E131" s="144">
        <f t="shared" si="12"/>
        <v>0.39130000000000076</v>
      </c>
      <c r="F131" s="144">
        <v>1.3061703257164365E-2</v>
      </c>
      <c r="G131" s="144">
        <v>6.0000000000000001E-3</v>
      </c>
      <c r="H131" s="144">
        <f t="shared" si="13"/>
        <v>4.3299999999999996E-3</v>
      </c>
      <c r="I131" s="144">
        <f t="shared" si="14"/>
        <v>5.0000000000000001E-3</v>
      </c>
      <c r="J131" s="144">
        <f t="shared" si="10"/>
        <v>1.5822673351182415E-2</v>
      </c>
      <c r="K131" s="144">
        <f>J131/Jacoby_seeing!$B$15</f>
        <v>0.27759076054705989</v>
      </c>
      <c r="L131" s="144">
        <f>IF(E131&lt;Jacoby_seeing!$D$13,0,ACOS(Jacoby_seeing!$D$13/E131))</f>
        <v>0.66973467386430385</v>
      </c>
      <c r="M131" s="144">
        <f>PI()/2-IF(E131&lt;Jacoby_seeing!$D$12,0,ACOS(Jacoby_seeing!$D$12/E131))</f>
        <v>0.88124618634845786</v>
      </c>
      <c r="N131" s="144">
        <f t="shared" si="11"/>
        <v>8.2764454835049628E-2</v>
      </c>
    </row>
    <row r="132" spans="5:14">
      <c r="E132" s="144">
        <f t="shared" si="12"/>
        <v>0.39560000000000078</v>
      </c>
      <c r="F132" s="144">
        <v>1.340050944397796E-2</v>
      </c>
      <c r="G132" s="144">
        <v>6.0000000000000001E-3</v>
      </c>
      <c r="H132" s="144">
        <f t="shared" si="13"/>
        <v>4.3299999999999996E-3</v>
      </c>
      <c r="I132" s="144">
        <f t="shared" si="14"/>
        <v>5.0000000000000001E-3</v>
      </c>
      <c r="J132" s="144">
        <f t="shared" si="10"/>
        <v>1.6103495066542E-2</v>
      </c>
      <c r="K132" s="144">
        <f>J132/Jacoby_seeing!$B$15</f>
        <v>0.28251745730775435</v>
      </c>
      <c r="L132" s="144">
        <f>IF(E132&lt;Jacoby_seeing!$D$13,0,ACOS(Jacoby_seeing!$D$13/E132))</f>
        <v>0.68334539452187282</v>
      </c>
      <c r="M132" s="144">
        <f>PI()/2-IF(E132&lt;Jacoby_seeing!$D$12,0,ACOS(Jacoby_seeing!$D$12/E132))</f>
        <v>0.86816759135330901</v>
      </c>
      <c r="N132" s="144">
        <f t="shared" si="11"/>
        <v>7.3115661066516305E-2</v>
      </c>
    </row>
    <row r="133" spans="5:14">
      <c r="E133" s="144">
        <f t="shared" si="12"/>
        <v>0.39990000000000081</v>
      </c>
      <c r="F133" s="144">
        <v>1.3784797852085638E-2</v>
      </c>
      <c r="G133" s="144">
        <v>6.0000000000000001E-3</v>
      </c>
      <c r="H133" s="144">
        <f t="shared" si="13"/>
        <v>4.3299999999999996E-3</v>
      </c>
      <c r="I133" s="144">
        <f t="shared" si="14"/>
        <v>5.0000000000000001E-3</v>
      </c>
      <c r="J133" s="144">
        <f t="shared" si="10"/>
        <v>1.6424662913523212E-2</v>
      </c>
      <c r="K133" s="144">
        <f>J133/Jacoby_seeing!$B$15</f>
        <v>0.28815198093900368</v>
      </c>
      <c r="L133" s="144">
        <f>IF(E133&lt;Jacoby_seeing!$D$13,0,ACOS(Jacoby_seeing!$D$13/E133))</f>
        <v>0.6964466583456228</v>
      </c>
      <c r="M133" s="144">
        <f>PI()/2-IF(E133&lt;Jacoby_seeing!$D$12,0,ACOS(Jacoby_seeing!$D$12/E133))</f>
        <v>0.85556292297775138</v>
      </c>
      <c r="N133" s="144">
        <f t="shared" si="11"/>
        <v>6.3630594226388351E-2</v>
      </c>
    </row>
    <row r="134" spans="5:14">
      <c r="E134" s="144">
        <f t="shared" si="12"/>
        <v>0.40420000000000084</v>
      </c>
      <c r="F134" s="144">
        <v>1.421424764348952E-2</v>
      </c>
      <c r="G134" s="144">
        <v>6.0000000000000001E-3</v>
      </c>
      <c r="H134" s="144">
        <f t="shared" si="13"/>
        <v>4.3299999999999996E-3</v>
      </c>
      <c r="I134" s="144">
        <f t="shared" si="14"/>
        <v>5.0000000000000001E-3</v>
      </c>
      <c r="J134" s="144">
        <f t="shared" si="10"/>
        <v>1.6786713081197502E-2</v>
      </c>
      <c r="K134" s="144">
        <f>J134/Jacoby_seeing!$B$15</f>
        <v>0.29450373826662285</v>
      </c>
      <c r="L134" s="144">
        <f>IF(E134&lt;Jacoby_seeing!$D$13,0,ACOS(Jacoby_seeing!$D$13/E134))</f>
        <v>0.70907336933810705</v>
      </c>
      <c r="M134" s="144">
        <f>PI()/2-IF(E134&lt;Jacoby_seeing!$D$12,0,ACOS(Jacoby_seeing!$D$12/E134))</f>
        <v>0.84340110263624912</v>
      </c>
      <c r="N134" s="144">
        <f t="shared" si="11"/>
        <v>5.429526979910914E-2</v>
      </c>
    </row>
    <row r="135" spans="5:14">
      <c r="E135" s="144">
        <f t="shared" si="12"/>
        <v>0.40850000000000086</v>
      </c>
      <c r="F135" s="144">
        <v>1.4679462760658919E-2</v>
      </c>
      <c r="G135" s="144">
        <v>6.0000000000000001E-3</v>
      </c>
      <c r="H135" s="144">
        <f t="shared" si="13"/>
        <v>4.3299999999999996E-3</v>
      </c>
      <c r="I135" s="144">
        <f t="shared" si="14"/>
        <v>5.0000000000000001E-3</v>
      </c>
      <c r="J135" s="144">
        <f t="shared" si="10"/>
        <v>1.7182419123673243E-2</v>
      </c>
      <c r="K135" s="144">
        <f>J135/Jacoby_seeing!$B$15</f>
        <v>0.30144594953812703</v>
      </c>
      <c r="L135" s="144">
        <f>IF(E135&lt;Jacoby_seeing!$D$13,0,ACOS(Jacoby_seeing!$D$13/E135))</f>
        <v>0.72125675853383087</v>
      </c>
      <c r="M135" s="144">
        <f>PI()/2-IF(E135&lt;Jacoby_seeing!$D$12,0,ACOS(Jacoby_seeing!$D$12/E135))</f>
        <v>0.83165416845752516</v>
      </c>
      <c r="N135" s="144">
        <f t="shared" si="11"/>
        <v>4.5097341953829209E-2</v>
      </c>
    </row>
    <row r="136" spans="5:14">
      <c r="E136" s="144">
        <f t="shared" si="12"/>
        <v>0.41280000000000089</v>
      </c>
      <c r="F136" s="144">
        <v>1.5170584812517447E-2</v>
      </c>
      <c r="G136" s="144">
        <v>6.0000000000000001E-3</v>
      </c>
      <c r="H136" s="144">
        <f t="shared" si="13"/>
        <v>4.3299999999999996E-3</v>
      </c>
      <c r="I136" s="144">
        <f t="shared" si="14"/>
        <v>5.0000000000000001E-3</v>
      </c>
      <c r="J136" s="144">
        <f>SQRT(SUMSQ(F136:I136))</f>
        <v>1.7603850247993619E-2</v>
      </c>
      <c r="K136" s="144">
        <f>J136/Jacoby_seeing!$B$15</f>
        <v>0.30883947803497575</v>
      </c>
      <c r="L136" s="144">
        <f>IF(E136&lt;Jacoby_seeing!$D$13,0,ACOS(Jacoby_seeing!$D$13/E136))</f>
        <v>0.73302490790956432</v>
      </c>
      <c r="M136" s="144">
        <f>PI()/2-IF(E136&lt;Jacoby_seeing!$D$12,0,ACOS(Jacoby_seeing!$D$12/E136))</f>
        <v>0.82029685147372999</v>
      </c>
      <c r="N136" s="144">
        <f>E136*(M136-L136)</f>
        <v>3.6025858303287667E-2</v>
      </c>
    </row>
    <row r="137" spans="5:14">
      <c r="E137" s="144">
        <f t="shared" si="12"/>
        <v>0.41710000000000091</v>
      </c>
      <c r="F137" s="144">
        <v>1.5677755407988703E-2</v>
      </c>
      <c r="G137" s="144">
        <v>6.0000000000000001E-3</v>
      </c>
      <c r="H137" s="144">
        <f t="shared" si="13"/>
        <v>4.3299999999999996E-3</v>
      </c>
      <c r="I137" s="144">
        <f t="shared" si="14"/>
        <v>5.0000000000000001E-3</v>
      </c>
      <c r="J137" s="144">
        <f>SQRT(SUMSQ(F137:I137))</f>
        <v>1.8042752412886429E-2</v>
      </c>
      <c r="K137" s="144">
        <f>J137/Jacoby_seeing!$B$15</f>
        <v>0.31653951601555136</v>
      </c>
      <c r="L137" s="144">
        <f>IF(E137&lt;Jacoby_seeing!$D$13,0,ACOS(Jacoby_seeing!$D$13/E137))</f>
        <v>0.74440318107521208</v>
      </c>
      <c r="M137" s="144">
        <f>PI()/2-IF(E137&lt;Jacoby_seeing!$D$12,0,ACOS(Jacoby_seeing!$D$12/E137))</f>
        <v>0.80930622383428563</v>
      </c>
      <c r="N137" s="144">
        <f>E137*(M137-L137)</f>
        <v>2.7071059134809637E-2</v>
      </c>
    </row>
    <row r="138" spans="5:14">
      <c r="E138" s="144">
        <f t="shared" si="12"/>
        <v>0.42140000000000094</v>
      </c>
      <c r="F138" s="144">
        <v>1.6191116155996305E-2</v>
      </c>
      <c r="G138" s="144">
        <v>6.0000000000000001E-3</v>
      </c>
      <c r="H138" s="144">
        <f t="shared" si="13"/>
        <v>4.3299999999999996E-3</v>
      </c>
      <c r="I138" s="144">
        <f t="shared" si="14"/>
        <v>5.0000000000000001E-3</v>
      </c>
      <c r="J138" s="144">
        <f>SQRT(SUMSQ(F138:I138))</f>
        <v>1.8490569011714177E-2</v>
      </c>
      <c r="K138" s="144">
        <f>J138/Jacoby_seeing!$B$15</f>
        <v>0.32439594757393292</v>
      </c>
      <c r="L138" s="144">
        <f>IF(E138&lt;Jacoby_seeing!$D$13,0,ACOS(Jacoby_seeing!$D$13/E138))</f>
        <v>0.75541458036208509</v>
      </c>
      <c r="M138" s="144">
        <f>PI()/2-IF(E138&lt;Jacoby_seeing!$D$12,0,ACOS(Jacoby_seeing!$D$12/E138))</f>
        <v>0.79866140453811163</v>
      </c>
      <c r="N138" s="144">
        <f>E138*(M138-L138)</f>
        <v>1.8224211707777625E-2</v>
      </c>
    </row>
    <row r="139" spans="5:14">
      <c r="E139" s="144">
        <f t="shared" si="12"/>
        <v>0.42570000000000097</v>
      </c>
      <c r="F139" s="144">
        <v>1.6700808665463845E-2</v>
      </c>
      <c r="G139" s="144">
        <v>6.0000000000000001E-3</v>
      </c>
      <c r="H139" s="144">
        <f t="shared" si="13"/>
        <v>4.3299999999999996E-3</v>
      </c>
      <c r="I139" s="144">
        <f t="shared" si="14"/>
        <v>5.0000000000000001E-3</v>
      </c>
      <c r="J139" s="144">
        <f>SQRT(SUMSQ(F139:I139))</f>
        <v>1.8938476973622571E-2</v>
      </c>
      <c r="K139" s="144">
        <f>J139/Jacoby_seeing!$B$15</f>
        <v>0.33225398199337841</v>
      </c>
      <c r="L139" s="144">
        <f>IF(E139&lt;Jacoby_seeing!$D$13,0,ACOS(Jacoby_seeing!$D$13/E139))</f>
        <v>0.76608004521086503</v>
      </c>
      <c r="M139" s="144">
        <f>PI()/2-IF(E139&lt;Jacoby_seeing!$D$12,0,ACOS(Jacoby_seeing!$D$12/E139))</f>
        <v>0.78834331152085679</v>
      </c>
      <c r="N139" s="144">
        <f>E139*(M139-L139)</f>
        <v>9.4774724681635138E-3</v>
      </c>
    </row>
    <row r="140" spans="5:14">
      <c r="E140" s="144">
        <f t="shared" si="12"/>
        <v>0.43000000000000099</v>
      </c>
      <c r="F140" s="144">
        <v>1.7196974545314939E-2</v>
      </c>
      <c r="G140" s="144">
        <v>6.0000000000000001E-3</v>
      </c>
      <c r="H140" s="144">
        <f t="shared" si="13"/>
        <v>4.3299999999999996E-3</v>
      </c>
      <c r="I140" s="144">
        <f t="shared" si="14"/>
        <v>5.0000000000000001E-3</v>
      </c>
      <c r="J140" s="144">
        <f>SQRT(SUMSQ(F140:I140))</f>
        <v>1.937743103489753E-2</v>
      </c>
      <c r="K140" s="144">
        <f>J140/Jacoby_seeing!$B$15</f>
        <v>0.33995493043679875</v>
      </c>
      <c r="L140" s="144">
        <f>IF(E140&lt;Jacoby_seeing!$D$13,0,ACOS(Jacoby_seeing!$D$13/E140))</f>
        <v>0.77641870331021401</v>
      </c>
      <c r="M140" s="144">
        <f>PI()/2-IF(E140&lt;Jacoby_seeing!$D$12,0,ACOS(Jacoby_seeing!$D$12/E140))</f>
        <v>0.77833445141643287</v>
      </c>
      <c r="N140" s="144">
        <f>E140*(M140-L140)</f>
        <v>8.2377168567411248E-4</v>
      </c>
    </row>
  </sheetData>
  <hyperlinks>
    <hyperlink ref="A10" r:id="rId1"/>
  </hyperlinks>
  <pageMargins left="0.7" right="0.7" top="0.75" bottom="0.75" header="0.3" footer="0.3"/>
  <pageSetup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election activeCell="A3" sqref="A3"/>
    </sheetView>
  </sheetViews>
  <sheetFormatPr defaultColWidth="8.88671875" defaultRowHeight="14.4"/>
  <sheetData>
    <row r="1" spans="1:21">
      <c r="A1" t="s">
        <v>376</v>
      </c>
    </row>
    <row r="2" spans="1:21">
      <c r="A2" s="493">
        <v>0.45</v>
      </c>
      <c r="B2" s="39" t="s">
        <v>53</v>
      </c>
      <c r="C2" s="39" t="s">
        <v>377</v>
      </c>
    </row>
    <row r="4" spans="1:21" s="144" customFormat="1">
      <c r="A4">
        <v>1.7000000000000001E-2</v>
      </c>
      <c r="B4" t="s">
        <v>45</v>
      </c>
      <c r="C4" t="s">
        <v>390</v>
      </c>
    </row>
    <row r="5" spans="1:21" s="144" customFormat="1">
      <c r="A5">
        <v>1.7500000000000002E-2</v>
      </c>
      <c r="B5" t="s">
        <v>45</v>
      </c>
      <c r="C5" t="s">
        <v>391</v>
      </c>
      <c r="J5" t="s">
        <v>384</v>
      </c>
      <c r="K5"/>
      <c r="L5"/>
      <c r="M5"/>
      <c r="N5"/>
      <c r="O5"/>
      <c r="P5"/>
      <c r="Q5"/>
      <c r="R5"/>
      <c r="S5"/>
      <c r="T5"/>
      <c r="U5"/>
    </row>
    <row r="6" spans="1:21" s="144" customFormat="1">
      <c r="A6">
        <v>6.6</v>
      </c>
      <c r="B6" t="s">
        <v>45</v>
      </c>
      <c r="C6" t="s">
        <v>392</v>
      </c>
      <c r="J6"/>
      <c r="K6"/>
      <c r="L6"/>
      <c r="M6"/>
      <c r="N6"/>
      <c r="O6"/>
      <c r="P6"/>
      <c r="Q6"/>
      <c r="R6"/>
      <c r="S6"/>
      <c r="T6"/>
      <c r="U6"/>
    </row>
    <row r="7" spans="1:21">
      <c r="A7" s="39">
        <f>DEGREES((A5-A4)/A6)</f>
        <v>4.3405893570516952E-3</v>
      </c>
      <c r="B7" s="39" t="s">
        <v>53</v>
      </c>
      <c r="C7" s="39" t="s">
        <v>393</v>
      </c>
      <c r="J7" t="s">
        <v>381</v>
      </c>
      <c r="K7" t="s">
        <v>382</v>
      </c>
      <c r="L7" t="s">
        <v>383</v>
      </c>
      <c r="M7" s="144"/>
      <c r="N7" s="144"/>
      <c r="O7" s="144"/>
      <c r="P7" s="144"/>
      <c r="Q7" s="144"/>
      <c r="R7" s="144"/>
    </row>
    <row r="8" spans="1:21">
      <c r="J8">
        <v>0</v>
      </c>
      <c r="K8">
        <v>1</v>
      </c>
      <c r="L8">
        <v>0</v>
      </c>
      <c r="M8" s="144"/>
      <c r="N8" s="144"/>
      <c r="O8" s="144"/>
      <c r="P8" s="144"/>
      <c r="Q8" s="144"/>
      <c r="R8" s="144"/>
    </row>
    <row r="9" spans="1:21">
      <c r="A9">
        <v>5.0000000000000001E-3</v>
      </c>
      <c r="B9" t="s">
        <v>45</v>
      </c>
      <c r="C9" t="s">
        <v>394</v>
      </c>
      <c r="J9">
        <v>2.5000000000000001E-2</v>
      </c>
      <c r="K9">
        <v>0.99995000000000001</v>
      </c>
      <c r="L9">
        <v>4.9999999999994493E-5</v>
      </c>
      <c r="M9" s="144"/>
      <c r="N9" s="144"/>
      <c r="O9" s="144"/>
      <c r="P9" s="144"/>
      <c r="Q9" s="144"/>
      <c r="R9" s="144"/>
    </row>
    <row r="10" spans="1:21">
      <c r="A10" s="39">
        <f>DEGREES(A9/A6)</f>
        <v>4.3405893570516919E-2</v>
      </c>
      <c r="B10" s="39" t="s">
        <v>53</v>
      </c>
      <c r="C10" s="39" t="s">
        <v>395</v>
      </c>
      <c r="J10">
        <v>7.4999999999999997E-2</v>
      </c>
      <c r="K10">
        <v>0.99975000000000003</v>
      </c>
      <c r="L10">
        <v>2.4999999999997247E-4</v>
      </c>
      <c r="M10" s="144"/>
      <c r="N10" s="144"/>
      <c r="O10" s="144"/>
      <c r="P10" s="144"/>
      <c r="Q10" s="144"/>
      <c r="R10" s="144"/>
    </row>
    <row r="11" spans="1:21">
      <c r="J11">
        <v>0.125</v>
      </c>
      <c r="K11">
        <v>0.99944999999999995</v>
      </c>
      <c r="L11">
        <v>5.5000000000005045E-4</v>
      </c>
      <c r="M11" s="144"/>
      <c r="N11" s="144"/>
      <c r="O11" s="144"/>
      <c r="P11" s="144"/>
      <c r="Q11" s="144"/>
      <c r="R11" s="144"/>
    </row>
    <row r="12" spans="1:21">
      <c r="A12">
        <v>0.1</v>
      </c>
      <c r="B12" t="s">
        <v>53</v>
      </c>
      <c r="C12" t="s">
        <v>396</v>
      </c>
      <c r="J12">
        <v>0.17499999999999999</v>
      </c>
      <c r="K12">
        <v>0.999</v>
      </c>
      <c r="L12">
        <v>1.0000000000000009E-3</v>
      </c>
      <c r="M12" s="144"/>
      <c r="N12" s="144"/>
      <c r="O12" s="144"/>
      <c r="P12" s="144"/>
      <c r="Q12" s="144"/>
      <c r="R12" s="144"/>
    </row>
    <row r="13" spans="1:21">
      <c r="A13">
        <v>1.45</v>
      </c>
      <c r="C13" t="s">
        <v>397</v>
      </c>
      <c r="J13">
        <v>0.22500000000000001</v>
      </c>
      <c r="K13">
        <v>0.99845000000000006</v>
      </c>
      <c r="L13">
        <v>1.5499999999999403E-3</v>
      </c>
      <c r="M13" s="144"/>
      <c r="N13" s="144"/>
      <c r="O13" s="144"/>
      <c r="P13" s="144"/>
      <c r="Q13" s="144"/>
      <c r="R13" s="144"/>
    </row>
    <row r="14" spans="1:21">
      <c r="A14" s="39">
        <f>A13*A12</f>
        <v>0.14499999999999999</v>
      </c>
      <c r="B14" s="39" t="s">
        <v>53</v>
      </c>
      <c r="C14" s="39" t="s">
        <v>398</v>
      </c>
      <c r="J14">
        <v>0.27500000000000002</v>
      </c>
      <c r="K14">
        <v>0.99774999999999991</v>
      </c>
      <c r="L14">
        <v>2.2500000000000853E-3</v>
      </c>
      <c r="M14" s="144"/>
      <c r="N14" s="144"/>
      <c r="O14" s="144"/>
      <c r="P14" s="144"/>
      <c r="Q14" s="144"/>
      <c r="R14" s="144"/>
    </row>
    <row r="15" spans="1:21">
      <c r="J15">
        <v>0.32500000000000001</v>
      </c>
      <c r="K15">
        <v>0.99690000000000001</v>
      </c>
      <c r="L15">
        <v>3.0999999999999917E-3</v>
      </c>
      <c r="M15" s="144"/>
      <c r="N15" s="144"/>
      <c r="O15" s="144"/>
      <c r="P15" s="144"/>
      <c r="Q15" s="144"/>
      <c r="R15" s="144"/>
    </row>
    <row r="16" spans="1:21">
      <c r="A16" s="39">
        <f>SQRT(SUMSQ(A2,A7,A10,A14))</f>
        <v>0.47479249395143308</v>
      </c>
      <c r="B16" s="39" t="s">
        <v>53</v>
      </c>
      <c r="C16" s="39" t="s">
        <v>380</v>
      </c>
      <c r="J16">
        <v>0.375</v>
      </c>
      <c r="K16">
        <v>0.99595</v>
      </c>
      <c r="L16">
        <v>4.049999999999998E-3</v>
      </c>
      <c r="M16" s="144"/>
      <c r="N16" s="144"/>
      <c r="O16" s="144"/>
      <c r="P16" s="144"/>
      <c r="Q16" s="144"/>
      <c r="R16" s="144"/>
    </row>
    <row r="17" spans="1:18">
      <c r="J17">
        <v>0.42499999999999999</v>
      </c>
      <c r="K17">
        <v>0.99490000000000001</v>
      </c>
      <c r="L17">
        <v>5.0999999999999934E-3</v>
      </c>
      <c r="M17" s="144"/>
      <c r="N17" s="144"/>
      <c r="O17" s="144"/>
      <c r="P17" s="144"/>
      <c r="Q17" s="144"/>
      <c r="R17" s="144"/>
    </row>
    <row r="18" spans="1:18">
      <c r="A18" s="184">
        <f>O32+O33*A16+O34*A16^2+O35*A16^3+O36*A16^4+O37*A16^5+O38*A16^6</f>
        <v>0.99426202034189248</v>
      </c>
      <c r="B18" s="184"/>
      <c r="C18" s="184" t="s">
        <v>388</v>
      </c>
      <c r="J18">
        <v>0.47499999999999998</v>
      </c>
      <c r="K18">
        <v>0.99364999999999992</v>
      </c>
      <c r="L18">
        <v>6.3500000000000778E-3</v>
      </c>
      <c r="M18" s="144"/>
      <c r="N18" s="144"/>
      <c r="O18" s="144"/>
      <c r="P18" s="144"/>
      <c r="Q18" s="144"/>
      <c r="R18" s="144"/>
    </row>
    <row r="19" spans="1:18">
      <c r="A19">
        <f>1-A18</f>
        <v>5.7379796581075171E-3</v>
      </c>
      <c r="C19" t="s">
        <v>399</v>
      </c>
      <c r="J19">
        <v>0.52500000000000002</v>
      </c>
      <c r="K19">
        <v>0.99225000000000008</v>
      </c>
      <c r="L19">
        <v>7.7499999999999236E-3</v>
      </c>
      <c r="M19" s="144"/>
      <c r="N19" s="144"/>
      <c r="O19" s="144"/>
      <c r="P19" s="144"/>
      <c r="Q19" s="144"/>
      <c r="R19" s="144"/>
    </row>
    <row r="20" spans="1:18">
      <c r="J20">
        <v>0.57499999999999996</v>
      </c>
      <c r="K20">
        <v>0.99070000000000003</v>
      </c>
      <c r="L20">
        <v>9.299999999999975E-3</v>
      </c>
      <c r="M20" s="144"/>
      <c r="N20" s="144"/>
      <c r="O20" s="144"/>
      <c r="P20" s="144"/>
      <c r="Q20" s="144"/>
      <c r="R20" s="144"/>
    </row>
    <row r="21" spans="1:18">
      <c r="J21">
        <v>0.625</v>
      </c>
      <c r="K21">
        <v>0.98895</v>
      </c>
      <c r="L21">
        <v>1.1050000000000004E-2</v>
      </c>
      <c r="M21" s="144"/>
      <c r="N21" s="144"/>
      <c r="O21" s="144"/>
      <c r="P21" s="144"/>
      <c r="Q21" s="144"/>
      <c r="R21" s="144"/>
    </row>
    <row r="22" spans="1:18">
      <c r="J22">
        <v>0.67500000000000004</v>
      </c>
      <c r="K22">
        <v>0.98704999999999998</v>
      </c>
      <c r="L22">
        <v>1.2950000000000017E-2</v>
      </c>
      <c r="M22" s="144"/>
      <c r="N22" s="144"/>
      <c r="O22" s="144"/>
      <c r="P22" s="144"/>
      <c r="Q22" s="144"/>
      <c r="R22" s="144"/>
    </row>
    <row r="23" spans="1:18">
      <c r="J23">
        <v>0.72499999999999998</v>
      </c>
      <c r="K23">
        <v>0.98499999999999999</v>
      </c>
      <c r="L23">
        <v>1.5000000000000013E-2</v>
      </c>
      <c r="M23" s="144"/>
      <c r="N23" s="144"/>
      <c r="O23" s="144"/>
      <c r="P23" s="144"/>
      <c r="Q23" s="144"/>
      <c r="R23" s="144"/>
    </row>
    <row r="24" spans="1:18">
      <c r="A24" t="s">
        <v>1</v>
      </c>
      <c r="J24">
        <v>0.77500000000000002</v>
      </c>
      <c r="K24">
        <v>0.98275000000000001</v>
      </c>
      <c r="L24">
        <v>1.7249999999999988E-2</v>
      </c>
      <c r="M24" s="144"/>
      <c r="N24" s="144"/>
      <c r="O24" s="144"/>
      <c r="P24" s="144"/>
      <c r="Q24" s="144"/>
      <c r="R24" s="144"/>
    </row>
    <row r="25" spans="1:18">
      <c r="A25" t="s">
        <v>642</v>
      </c>
      <c r="J25">
        <v>0.82499999999999996</v>
      </c>
      <c r="K25">
        <v>0.98029999999999995</v>
      </c>
      <c r="L25">
        <v>1.9700000000000051E-2</v>
      </c>
      <c r="M25" s="144"/>
      <c r="N25" s="144"/>
      <c r="O25" s="144"/>
      <c r="P25" s="144"/>
      <c r="Q25" s="144"/>
      <c r="R25" s="144"/>
    </row>
    <row r="26" spans="1:18">
      <c r="J26">
        <v>0.875</v>
      </c>
      <c r="K26">
        <v>0.97760000000000002</v>
      </c>
      <c r="L26">
        <v>2.2399999999999975E-2</v>
      </c>
      <c r="M26" s="144"/>
      <c r="N26" s="144"/>
      <c r="O26" s="144"/>
      <c r="P26" s="144"/>
      <c r="Q26" s="144"/>
      <c r="R26" s="144"/>
    </row>
    <row r="27" spans="1:18">
      <c r="J27">
        <v>0.92500000000000004</v>
      </c>
      <c r="K27">
        <v>0.97465000000000002</v>
      </c>
      <c r="L27">
        <v>2.5349999999999984E-2</v>
      </c>
      <c r="M27" s="144"/>
      <c r="N27" s="144"/>
      <c r="O27" s="144"/>
      <c r="P27" s="144"/>
      <c r="Q27" s="144"/>
      <c r="R27" s="144"/>
    </row>
    <row r="28" spans="1:18">
      <c r="J28">
        <v>0.97499999999999998</v>
      </c>
      <c r="K28">
        <v>0.97150000000000003</v>
      </c>
      <c r="L28">
        <v>2.849999999999997E-2</v>
      </c>
      <c r="M28" s="144"/>
      <c r="N28" s="144"/>
      <c r="O28" s="144"/>
      <c r="P28" s="144"/>
      <c r="Q28" s="144"/>
      <c r="R28" s="144"/>
    </row>
    <row r="30" spans="1:18">
      <c r="N30" t="s">
        <v>385</v>
      </c>
    </row>
    <row r="31" spans="1:18">
      <c r="N31" t="s">
        <v>386</v>
      </c>
      <c r="O31" t="s">
        <v>387</v>
      </c>
    </row>
    <row r="32" spans="1:18">
      <c r="N32">
        <v>0</v>
      </c>
      <c r="O32">
        <v>1</v>
      </c>
    </row>
    <row r="33" spans="14:15">
      <c r="N33">
        <v>1</v>
      </c>
      <c r="O33">
        <v>5.0000000000000001E-4</v>
      </c>
    </row>
    <row r="34" spans="14:15">
      <c r="N34">
        <v>2</v>
      </c>
      <c r="O34">
        <v>-3.1600000000000003E-2</v>
      </c>
    </row>
    <row r="35" spans="14:15">
      <c r="N35">
        <v>3</v>
      </c>
      <c r="O35">
        <v>3.0200000000000001E-2</v>
      </c>
    </row>
    <row r="36" spans="14:15">
      <c r="N36">
        <v>4</v>
      </c>
      <c r="O36">
        <v>-6.1499999999999999E-2</v>
      </c>
    </row>
    <row r="37" spans="14:15">
      <c r="N37">
        <v>5</v>
      </c>
      <c r="O37">
        <v>5.16E-2</v>
      </c>
    </row>
    <row r="38" spans="14:15">
      <c r="N38">
        <v>6</v>
      </c>
      <c r="O38">
        <v>-1.78E-2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36"/>
  <sheetViews>
    <sheetView topLeftCell="A2" workbookViewId="0">
      <pane ySplit="2" topLeftCell="A88" activePane="bottomLeft" state="frozenSplit"/>
      <selection pane="bottomLeft" activeCell="A110" sqref="A110"/>
    </sheetView>
  </sheetViews>
  <sheetFormatPr defaultColWidth="8.88671875" defaultRowHeight="14.4"/>
  <cols>
    <col min="1" max="1" width="41.109375" customWidth="1"/>
    <col min="2" max="2" width="7.88671875" style="56" customWidth="1"/>
    <col min="3" max="3" width="7.88671875" customWidth="1"/>
    <col min="4" max="10" width="7.44140625" bestFit="1" customWidth="1"/>
    <col min="11" max="12" width="6.6640625" customWidth="1"/>
    <col min="13" max="13" width="7.44140625" bestFit="1" customWidth="1"/>
    <col min="14" max="14" width="6.6640625" customWidth="1"/>
    <col min="15" max="15" width="7.44140625" bestFit="1" customWidth="1"/>
    <col min="16" max="16" width="6.6640625" customWidth="1"/>
    <col min="17" max="17" width="6.6640625" style="56" customWidth="1"/>
    <col min="18" max="18" width="111.88671875" bestFit="1" customWidth="1"/>
    <col min="19" max="19" width="6.44140625" style="44" customWidth="1"/>
    <col min="23" max="23" width="9.44140625" bestFit="1" customWidth="1"/>
  </cols>
  <sheetData>
    <row r="1" spans="1:25" ht="15" thickBot="1"/>
    <row r="2" spans="1:25" ht="14.25" customHeight="1" thickBot="1">
      <c r="A2" s="5"/>
      <c r="B2" s="76"/>
      <c r="C2" s="518" t="s">
        <v>2</v>
      </c>
      <c r="D2" s="518"/>
      <c r="E2" s="518"/>
      <c r="F2" s="518"/>
      <c r="G2" s="518"/>
      <c r="H2" s="518"/>
      <c r="I2" s="518"/>
      <c r="J2" s="518"/>
      <c r="K2" s="518"/>
      <c r="L2" s="518"/>
      <c r="M2" s="518"/>
      <c r="N2" s="518"/>
      <c r="O2" s="518"/>
      <c r="P2" s="518"/>
      <c r="Q2" s="115"/>
      <c r="T2" s="39" t="s">
        <v>3</v>
      </c>
    </row>
    <row r="3" spans="1:25" ht="15" thickBot="1">
      <c r="A3" s="512"/>
      <c r="B3" s="116">
        <v>350</v>
      </c>
      <c r="C3" s="116">
        <v>360</v>
      </c>
      <c r="D3" s="116">
        <v>375</v>
      </c>
      <c r="E3" s="116">
        <v>400</v>
      </c>
      <c r="F3" s="116">
        <v>450</v>
      </c>
      <c r="G3" s="116">
        <v>500</v>
      </c>
      <c r="H3" s="116">
        <v>550</v>
      </c>
      <c r="I3" s="116">
        <v>600</v>
      </c>
      <c r="J3" s="116">
        <v>650</v>
      </c>
      <c r="K3" s="116">
        <v>700</v>
      </c>
      <c r="L3" s="116">
        <v>750</v>
      </c>
      <c r="M3" s="116">
        <v>800</v>
      </c>
      <c r="N3" s="116">
        <v>850</v>
      </c>
      <c r="O3" s="116">
        <v>900</v>
      </c>
      <c r="P3" s="116">
        <v>980</v>
      </c>
      <c r="Q3" s="116">
        <v>995</v>
      </c>
      <c r="R3" s="151" t="s">
        <v>1</v>
      </c>
      <c r="S3" s="2"/>
      <c r="T3" s="15" t="s">
        <v>187</v>
      </c>
      <c r="U3" s="62"/>
    </row>
    <row r="4" spans="1:25" s="56" customFormat="1" ht="15" thickBot="1">
      <c r="A4" s="54"/>
      <c r="B4" s="54"/>
      <c r="C4" s="60"/>
      <c r="D4" s="60"/>
      <c r="E4" s="60"/>
      <c r="F4" s="60"/>
      <c r="G4" s="60"/>
      <c r="H4" s="60"/>
      <c r="I4" s="60"/>
      <c r="J4" s="60"/>
      <c r="K4" s="60"/>
      <c r="L4" s="60"/>
      <c r="M4" s="60"/>
      <c r="N4" s="60"/>
      <c r="O4" s="60"/>
      <c r="P4" s="60"/>
      <c r="Q4" s="60"/>
      <c r="R4" s="2"/>
      <c r="S4" s="2"/>
      <c r="T4" s="47">
        <v>3.7970000000000002</v>
      </c>
      <c r="U4" s="2" t="s">
        <v>64</v>
      </c>
    </row>
    <row r="5" spans="1:25" ht="15" thickBot="1">
      <c r="A5" s="124" t="s">
        <v>203</v>
      </c>
      <c r="B5" s="61">
        <f>B6*B7*B8*B9*B10</f>
        <v>0.43329820830857446</v>
      </c>
      <c r="C5" s="61">
        <f t="shared" ref="C5:Q5" si="0">C6*C7*C8*C9*C10</f>
        <v>0.58457337488562411</v>
      </c>
      <c r="D5" s="61">
        <f t="shared" si="0"/>
        <v>0.68377000280713263</v>
      </c>
      <c r="E5" s="61">
        <f t="shared" si="0"/>
        <v>0.73725038999712544</v>
      </c>
      <c r="F5" s="61">
        <f t="shared" si="0"/>
        <v>0.7475137644916291</v>
      </c>
      <c r="G5" s="61">
        <f t="shared" si="0"/>
        <v>0.76092486267719783</v>
      </c>
      <c r="H5" s="61">
        <f t="shared" si="0"/>
        <v>0.7641030649489059</v>
      </c>
      <c r="I5" s="61">
        <f t="shared" si="0"/>
        <v>0.76632005411478821</v>
      </c>
      <c r="J5" s="61">
        <f t="shared" si="0"/>
        <v>0.7602984957338238</v>
      </c>
      <c r="K5" s="61">
        <f t="shared" si="0"/>
        <v>0.76451810884866933</v>
      </c>
      <c r="L5" s="61">
        <f t="shared" si="0"/>
        <v>0.74698586833647596</v>
      </c>
      <c r="M5" s="61">
        <f t="shared" si="0"/>
        <v>0.72104033497510212</v>
      </c>
      <c r="N5" s="61">
        <f t="shared" si="0"/>
        <v>0.72122528810940023</v>
      </c>
      <c r="O5" s="61">
        <f t="shared" si="0"/>
        <v>0.7478693234172985</v>
      </c>
      <c r="P5" s="61">
        <f t="shared" si="0"/>
        <v>0.7893271367674668</v>
      </c>
      <c r="Q5" s="61">
        <f t="shared" si="0"/>
        <v>0.78899057007854589</v>
      </c>
      <c r="R5" s="135"/>
      <c r="S5" s="54"/>
      <c r="T5" s="47">
        <v>1.8</v>
      </c>
      <c r="U5" s="2" t="s">
        <v>63</v>
      </c>
    </row>
    <row r="6" spans="1:25">
      <c r="A6" s="8" t="s">
        <v>139</v>
      </c>
      <c r="B6" s="125">
        <v>0.88601074548399861</v>
      </c>
      <c r="C6" s="19">
        <v>0.8862787218864232</v>
      </c>
      <c r="D6" s="19">
        <v>0.88668068649006004</v>
      </c>
      <c r="E6" s="19">
        <v>0.88636812702557743</v>
      </c>
      <c r="F6" s="19">
        <v>0.88574300809661233</v>
      </c>
      <c r="G6" s="19">
        <v>0.88315288822655924</v>
      </c>
      <c r="H6" s="19">
        <v>0.8815452688270502</v>
      </c>
      <c r="I6" s="19">
        <v>0.87895514895699711</v>
      </c>
      <c r="J6" s="19">
        <v>0.87440002814585616</v>
      </c>
      <c r="K6" s="19">
        <v>0.86787990639362744</v>
      </c>
      <c r="L6" s="19">
        <v>0.85707240121764394</v>
      </c>
      <c r="M6" s="19">
        <v>0.83840489227730897</v>
      </c>
      <c r="N6" s="19">
        <v>0.83840489227730897</v>
      </c>
      <c r="O6" s="19">
        <v>0.86198490357036373</v>
      </c>
      <c r="P6" s="19">
        <v>0.90383942361553593</v>
      </c>
      <c r="Q6" s="19">
        <v>0.90855542587414684</v>
      </c>
      <c r="R6" s="135" t="s">
        <v>359</v>
      </c>
      <c r="S6" s="2"/>
      <c r="T6" s="47">
        <v>0.03</v>
      </c>
      <c r="U6" s="2" t="s">
        <v>181</v>
      </c>
      <c r="V6" s="2"/>
      <c r="Y6" s="2"/>
    </row>
    <row r="7" spans="1:25">
      <c r="A7" s="10" t="s">
        <v>140</v>
      </c>
      <c r="B7" s="16">
        <v>0.63292661578181808</v>
      </c>
      <c r="C7" s="36">
        <v>0.77216157936363627</v>
      </c>
      <c r="D7" s="36">
        <v>0.8949311100545454</v>
      </c>
      <c r="E7" s="36">
        <v>0.95680388485454548</v>
      </c>
      <c r="F7" s="36">
        <v>0.95988688158181812</v>
      </c>
      <c r="G7" s="36">
        <v>0.9674366777454545</v>
      </c>
      <c r="H7" s="36">
        <v>0.97755264716363621</v>
      </c>
      <c r="I7" s="36">
        <v>0.97010676163636367</v>
      </c>
      <c r="J7" s="36">
        <v>0.96742263332727252</v>
      </c>
      <c r="K7" s="36">
        <v>0.97818062414545448</v>
      </c>
      <c r="L7" s="36">
        <v>0.97892991729090895</v>
      </c>
      <c r="M7" s="36">
        <v>0.97968001267272742</v>
      </c>
      <c r="N7" s="36">
        <v>0.98042933523636366</v>
      </c>
      <c r="O7" s="36">
        <v>0.98118233119999987</v>
      </c>
      <c r="P7" s="36">
        <v>0.98238603539999991</v>
      </c>
      <c r="Q7" s="36">
        <v>0.98261190238181817</v>
      </c>
      <c r="R7" s="151" t="s">
        <v>188</v>
      </c>
      <c r="S7" s="2"/>
      <c r="T7" s="74">
        <v>14.55</v>
      </c>
      <c r="U7" s="4" t="s">
        <v>180</v>
      </c>
      <c r="V7" s="2"/>
      <c r="Y7" s="2"/>
    </row>
    <row r="8" spans="1:25" s="56" customFormat="1">
      <c r="A8" s="8" t="s">
        <v>143</v>
      </c>
      <c r="B8" s="16">
        <v>0.99088859686992103</v>
      </c>
      <c r="C8" s="149">
        <v>0.99138585644872224</v>
      </c>
      <c r="D8" s="149">
        <v>0.99205883714626364</v>
      </c>
      <c r="E8" s="149">
        <v>0.99301749829943531</v>
      </c>
      <c r="F8" s="149">
        <v>0.99447939190527901</v>
      </c>
      <c r="G8" s="149">
        <v>0.99552623785990202</v>
      </c>
      <c r="H8" s="149">
        <v>0.99630140982334636</v>
      </c>
      <c r="I8" s="149">
        <v>0.99689134742136232</v>
      </c>
      <c r="J8" s="149">
        <v>0.99735067037417258</v>
      </c>
      <c r="K8" s="149">
        <v>0.99771526164410707</v>
      </c>
      <c r="L8" s="149">
        <v>0.99800948078956475</v>
      </c>
      <c r="M8" s="149">
        <v>0.99825033444057243</v>
      </c>
      <c r="N8" s="149">
        <v>0.99844998683412067</v>
      </c>
      <c r="O8" s="149">
        <v>0.99861732455607666</v>
      </c>
      <c r="P8" s="149">
        <v>0.9988337422689384</v>
      </c>
      <c r="Q8" s="149">
        <v>0.99886862337813165</v>
      </c>
      <c r="R8" s="136" t="s">
        <v>639</v>
      </c>
      <c r="S8" s="2"/>
      <c r="T8" s="75">
        <v>107</v>
      </c>
      <c r="U8" s="4" t="s">
        <v>69</v>
      </c>
      <c r="V8" s="2"/>
      <c r="Y8" s="2"/>
    </row>
    <row r="9" spans="1:25">
      <c r="A9" s="8" t="s">
        <v>142</v>
      </c>
      <c r="B9" s="125">
        <f>C9</f>
        <v>0.98352601733828871</v>
      </c>
      <c r="C9" s="19">
        <f>vignetting!I13</f>
        <v>0.98352601733828871</v>
      </c>
      <c r="D9" s="19">
        <f>C9</f>
        <v>0.98352601733828871</v>
      </c>
      <c r="E9" s="19">
        <f t="shared" ref="E9:Q9" si="1">D9</f>
        <v>0.98352601733828871</v>
      </c>
      <c r="F9" s="19">
        <f t="shared" si="1"/>
        <v>0.98352601733828871</v>
      </c>
      <c r="G9" s="19">
        <f t="shared" si="1"/>
        <v>0.98352601733828871</v>
      </c>
      <c r="H9" s="19">
        <f t="shared" si="1"/>
        <v>0.98352601733828871</v>
      </c>
      <c r="I9" s="19">
        <f t="shared" si="1"/>
        <v>0.98352601733828871</v>
      </c>
      <c r="J9" s="19">
        <f t="shared" si="1"/>
        <v>0.98352601733828871</v>
      </c>
      <c r="K9" s="19">
        <f t="shared" si="1"/>
        <v>0.98352601733828871</v>
      </c>
      <c r="L9" s="19">
        <f t="shared" si="1"/>
        <v>0.98352601733828871</v>
      </c>
      <c r="M9" s="19">
        <f t="shared" si="1"/>
        <v>0.98352601733828871</v>
      </c>
      <c r="N9" s="19">
        <f t="shared" si="1"/>
        <v>0.98352601733828871</v>
      </c>
      <c r="O9" s="19">
        <f t="shared" si="1"/>
        <v>0.98352601733828871</v>
      </c>
      <c r="P9" s="19">
        <f t="shared" si="1"/>
        <v>0.98352601733828871</v>
      </c>
      <c r="Q9" s="19">
        <f t="shared" si="1"/>
        <v>0.98352601733828871</v>
      </c>
      <c r="R9" s="151" t="s">
        <v>202</v>
      </c>
      <c r="S9" s="2"/>
      <c r="T9" s="74">
        <f>T8/1000000/T7*180/PI()*3600</f>
        <v>1.5168614617484062</v>
      </c>
      <c r="U9" s="4" t="s">
        <v>66</v>
      </c>
      <c r="V9" s="2"/>
      <c r="Y9" s="2"/>
    </row>
    <row r="10" spans="1:25" s="359" customFormat="1">
      <c r="A10" s="10" t="str">
        <f>Corrector_Coating!A18</f>
        <v>total corrector coating throughput</v>
      </c>
      <c r="B10" s="16">
        <f>Corrector_Coating!B18</f>
        <v>0.79283691283462876</v>
      </c>
      <c r="C10" s="16">
        <f>Corrector_Coating!C18</f>
        <v>0.87605616080347071</v>
      </c>
      <c r="D10" s="16">
        <f>Corrector_Coating!D18</f>
        <v>0.883140714262726</v>
      </c>
      <c r="E10" s="16">
        <f>Corrector_Coating!E18</f>
        <v>0.89009261112099458</v>
      </c>
      <c r="F10" s="16">
        <f>Corrector_Coating!F18</f>
        <v>0.89889665464148083</v>
      </c>
      <c r="G10" s="16">
        <f>Corrector_Coating!G18</f>
        <v>0.90958809814389918</v>
      </c>
      <c r="H10" s="16">
        <f>Corrector_Coating!H18</f>
        <v>0.90487912397883774</v>
      </c>
      <c r="I10" s="16">
        <f>Corrector_Coating!I18</f>
        <v>0.91662197615494567</v>
      </c>
      <c r="J10" s="16">
        <f>Corrector_Coating!J18</f>
        <v>0.91627109805521512</v>
      </c>
      <c r="K10" s="16">
        <f>Corrector_Coating!K18</f>
        <v>0.91773357172304937</v>
      </c>
      <c r="L10" s="16">
        <f>Corrector_Coating!L18</f>
        <v>0.90703230280599412</v>
      </c>
      <c r="M10" s="16">
        <f>Corrector_Coating!M18</f>
        <v>0.89412078561881292</v>
      </c>
      <c r="N10" s="16">
        <f>Corrector_Coating!N18</f>
        <v>0.89348790178530102</v>
      </c>
      <c r="O10" s="16">
        <f>Corrector_Coating!O18</f>
        <v>0.90030858531209523</v>
      </c>
      <c r="P10" s="16">
        <f>Corrector_Coating!P18</f>
        <v>0.90490818229325343</v>
      </c>
      <c r="Q10" s="16">
        <f>Corrector_Coating!Q18</f>
        <v>0.899589011272663</v>
      </c>
      <c r="R10" s="349" t="s">
        <v>246</v>
      </c>
      <c r="S10" s="4"/>
      <c r="T10" s="16">
        <f>(PI()/4)*T9^2</f>
        <v>1.8070980465942865</v>
      </c>
      <c r="U10" s="4" t="s">
        <v>65</v>
      </c>
      <c r="V10" s="4"/>
      <c r="Y10" s="4"/>
    </row>
    <row r="11" spans="1:25" ht="15" thickBot="1">
      <c r="A11" s="82"/>
      <c r="B11" s="82"/>
      <c r="C11" s="19"/>
      <c r="D11" s="19"/>
      <c r="E11" s="19"/>
      <c r="F11" s="19"/>
      <c r="G11" s="19"/>
      <c r="H11" s="19"/>
      <c r="I11" s="19"/>
      <c r="J11" s="19"/>
      <c r="K11" s="19"/>
      <c r="L11" s="19"/>
      <c r="M11" s="19"/>
      <c r="N11" s="19"/>
      <c r="O11" s="19"/>
      <c r="P11" s="19"/>
      <c r="Q11" s="19"/>
      <c r="R11" s="136"/>
      <c r="S11" s="2"/>
      <c r="T11" s="47">
        <v>38</v>
      </c>
      <c r="U11" s="4" t="s">
        <v>179</v>
      </c>
      <c r="V11" s="2"/>
      <c r="Y11" s="2"/>
    </row>
    <row r="12" spans="1:25" s="35" customFormat="1" ht="15" thickBot="1">
      <c r="A12" s="138" t="s">
        <v>208</v>
      </c>
      <c r="B12" s="139"/>
      <c r="C12" s="139"/>
      <c r="D12" s="139"/>
      <c r="E12" s="139"/>
      <c r="F12" s="139"/>
      <c r="G12" s="139"/>
      <c r="H12" s="139"/>
      <c r="I12" s="139"/>
      <c r="J12" s="139"/>
      <c r="K12" s="139"/>
      <c r="L12" s="139"/>
      <c r="M12" s="139"/>
      <c r="N12" s="139"/>
      <c r="O12" s="139"/>
      <c r="P12" s="139"/>
      <c r="Q12" s="140"/>
      <c r="R12" s="4"/>
      <c r="S12" s="2"/>
      <c r="T12" s="369">
        <v>44.7</v>
      </c>
      <c r="U12" s="4" t="s">
        <v>640</v>
      </c>
      <c r="W12" s="82"/>
      <c r="X12" s="82"/>
      <c r="Y12" s="2"/>
    </row>
    <row r="13" spans="1:25">
      <c r="A13" s="32" t="s">
        <v>40</v>
      </c>
      <c r="B13" s="77"/>
      <c r="C13" s="19">
        <v>12.565799999999999</v>
      </c>
      <c r="D13" s="19">
        <v>12.2408</v>
      </c>
      <c r="E13" s="19">
        <v>11.529199999999999</v>
      </c>
      <c r="F13" s="19">
        <v>10.9556</v>
      </c>
      <c r="G13" s="19">
        <v>10.2334</v>
      </c>
      <c r="H13" s="19">
        <v>9.7927</v>
      </c>
      <c r="I13" s="19">
        <v>9.9274000000000004</v>
      </c>
      <c r="J13" s="19">
        <v>10.4443</v>
      </c>
      <c r="K13" s="19">
        <v>11.0685</v>
      </c>
      <c r="L13" s="19">
        <v>11.6351</v>
      </c>
      <c r="M13" s="19">
        <v>12.074299999999999</v>
      </c>
      <c r="N13" s="19">
        <v>12.372400000000001</v>
      </c>
      <c r="O13" s="19">
        <v>12.499000000000001</v>
      </c>
      <c r="P13" s="19">
        <v>12.626099999999999</v>
      </c>
      <c r="Q13" s="19"/>
      <c r="R13" s="136" t="s">
        <v>35</v>
      </c>
      <c r="S13" s="2"/>
      <c r="W13" s="82"/>
      <c r="X13" s="82"/>
    </row>
    <row r="14" spans="1:25" s="35" customFormat="1">
      <c r="A14" s="32" t="s">
        <v>39</v>
      </c>
      <c r="B14" s="149">
        <f t="shared" ref="B14:Q14" si="2">SQRT($T$12)/SQRT(2)</f>
        <v>4.7275786614291251</v>
      </c>
      <c r="C14" s="149">
        <f t="shared" si="2"/>
        <v>4.7275786614291251</v>
      </c>
      <c r="D14" s="149">
        <f t="shared" si="2"/>
        <v>4.7275786614291251</v>
      </c>
      <c r="E14" s="149">
        <f t="shared" si="2"/>
        <v>4.7275786614291251</v>
      </c>
      <c r="F14" s="149">
        <f t="shared" si="2"/>
        <v>4.7275786614291251</v>
      </c>
      <c r="G14" s="149">
        <f t="shared" si="2"/>
        <v>4.7275786614291251</v>
      </c>
      <c r="H14" s="149">
        <f t="shared" si="2"/>
        <v>4.7275786614291251</v>
      </c>
      <c r="I14" s="149">
        <f t="shared" si="2"/>
        <v>4.7275786614291251</v>
      </c>
      <c r="J14" s="149">
        <f t="shared" si="2"/>
        <v>4.7275786614291251</v>
      </c>
      <c r="K14" s="149">
        <f t="shared" si="2"/>
        <v>4.7275786614291251</v>
      </c>
      <c r="L14" s="149">
        <f t="shared" si="2"/>
        <v>4.7275786614291251</v>
      </c>
      <c r="M14" s="149">
        <f t="shared" si="2"/>
        <v>4.7275786614291251</v>
      </c>
      <c r="N14" s="149">
        <f t="shared" si="2"/>
        <v>4.7275786614291251</v>
      </c>
      <c r="O14" s="149">
        <f t="shared" si="2"/>
        <v>4.7275786614291251</v>
      </c>
      <c r="P14" s="149">
        <f t="shared" si="2"/>
        <v>4.7275786614291251</v>
      </c>
      <c r="Q14" s="149">
        <f t="shared" si="2"/>
        <v>4.7275786614291251</v>
      </c>
      <c r="R14" s="136" t="s">
        <v>641</v>
      </c>
      <c r="S14" s="2"/>
    </row>
    <row r="15" spans="1:25" s="56" customFormat="1">
      <c r="A15" s="32" t="s">
        <v>135</v>
      </c>
      <c r="B15" s="77"/>
      <c r="C15" s="19"/>
      <c r="D15" s="19"/>
      <c r="E15" s="19"/>
      <c r="F15" s="19"/>
      <c r="G15" s="19"/>
      <c r="H15" s="19"/>
      <c r="I15" s="19"/>
      <c r="J15" s="19"/>
      <c r="K15" s="19"/>
      <c r="L15" s="19"/>
      <c r="M15" s="19"/>
      <c r="N15" s="19"/>
      <c r="O15" s="19"/>
      <c r="P15" s="19"/>
      <c r="Q15" s="19"/>
      <c r="R15" s="136"/>
      <c r="S15" s="2"/>
    </row>
    <row r="16" spans="1:25" s="56" customFormat="1">
      <c r="A16" s="65" t="s">
        <v>268</v>
      </c>
      <c r="B16" s="19">
        <f>1000*'barrel misalignment blur'!F23</f>
        <v>2.4310871025119658</v>
      </c>
      <c r="C16" s="19">
        <f t="shared" ref="C16:C25" si="3">B16</f>
        <v>2.4310871025119658</v>
      </c>
      <c r="D16" s="19">
        <f t="shared" ref="D16:Q16" si="4">C16</f>
        <v>2.4310871025119658</v>
      </c>
      <c r="E16" s="19">
        <f t="shared" si="4"/>
        <v>2.4310871025119658</v>
      </c>
      <c r="F16" s="19">
        <f t="shared" si="4"/>
        <v>2.4310871025119658</v>
      </c>
      <c r="G16" s="19">
        <f t="shared" si="4"/>
        <v>2.4310871025119658</v>
      </c>
      <c r="H16" s="19">
        <f t="shared" si="4"/>
        <v>2.4310871025119658</v>
      </c>
      <c r="I16" s="19">
        <f t="shared" si="4"/>
        <v>2.4310871025119658</v>
      </c>
      <c r="J16" s="19">
        <f t="shared" si="4"/>
        <v>2.4310871025119658</v>
      </c>
      <c r="K16" s="19">
        <f t="shared" si="4"/>
        <v>2.4310871025119658</v>
      </c>
      <c r="L16" s="19">
        <f t="shared" si="4"/>
        <v>2.4310871025119658</v>
      </c>
      <c r="M16" s="19">
        <f t="shared" si="4"/>
        <v>2.4310871025119658</v>
      </c>
      <c r="N16" s="19">
        <f t="shared" si="4"/>
        <v>2.4310871025119658</v>
      </c>
      <c r="O16" s="19">
        <f t="shared" si="4"/>
        <v>2.4310871025119658</v>
      </c>
      <c r="P16" s="19">
        <f t="shared" si="4"/>
        <v>2.4310871025119658</v>
      </c>
      <c r="Q16" s="19">
        <f t="shared" si="4"/>
        <v>2.4310871025119658</v>
      </c>
      <c r="R16" s="136" t="s">
        <v>644</v>
      </c>
      <c r="S16" s="2"/>
    </row>
    <row r="17" spans="1:25" s="56" customFormat="1">
      <c r="A17" s="65" t="s">
        <v>269</v>
      </c>
      <c r="B17" s="19">
        <f>1000*'barrel misalignment blur'!F34</f>
        <v>1.0491325046654953</v>
      </c>
      <c r="C17" s="19">
        <f t="shared" si="3"/>
        <v>1.0491325046654953</v>
      </c>
      <c r="D17" s="19">
        <f>C17</f>
        <v>1.0491325046654953</v>
      </c>
      <c r="E17" s="19">
        <f t="shared" ref="E17:Q21" si="5">D17</f>
        <v>1.0491325046654953</v>
      </c>
      <c r="F17" s="19">
        <f t="shared" si="5"/>
        <v>1.0491325046654953</v>
      </c>
      <c r="G17" s="19">
        <f t="shared" si="5"/>
        <v>1.0491325046654953</v>
      </c>
      <c r="H17" s="19">
        <f t="shared" si="5"/>
        <v>1.0491325046654953</v>
      </c>
      <c r="I17" s="19">
        <f t="shared" si="5"/>
        <v>1.0491325046654953</v>
      </c>
      <c r="J17" s="19">
        <f t="shared" si="5"/>
        <v>1.0491325046654953</v>
      </c>
      <c r="K17" s="19">
        <f t="shared" si="5"/>
        <v>1.0491325046654953</v>
      </c>
      <c r="L17" s="19">
        <f t="shared" si="5"/>
        <v>1.0491325046654953</v>
      </c>
      <c r="M17" s="19">
        <f t="shared" si="5"/>
        <v>1.0491325046654953</v>
      </c>
      <c r="N17" s="19">
        <f t="shared" si="5"/>
        <v>1.0491325046654953</v>
      </c>
      <c r="O17" s="19">
        <f t="shared" si="5"/>
        <v>1.0491325046654953</v>
      </c>
      <c r="P17" s="19">
        <f t="shared" si="5"/>
        <v>1.0491325046654953</v>
      </c>
      <c r="Q17" s="19">
        <f t="shared" si="5"/>
        <v>1.0491325046654953</v>
      </c>
      <c r="R17" s="136" t="s">
        <v>645</v>
      </c>
      <c r="S17" s="2"/>
    </row>
    <row r="18" spans="1:25" s="56" customFormat="1">
      <c r="A18" s="65" t="s">
        <v>270</v>
      </c>
      <c r="B18" s="149">
        <f>1000*'barrel misalignment blur'!F53</f>
        <v>3.9895864447333405</v>
      </c>
      <c r="C18" s="149">
        <f t="shared" si="3"/>
        <v>3.9895864447333405</v>
      </c>
      <c r="D18" s="149">
        <f>C18</f>
        <v>3.9895864447333405</v>
      </c>
      <c r="E18" s="149">
        <f t="shared" si="5"/>
        <v>3.9895864447333405</v>
      </c>
      <c r="F18" s="149">
        <f t="shared" si="5"/>
        <v>3.9895864447333405</v>
      </c>
      <c r="G18" s="149">
        <f t="shared" si="5"/>
        <v>3.9895864447333405</v>
      </c>
      <c r="H18" s="149">
        <f t="shared" si="5"/>
        <v>3.9895864447333405</v>
      </c>
      <c r="I18" s="149">
        <f t="shared" si="5"/>
        <v>3.9895864447333405</v>
      </c>
      <c r="J18" s="149">
        <f t="shared" si="5"/>
        <v>3.9895864447333405</v>
      </c>
      <c r="K18" s="149">
        <f t="shared" si="5"/>
        <v>3.9895864447333405</v>
      </c>
      <c r="L18" s="149">
        <f t="shared" si="5"/>
        <v>3.9895864447333405</v>
      </c>
      <c r="M18" s="149">
        <f t="shared" si="5"/>
        <v>3.9895864447333405</v>
      </c>
      <c r="N18" s="149">
        <f t="shared" si="5"/>
        <v>3.9895864447333405</v>
      </c>
      <c r="O18" s="149">
        <f t="shared" si="5"/>
        <v>3.9895864447333405</v>
      </c>
      <c r="P18" s="149">
        <f t="shared" si="5"/>
        <v>3.9895864447333405</v>
      </c>
      <c r="Q18" s="149">
        <f t="shared" si="5"/>
        <v>3.9895864447333405</v>
      </c>
      <c r="R18" s="136" t="s">
        <v>289</v>
      </c>
      <c r="S18" s="2"/>
    </row>
    <row r="19" spans="1:25" s="144" customFormat="1">
      <c r="A19" s="65" t="s">
        <v>271</v>
      </c>
      <c r="B19" s="147">
        <f>'barrel misalignment blur'!F22</f>
        <v>7.9134081232424926E-5</v>
      </c>
      <c r="C19" s="147">
        <f>B19</f>
        <v>7.9134081232424926E-5</v>
      </c>
      <c r="D19" s="147">
        <f>C19</f>
        <v>7.9134081232424926E-5</v>
      </c>
      <c r="E19" s="147">
        <f t="shared" si="5"/>
        <v>7.9134081232424926E-5</v>
      </c>
      <c r="F19" s="147">
        <f t="shared" si="5"/>
        <v>7.9134081232424926E-5</v>
      </c>
      <c r="G19" s="147">
        <f t="shared" si="5"/>
        <v>7.9134081232424926E-5</v>
      </c>
      <c r="H19" s="147">
        <f t="shared" si="5"/>
        <v>7.9134081232424926E-5</v>
      </c>
      <c r="I19" s="147">
        <f t="shared" si="5"/>
        <v>7.9134081232424926E-5</v>
      </c>
      <c r="J19" s="147">
        <f t="shared" si="5"/>
        <v>7.9134081232424926E-5</v>
      </c>
      <c r="K19" s="147">
        <f t="shared" si="5"/>
        <v>7.9134081232424926E-5</v>
      </c>
      <c r="L19" s="147">
        <f t="shared" si="5"/>
        <v>7.9134081232424926E-5</v>
      </c>
      <c r="M19" s="147">
        <f t="shared" si="5"/>
        <v>7.9134081232424926E-5</v>
      </c>
      <c r="N19" s="147">
        <f t="shared" si="5"/>
        <v>7.9134081232424926E-5</v>
      </c>
      <c r="O19" s="147">
        <f t="shared" si="5"/>
        <v>7.9134081232424926E-5</v>
      </c>
      <c r="P19" s="147">
        <f t="shared" si="5"/>
        <v>7.9134081232424926E-5</v>
      </c>
      <c r="Q19" s="147">
        <f t="shared" si="5"/>
        <v>7.9134081232424926E-5</v>
      </c>
      <c r="R19" s="151" t="s">
        <v>290</v>
      </c>
      <c r="S19" s="145"/>
    </row>
    <row r="20" spans="1:25" s="144" customFormat="1">
      <c r="A20" s="65" t="s">
        <v>272</v>
      </c>
      <c r="B20" s="147">
        <f>'barrel misalignment blur'!F33</f>
        <v>1.0491325046654952E-4</v>
      </c>
      <c r="C20" s="147">
        <f>B20</f>
        <v>1.0491325046654952E-4</v>
      </c>
      <c r="D20" s="147">
        <f>C20</f>
        <v>1.0491325046654952E-4</v>
      </c>
      <c r="E20" s="147">
        <f t="shared" si="5"/>
        <v>1.0491325046654952E-4</v>
      </c>
      <c r="F20" s="147">
        <f t="shared" si="5"/>
        <v>1.0491325046654952E-4</v>
      </c>
      <c r="G20" s="147">
        <f t="shared" si="5"/>
        <v>1.0491325046654952E-4</v>
      </c>
      <c r="H20" s="147">
        <f t="shared" si="5"/>
        <v>1.0491325046654952E-4</v>
      </c>
      <c r="I20" s="147">
        <f t="shared" si="5"/>
        <v>1.0491325046654952E-4</v>
      </c>
      <c r="J20" s="147">
        <f t="shared" si="5"/>
        <v>1.0491325046654952E-4</v>
      </c>
      <c r="K20" s="147">
        <f t="shared" si="5"/>
        <v>1.0491325046654952E-4</v>
      </c>
      <c r="L20" s="147">
        <f t="shared" si="5"/>
        <v>1.0491325046654952E-4</v>
      </c>
      <c r="M20" s="147">
        <f t="shared" si="5"/>
        <v>1.0491325046654952E-4</v>
      </c>
      <c r="N20" s="147">
        <f t="shared" si="5"/>
        <v>1.0491325046654952E-4</v>
      </c>
      <c r="O20" s="147">
        <f t="shared" si="5"/>
        <v>1.0491325046654952E-4</v>
      </c>
      <c r="P20" s="147">
        <f t="shared" si="5"/>
        <v>1.0491325046654952E-4</v>
      </c>
      <c r="Q20" s="147">
        <f t="shared" si="5"/>
        <v>1.0491325046654952E-4</v>
      </c>
      <c r="R20" s="151" t="s">
        <v>291</v>
      </c>
      <c r="S20" s="145"/>
    </row>
    <row r="21" spans="1:25" s="144" customFormat="1">
      <c r="A21" s="65" t="s">
        <v>273</v>
      </c>
      <c r="B21" s="147">
        <f>'barrel misalignment blur'!F52</f>
        <v>6.6653019436482093E-4</v>
      </c>
      <c r="C21" s="147">
        <f>B21</f>
        <v>6.6653019436482093E-4</v>
      </c>
      <c r="D21" s="147">
        <f>C21</f>
        <v>6.6653019436482093E-4</v>
      </c>
      <c r="E21" s="147">
        <f t="shared" si="5"/>
        <v>6.6653019436482093E-4</v>
      </c>
      <c r="F21" s="147">
        <f t="shared" si="5"/>
        <v>6.6653019436482093E-4</v>
      </c>
      <c r="G21" s="147">
        <f t="shared" si="5"/>
        <v>6.6653019436482093E-4</v>
      </c>
      <c r="H21" s="147">
        <f t="shared" si="5"/>
        <v>6.6653019436482093E-4</v>
      </c>
      <c r="I21" s="147">
        <f t="shared" si="5"/>
        <v>6.6653019436482093E-4</v>
      </c>
      <c r="J21" s="147">
        <f t="shared" si="5"/>
        <v>6.6653019436482093E-4</v>
      </c>
      <c r="K21" s="147">
        <f t="shared" si="5"/>
        <v>6.6653019436482093E-4</v>
      </c>
      <c r="L21" s="147">
        <f t="shared" si="5"/>
        <v>6.6653019436482093E-4</v>
      </c>
      <c r="M21" s="147">
        <f t="shared" si="5"/>
        <v>6.6653019436482093E-4</v>
      </c>
      <c r="N21" s="147">
        <f t="shared" si="5"/>
        <v>6.6653019436482093E-4</v>
      </c>
      <c r="O21" s="147">
        <f t="shared" si="5"/>
        <v>6.6653019436482093E-4</v>
      </c>
      <c r="P21" s="147">
        <f t="shared" si="5"/>
        <v>6.6653019436482093E-4</v>
      </c>
      <c r="Q21" s="147">
        <f t="shared" si="5"/>
        <v>6.6653019436482093E-4</v>
      </c>
      <c r="R21" s="151" t="s">
        <v>292</v>
      </c>
      <c r="S21" s="145"/>
    </row>
    <row r="22" spans="1:25" s="56" customFormat="1">
      <c r="A22" s="65" t="s">
        <v>87</v>
      </c>
      <c r="B22" s="19">
        <f>1000*'barrel misalignment blur'!F21</f>
        <v>0.42204843323959956</v>
      </c>
      <c r="C22" s="19">
        <f t="shared" si="3"/>
        <v>0.42204843323959956</v>
      </c>
      <c r="D22" s="19">
        <f t="shared" ref="D22:Q22" si="6">C22</f>
        <v>0.42204843323959956</v>
      </c>
      <c r="E22" s="19">
        <f t="shared" si="6"/>
        <v>0.42204843323959956</v>
      </c>
      <c r="F22" s="19">
        <f t="shared" si="6"/>
        <v>0.42204843323959956</v>
      </c>
      <c r="G22" s="19">
        <f t="shared" si="6"/>
        <v>0.42204843323959956</v>
      </c>
      <c r="H22" s="19">
        <f t="shared" si="6"/>
        <v>0.42204843323959956</v>
      </c>
      <c r="I22" s="19">
        <f t="shared" si="6"/>
        <v>0.42204843323959956</v>
      </c>
      <c r="J22" s="19">
        <f t="shared" si="6"/>
        <v>0.42204843323959956</v>
      </c>
      <c r="K22" s="19">
        <f t="shared" si="6"/>
        <v>0.42204843323959956</v>
      </c>
      <c r="L22" s="19">
        <f t="shared" si="6"/>
        <v>0.42204843323959956</v>
      </c>
      <c r="M22" s="19">
        <f t="shared" si="6"/>
        <v>0.42204843323959956</v>
      </c>
      <c r="N22" s="19">
        <f t="shared" si="6"/>
        <v>0.42204843323959956</v>
      </c>
      <c r="O22" s="19">
        <f t="shared" si="6"/>
        <v>0.42204843323959956</v>
      </c>
      <c r="P22" s="19">
        <f t="shared" si="6"/>
        <v>0.42204843323959956</v>
      </c>
      <c r="Q22" s="19">
        <f t="shared" si="6"/>
        <v>0.42204843323959956</v>
      </c>
      <c r="R22" s="136" t="s">
        <v>293</v>
      </c>
      <c r="S22" s="2"/>
    </row>
    <row r="23" spans="1:25" s="56" customFormat="1">
      <c r="A23" s="65" t="s">
        <v>88</v>
      </c>
      <c r="B23" s="19">
        <f>1000*'barrel misalignment blur'!F32</f>
        <v>0.20458083840977159</v>
      </c>
      <c r="C23" s="19">
        <f t="shared" si="3"/>
        <v>0.20458083840977159</v>
      </c>
      <c r="D23" s="19">
        <f t="shared" ref="D23:Q23" si="7">C23</f>
        <v>0.20458083840977159</v>
      </c>
      <c r="E23" s="19">
        <f t="shared" si="7"/>
        <v>0.20458083840977159</v>
      </c>
      <c r="F23" s="19">
        <f t="shared" si="7"/>
        <v>0.20458083840977159</v>
      </c>
      <c r="G23" s="19">
        <f t="shared" si="7"/>
        <v>0.20458083840977159</v>
      </c>
      <c r="H23" s="19">
        <f t="shared" si="7"/>
        <v>0.20458083840977159</v>
      </c>
      <c r="I23" s="19">
        <f t="shared" si="7"/>
        <v>0.20458083840977159</v>
      </c>
      <c r="J23" s="19">
        <f t="shared" si="7"/>
        <v>0.20458083840977159</v>
      </c>
      <c r="K23" s="19">
        <f t="shared" si="7"/>
        <v>0.20458083840977159</v>
      </c>
      <c r="L23" s="19">
        <f t="shared" si="7"/>
        <v>0.20458083840977159</v>
      </c>
      <c r="M23" s="19">
        <f t="shared" si="7"/>
        <v>0.20458083840977159</v>
      </c>
      <c r="N23" s="19">
        <f t="shared" si="7"/>
        <v>0.20458083840977159</v>
      </c>
      <c r="O23" s="19">
        <f t="shared" si="7"/>
        <v>0.20458083840977159</v>
      </c>
      <c r="P23" s="19">
        <f t="shared" si="7"/>
        <v>0.20458083840977159</v>
      </c>
      <c r="Q23" s="19">
        <f t="shared" si="7"/>
        <v>0.20458083840977159</v>
      </c>
      <c r="R23" s="136" t="s">
        <v>294</v>
      </c>
      <c r="S23" s="2"/>
    </row>
    <row r="24" spans="1:25" s="56" customFormat="1">
      <c r="A24" s="65" t="s">
        <v>128</v>
      </c>
      <c r="B24" s="19">
        <f>1000*'barrel misalignment blur'!F51</f>
        <v>0.39991811661889254</v>
      </c>
      <c r="C24" s="19">
        <f t="shared" si="3"/>
        <v>0.39991811661889254</v>
      </c>
      <c r="D24" s="19">
        <f t="shared" ref="D24:Q24" si="8">C24</f>
        <v>0.39991811661889254</v>
      </c>
      <c r="E24" s="19">
        <f t="shared" si="8"/>
        <v>0.39991811661889254</v>
      </c>
      <c r="F24" s="19">
        <f t="shared" si="8"/>
        <v>0.39991811661889254</v>
      </c>
      <c r="G24" s="19">
        <f t="shared" si="8"/>
        <v>0.39991811661889254</v>
      </c>
      <c r="H24" s="19">
        <f t="shared" si="8"/>
        <v>0.39991811661889254</v>
      </c>
      <c r="I24" s="19">
        <f t="shared" si="8"/>
        <v>0.39991811661889254</v>
      </c>
      <c r="J24" s="19">
        <f t="shared" si="8"/>
        <v>0.39991811661889254</v>
      </c>
      <c r="K24" s="19">
        <f t="shared" si="8"/>
        <v>0.39991811661889254</v>
      </c>
      <c r="L24" s="19">
        <f t="shared" si="8"/>
        <v>0.39991811661889254</v>
      </c>
      <c r="M24" s="19">
        <f t="shared" si="8"/>
        <v>0.39991811661889254</v>
      </c>
      <c r="N24" s="19">
        <f t="shared" si="8"/>
        <v>0.39991811661889254</v>
      </c>
      <c r="O24" s="19">
        <f t="shared" si="8"/>
        <v>0.39991811661889254</v>
      </c>
      <c r="P24" s="19">
        <f t="shared" si="8"/>
        <v>0.39991811661889254</v>
      </c>
      <c r="Q24" s="19">
        <f t="shared" si="8"/>
        <v>0.39991811661889254</v>
      </c>
      <c r="R24" s="136" t="s">
        <v>295</v>
      </c>
      <c r="S24" s="2"/>
    </row>
    <row r="25" spans="1:25" s="56" customFormat="1">
      <c r="A25" s="65" t="s">
        <v>134</v>
      </c>
      <c r="B25" s="19">
        <f>1000*'barrel misalignment blur'!F54</f>
        <v>1.5607518158314135</v>
      </c>
      <c r="C25" s="19">
        <f t="shared" si="3"/>
        <v>1.5607518158314135</v>
      </c>
      <c r="D25" s="19">
        <f t="shared" ref="D25:Q25" si="9">C25</f>
        <v>1.5607518158314135</v>
      </c>
      <c r="E25" s="19">
        <f t="shared" si="9"/>
        <v>1.5607518158314135</v>
      </c>
      <c r="F25" s="19">
        <f t="shared" si="9"/>
        <v>1.5607518158314135</v>
      </c>
      <c r="G25" s="19">
        <f t="shared" si="9"/>
        <v>1.5607518158314135</v>
      </c>
      <c r="H25" s="19">
        <f t="shared" si="9"/>
        <v>1.5607518158314135</v>
      </c>
      <c r="I25" s="19">
        <f t="shared" si="9"/>
        <v>1.5607518158314135</v>
      </c>
      <c r="J25" s="19">
        <f t="shared" si="9"/>
        <v>1.5607518158314135</v>
      </c>
      <c r="K25" s="19">
        <f t="shared" si="9"/>
        <v>1.5607518158314135</v>
      </c>
      <c r="L25" s="19">
        <f t="shared" si="9"/>
        <v>1.5607518158314135</v>
      </c>
      <c r="M25" s="19">
        <f t="shared" si="9"/>
        <v>1.5607518158314135</v>
      </c>
      <c r="N25" s="19">
        <f t="shared" si="9"/>
        <v>1.5607518158314135</v>
      </c>
      <c r="O25" s="19">
        <f t="shared" si="9"/>
        <v>1.5607518158314135</v>
      </c>
      <c r="P25" s="19">
        <f t="shared" si="9"/>
        <v>1.5607518158314135</v>
      </c>
      <c r="Q25" s="19">
        <f t="shared" si="9"/>
        <v>1.5607518158314135</v>
      </c>
      <c r="R25" s="151" t="s">
        <v>296</v>
      </c>
      <c r="S25" s="2"/>
    </row>
    <row r="26" spans="1:25" s="56" customFormat="1" ht="15" thickBot="1">
      <c r="A26" s="65" t="s">
        <v>158</v>
      </c>
      <c r="B26" s="149">
        <f>B41/2*$T$4/$T$7/3</f>
        <v>3.5439817151088833</v>
      </c>
      <c r="C26" s="149">
        <f t="shared" ref="C26:Q26" si="10">C41/2*$T$4/$T$7/3</f>
        <v>3.5439817151088833</v>
      </c>
      <c r="D26" s="149">
        <f t="shared" si="10"/>
        <v>3.5439817151088833</v>
      </c>
      <c r="E26" s="149">
        <f t="shared" si="10"/>
        <v>3.5439817151088833</v>
      </c>
      <c r="F26" s="149">
        <f t="shared" si="10"/>
        <v>3.5439817151088833</v>
      </c>
      <c r="G26" s="149">
        <f t="shared" si="10"/>
        <v>3.5439817151088833</v>
      </c>
      <c r="H26" s="149">
        <f t="shared" si="10"/>
        <v>3.5439817151088833</v>
      </c>
      <c r="I26" s="149">
        <f t="shared" si="10"/>
        <v>3.5439817151088833</v>
      </c>
      <c r="J26" s="149">
        <f t="shared" si="10"/>
        <v>3.5439817151088833</v>
      </c>
      <c r="K26" s="149">
        <f t="shared" si="10"/>
        <v>3.5439817151088833</v>
      </c>
      <c r="L26" s="149">
        <f t="shared" si="10"/>
        <v>3.5439817151088833</v>
      </c>
      <c r="M26" s="149">
        <f t="shared" si="10"/>
        <v>3.5439817151088833</v>
      </c>
      <c r="N26" s="149">
        <f t="shared" si="10"/>
        <v>3.5439817151088833</v>
      </c>
      <c r="O26" s="149">
        <f t="shared" si="10"/>
        <v>3.5439817151088833</v>
      </c>
      <c r="P26" s="149">
        <f t="shared" si="10"/>
        <v>3.5439817151088833</v>
      </c>
      <c r="Q26" s="149">
        <f t="shared" si="10"/>
        <v>3.5439817151088833</v>
      </c>
      <c r="R26" s="137" t="s">
        <v>716</v>
      </c>
      <c r="S26" s="2"/>
    </row>
    <row r="27" spans="1:25" ht="15" thickBot="1">
      <c r="A27" s="20" t="s">
        <v>209</v>
      </c>
      <c r="B27" s="117"/>
      <c r="C27" s="118">
        <f t="shared" ref="C27:P27" si="11">SQRT(SUMSQ(C13:C26))</f>
        <v>14.783526607036929</v>
      </c>
      <c r="D27" s="118">
        <f t="shared" si="11"/>
        <v>14.508291213680845</v>
      </c>
      <c r="E27" s="118">
        <f t="shared" si="11"/>
        <v>13.913151402215417</v>
      </c>
      <c r="F27" s="118">
        <f t="shared" si="11"/>
        <v>13.44167030770242</v>
      </c>
      <c r="G27" s="118">
        <f t="shared" si="11"/>
        <v>12.85985244320357</v>
      </c>
      <c r="H27" s="118">
        <f t="shared" si="11"/>
        <v>12.512006337553096</v>
      </c>
      <c r="I27" s="118">
        <f t="shared" si="11"/>
        <v>12.617709778758142</v>
      </c>
      <c r="J27" s="118">
        <f t="shared" si="11"/>
        <v>13.028305023715435</v>
      </c>
      <c r="K27" s="118">
        <f t="shared" si="11"/>
        <v>13.533847256082391</v>
      </c>
      <c r="L27" s="118">
        <f t="shared" si="11"/>
        <v>14.001031437396632</v>
      </c>
      <c r="M27" s="118">
        <f t="shared" si="11"/>
        <v>14.368091376065536</v>
      </c>
      <c r="N27" s="118">
        <f t="shared" si="11"/>
        <v>14.619494213582385</v>
      </c>
      <c r="O27" s="118">
        <f t="shared" si="11"/>
        <v>14.726789544940502</v>
      </c>
      <c r="P27" s="118">
        <f t="shared" si="11"/>
        <v>14.834814812156194</v>
      </c>
      <c r="Q27" s="118"/>
      <c r="R27" s="136"/>
      <c r="S27" s="2"/>
      <c r="V27" s="2"/>
      <c r="W27" s="2"/>
      <c r="X27" s="2"/>
      <c r="Y27" s="2"/>
    </row>
    <row r="28" spans="1:25" s="56" customFormat="1" ht="15" thickBot="1">
      <c r="A28" s="38"/>
      <c r="B28" s="38"/>
      <c r="C28" s="74"/>
      <c r="D28" s="74"/>
      <c r="E28" s="74"/>
      <c r="F28" s="74"/>
      <c r="G28" s="74"/>
      <c r="H28" s="74"/>
      <c r="I28" s="74"/>
      <c r="J28" s="74"/>
      <c r="K28" s="74"/>
      <c r="L28" s="74"/>
      <c r="M28" s="74"/>
      <c r="N28" s="74"/>
      <c r="O28" s="74"/>
      <c r="P28" s="74"/>
      <c r="Q28" s="74"/>
      <c r="R28" s="136"/>
      <c r="S28" s="2"/>
      <c r="T28" s="16"/>
      <c r="U28" s="37"/>
      <c r="V28" s="2"/>
      <c r="W28" s="2"/>
      <c r="X28" s="2"/>
      <c r="Y28" s="2"/>
    </row>
    <row r="29" spans="1:25" ht="15" thickBot="1">
      <c r="A29" s="55" t="s">
        <v>218</v>
      </c>
      <c r="B29" s="78"/>
      <c r="C29" s="59"/>
      <c r="D29" s="59"/>
      <c r="E29" s="59"/>
      <c r="F29" s="59"/>
      <c r="G29" s="59"/>
      <c r="H29" s="59"/>
      <c r="I29" s="59"/>
      <c r="J29" s="59"/>
      <c r="K29" s="59"/>
      <c r="L29" s="59"/>
      <c r="M29" s="59"/>
      <c r="N29" s="59"/>
      <c r="O29" s="59"/>
      <c r="P29" s="59"/>
      <c r="Q29" s="59"/>
      <c r="R29" s="136"/>
      <c r="S29" s="2"/>
    </row>
    <row r="30" spans="1:25">
      <c r="A30" s="113" t="s">
        <v>27</v>
      </c>
      <c r="B30" s="114">
        <f>'Patrol Disk'!$D$20</f>
        <v>18.444283170533595</v>
      </c>
      <c r="C30" s="114">
        <f>'Patrol Disk'!$D$20</f>
        <v>18.444283170533595</v>
      </c>
      <c r="D30" s="114">
        <f>'Patrol Disk'!$D$20</f>
        <v>18.444283170533595</v>
      </c>
      <c r="E30" s="114">
        <f>'Patrol Disk'!$D$20</f>
        <v>18.444283170533595</v>
      </c>
      <c r="F30" s="114">
        <f>'Patrol Disk'!$D$20</f>
        <v>18.444283170533595</v>
      </c>
      <c r="G30" s="114">
        <f>'Patrol Disk'!$D$20</f>
        <v>18.444283170533595</v>
      </c>
      <c r="H30" s="114">
        <f>'Patrol Disk'!$D$20</f>
        <v>18.444283170533595</v>
      </c>
      <c r="I30" s="114">
        <f>'Patrol Disk'!$D$20</f>
        <v>18.444283170533595</v>
      </c>
      <c r="J30" s="114">
        <f>'Patrol Disk'!$D$20</f>
        <v>18.444283170533595</v>
      </c>
      <c r="K30" s="114">
        <f>'Patrol Disk'!$D$20</f>
        <v>18.444283170533595</v>
      </c>
      <c r="L30" s="114">
        <f>'Patrol Disk'!$D$20</f>
        <v>18.444283170533595</v>
      </c>
      <c r="M30" s="114">
        <f>'Patrol Disk'!$D$20</f>
        <v>18.444283170533595</v>
      </c>
      <c r="N30" s="114">
        <f>'Patrol Disk'!$D$20</f>
        <v>18.444283170533595</v>
      </c>
      <c r="O30" s="114">
        <f>'Patrol Disk'!$D$20</f>
        <v>18.444283170533595</v>
      </c>
      <c r="P30" s="114">
        <f>'Patrol Disk'!$D$20</f>
        <v>18.444283170533595</v>
      </c>
      <c r="Q30" s="114">
        <f>'Patrol Disk'!$D$20</f>
        <v>18.444283170533595</v>
      </c>
      <c r="R30" s="136" t="s">
        <v>80</v>
      </c>
      <c r="S30" s="2"/>
    </row>
    <row r="31" spans="1:25">
      <c r="A31" s="33" t="s">
        <v>33</v>
      </c>
      <c r="B31" s="46">
        <f>'Patrol Disk'!$D$11</f>
        <v>1.4936140799999995</v>
      </c>
      <c r="C31" s="46">
        <f>'Patrol Disk'!$D$11</f>
        <v>1.4936140799999995</v>
      </c>
      <c r="D31" s="46">
        <f>'Patrol Disk'!$D$11</f>
        <v>1.4936140799999995</v>
      </c>
      <c r="E31" s="46">
        <f>'Patrol Disk'!$D$11</f>
        <v>1.4936140799999995</v>
      </c>
      <c r="F31" s="46">
        <f>'Patrol Disk'!$D$11</f>
        <v>1.4936140799999995</v>
      </c>
      <c r="G31" s="46">
        <f>'Patrol Disk'!$D$11</f>
        <v>1.4936140799999995</v>
      </c>
      <c r="H31" s="46">
        <f>'Patrol Disk'!$D$11</f>
        <v>1.4936140799999995</v>
      </c>
      <c r="I31" s="46">
        <f>'Patrol Disk'!$D$11</f>
        <v>1.4936140799999995</v>
      </c>
      <c r="J31" s="46">
        <f>'Patrol Disk'!$D$11</f>
        <v>1.4936140799999995</v>
      </c>
      <c r="K31" s="46">
        <f>'Patrol Disk'!$D$11</f>
        <v>1.4936140799999995</v>
      </c>
      <c r="L31" s="46">
        <f>'Patrol Disk'!$D$11</f>
        <v>1.4936140799999995</v>
      </c>
      <c r="M31" s="46">
        <f>'Patrol Disk'!$D$11</f>
        <v>1.4936140799999995</v>
      </c>
      <c r="N31" s="46">
        <f>'Patrol Disk'!$D$11</f>
        <v>1.4936140799999995</v>
      </c>
      <c r="O31" s="46">
        <f>'Patrol Disk'!$D$11</f>
        <v>1.4936140799999995</v>
      </c>
      <c r="P31" s="46">
        <f>'Patrol Disk'!$D$11</f>
        <v>1.4936140799999995</v>
      </c>
      <c r="Q31" s="46">
        <f>'Patrol Disk'!$D$11</f>
        <v>1.4936140799999995</v>
      </c>
      <c r="R31" s="136" t="s">
        <v>68</v>
      </c>
      <c r="S31" s="2"/>
    </row>
    <row r="32" spans="1:25">
      <c r="A32" s="142" t="s">
        <v>720</v>
      </c>
      <c r="B32" s="143">
        <f>3*14.7</f>
        <v>44.099999999999994</v>
      </c>
      <c r="C32" s="143">
        <f>B32</f>
        <v>44.099999999999994</v>
      </c>
      <c r="D32" s="143">
        <f t="shared" ref="D32:Q32" si="12">C32</f>
        <v>44.099999999999994</v>
      </c>
      <c r="E32" s="143">
        <f t="shared" si="12"/>
        <v>44.099999999999994</v>
      </c>
      <c r="F32" s="143">
        <f t="shared" si="12"/>
        <v>44.099999999999994</v>
      </c>
      <c r="G32" s="143">
        <f t="shared" si="12"/>
        <v>44.099999999999994</v>
      </c>
      <c r="H32" s="143">
        <f t="shared" si="12"/>
        <v>44.099999999999994</v>
      </c>
      <c r="I32" s="143">
        <f t="shared" si="12"/>
        <v>44.099999999999994</v>
      </c>
      <c r="J32" s="143">
        <f t="shared" si="12"/>
        <v>44.099999999999994</v>
      </c>
      <c r="K32" s="143">
        <f t="shared" si="12"/>
        <v>44.099999999999994</v>
      </c>
      <c r="L32" s="143">
        <f t="shared" si="12"/>
        <v>44.099999999999994</v>
      </c>
      <c r="M32" s="143">
        <f t="shared" si="12"/>
        <v>44.099999999999994</v>
      </c>
      <c r="N32" s="143">
        <f t="shared" si="12"/>
        <v>44.099999999999994</v>
      </c>
      <c r="O32" s="143">
        <f t="shared" si="12"/>
        <v>44.099999999999994</v>
      </c>
      <c r="P32" s="143">
        <f t="shared" si="12"/>
        <v>44.099999999999994</v>
      </c>
      <c r="Q32" s="143">
        <f t="shared" si="12"/>
        <v>44.099999999999994</v>
      </c>
      <c r="R32" s="151" t="s">
        <v>719</v>
      </c>
      <c r="S32" s="2"/>
    </row>
    <row r="33" spans="1:26" s="326" customFormat="1">
      <c r="A33" s="142" t="s">
        <v>721</v>
      </c>
      <c r="B33" s="143">
        <f>3*15</f>
        <v>45</v>
      </c>
      <c r="C33" s="143">
        <f>B33</f>
        <v>45</v>
      </c>
      <c r="D33" s="143">
        <f t="shared" ref="D33:Q34" si="13">C33</f>
        <v>45</v>
      </c>
      <c r="E33" s="143">
        <f t="shared" si="13"/>
        <v>45</v>
      </c>
      <c r="F33" s="143">
        <f t="shared" si="13"/>
        <v>45</v>
      </c>
      <c r="G33" s="143">
        <f t="shared" si="13"/>
        <v>45</v>
      </c>
      <c r="H33" s="143">
        <f t="shared" si="13"/>
        <v>45</v>
      </c>
      <c r="I33" s="143">
        <f t="shared" si="13"/>
        <v>45</v>
      </c>
      <c r="J33" s="143">
        <f t="shared" si="13"/>
        <v>45</v>
      </c>
      <c r="K33" s="143">
        <f t="shared" si="13"/>
        <v>45</v>
      </c>
      <c r="L33" s="143">
        <f t="shared" si="13"/>
        <v>45</v>
      </c>
      <c r="M33" s="143">
        <f t="shared" si="13"/>
        <v>45</v>
      </c>
      <c r="N33" s="143">
        <f t="shared" si="13"/>
        <v>45</v>
      </c>
      <c r="O33" s="143">
        <f t="shared" si="13"/>
        <v>45</v>
      </c>
      <c r="P33" s="143">
        <f t="shared" si="13"/>
        <v>45</v>
      </c>
      <c r="Q33" s="143">
        <f t="shared" si="13"/>
        <v>45</v>
      </c>
      <c r="R33" s="349" t="s">
        <v>713</v>
      </c>
      <c r="S33" s="145"/>
    </row>
    <row r="34" spans="1:26" s="326" customFormat="1">
      <c r="A34" s="142" t="s">
        <v>714</v>
      </c>
      <c r="B34" s="143">
        <v>20</v>
      </c>
      <c r="C34" s="143">
        <f>B34</f>
        <v>20</v>
      </c>
      <c r="D34" s="143">
        <f t="shared" si="13"/>
        <v>20</v>
      </c>
      <c r="E34" s="143">
        <f t="shared" si="13"/>
        <v>20</v>
      </c>
      <c r="F34" s="143">
        <f t="shared" si="13"/>
        <v>20</v>
      </c>
      <c r="G34" s="143">
        <f t="shared" si="13"/>
        <v>20</v>
      </c>
      <c r="H34" s="143">
        <f t="shared" si="13"/>
        <v>20</v>
      </c>
      <c r="I34" s="143">
        <f t="shared" si="13"/>
        <v>20</v>
      </c>
      <c r="J34" s="143">
        <f t="shared" si="13"/>
        <v>20</v>
      </c>
      <c r="K34" s="143">
        <f t="shared" si="13"/>
        <v>20</v>
      </c>
      <c r="L34" s="143">
        <f t="shared" si="13"/>
        <v>20</v>
      </c>
      <c r="M34" s="143">
        <f t="shared" si="13"/>
        <v>20</v>
      </c>
      <c r="N34" s="143">
        <f t="shared" si="13"/>
        <v>20</v>
      </c>
      <c r="O34" s="143">
        <f t="shared" si="13"/>
        <v>20</v>
      </c>
      <c r="P34" s="143">
        <f t="shared" si="13"/>
        <v>20</v>
      </c>
      <c r="Q34" s="143">
        <f t="shared" si="13"/>
        <v>20</v>
      </c>
      <c r="R34" s="349" t="s">
        <v>715</v>
      </c>
      <c r="S34" s="145"/>
    </row>
    <row r="35" spans="1:26" s="144" customFormat="1">
      <c r="A35" s="142" t="s">
        <v>722</v>
      </c>
      <c r="B35" s="143">
        <f>3*14.2</f>
        <v>42.599999999999994</v>
      </c>
      <c r="C35" s="143">
        <f>B35</f>
        <v>42.599999999999994</v>
      </c>
      <c r="D35" s="143">
        <f t="shared" ref="D35:Q35" si="14">C35</f>
        <v>42.599999999999994</v>
      </c>
      <c r="E35" s="143">
        <f t="shared" si="14"/>
        <v>42.599999999999994</v>
      </c>
      <c r="F35" s="143">
        <f t="shared" si="14"/>
        <v>42.599999999999994</v>
      </c>
      <c r="G35" s="143">
        <f t="shared" si="14"/>
        <v>42.599999999999994</v>
      </c>
      <c r="H35" s="143">
        <f t="shared" si="14"/>
        <v>42.599999999999994</v>
      </c>
      <c r="I35" s="143">
        <f t="shared" si="14"/>
        <v>42.599999999999994</v>
      </c>
      <c r="J35" s="143">
        <f t="shared" si="14"/>
        <v>42.599999999999994</v>
      </c>
      <c r="K35" s="143">
        <f t="shared" si="14"/>
        <v>42.599999999999994</v>
      </c>
      <c r="L35" s="143">
        <f t="shared" si="14"/>
        <v>42.599999999999994</v>
      </c>
      <c r="M35" s="143">
        <f t="shared" si="14"/>
        <v>42.599999999999994</v>
      </c>
      <c r="N35" s="143">
        <f t="shared" si="14"/>
        <v>42.599999999999994</v>
      </c>
      <c r="O35" s="143">
        <f t="shared" si="14"/>
        <v>42.599999999999994</v>
      </c>
      <c r="P35" s="143">
        <f t="shared" si="14"/>
        <v>42.599999999999994</v>
      </c>
      <c r="Q35" s="143">
        <f t="shared" si="14"/>
        <v>42.599999999999994</v>
      </c>
      <c r="R35" s="151" t="s">
        <v>710</v>
      </c>
      <c r="S35" s="145"/>
    </row>
    <row r="36" spans="1:26">
      <c r="A36" s="142" t="s">
        <v>210</v>
      </c>
      <c r="B36" s="143">
        <v>1.27</v>
      </c>
      <c r="C36" s="143">
        <v>1.27</v>
      </c>
      <c r="D36" s="143">
        <v>1.27</v>
      </c>
      <c r="E36" s="143">
        <v>1.27</v>
      </c>
      <c r="F36" s="143">
        <v>1.27</v>
      </c>
      <c r="G36" s="143">
        <v>1.27</v>
      </c>
      <c r="H36" s="143">
        <v>1.27</v>
      </c>
      <c r="I36" s="143">
        <v>1.27</v>
      </c>
      <c r="J36" s="143">
        <v>1.27</v>
      </c>
      <c r="K36" s="143">
        <v>1.27</v>
      </c>
      <c r="L36" s="143">
        <v>1.27</v>
      </c>
      <c r="M36" s="143">
        <v>1.27</v>
      </c>
      <c r="N36" s="143">
        <v>1.27</v>
      </c>
      <c r="O36" s="143">
        <v>1.27</v>
      </c>
      <c r="P36" s="143">
        <v>1.27</v>
      </c>
      <c r="Q36" s="143">
        <v>1.27</v>
      </c>
      <c r="R36" s="151" t="s">
        <v>709</v>
      </c>
      <c r="S36" s="2"/>
    </row>
    <row r="37" spans="1:26">
      <c r="A37" s="142" t="s">
        <v>211</v>
      </c>
      <c r="B37" s="143">
        <v>2.69</v>
      </c>
      <c r="C37" s="143">
        <v>2.69</v>
      </c>
      <c r="D37" s="143">
        <v>2.69</v>
      </c>
      <c r="E37" s="143">
        <v>2.69</v>
      </c>
      <c r="F37" s="143">
        <v>2.69</v>
      </c>
      <c r="G37" s="143">
        <v>2.69</v>
      </c>
      <c r="H37" s="143">
        <v>2.69</v>
      </c>
      <c r="I37" s="143">
        <v>2.69</v>
      </c>
      <c r="J37" s="143">
        <v>2.69</v>
      </c>
      <c r="K37" s="143">
        <v>2.69</v>
      </c>
      <c r="L37" s="143">
        <v>2.69</v>
      </c>
      <c r="M37" s="143">
        <v>2.69</v>
      </c>
      <c r="N37" s="143">
        <v>2.69</v>
      </c>
      <c r="O37" s="143">
        <v>2.69</v>
      </c>
      <c r="P37" s="143">
        <v>2.69</v>
      </c>
      <c r="Q37" s="143">
        <v>2.69</v>
      </c>
      <c r="R37" s="151" t="s">
        <v>709</v>
      </c>
      <c r="S37" s="2"/>
    </row>
    <row r="38" spans="1:26">
      <c r="A38" s="142" t="s">
        <v>212</v>
      </c>
      <c r="B38" s="143">
        <v>2.7</v>
      </c>
      <c r="C38" s="143">
        <v>2.7</v>
      </c>
      <c r="D38" s="143">
        <v>2.7</v>
      </c>
      <c r="E38" s="143">
        <v>2.7</v>
      </c>
      <c r="F38" s="143">
        <v>2.7</v>
      </c>
      <c r="G38" s="143">
        <v>2.7</v>
      </c>
      <c r="H38" s="143">
        <v>2.7</v>
      </c>
      <c r="I38" s="143">
        <v>2.7</v>
      </c>
      <c r="J38" s="143">
        <v>2.7</v>
      </c>
      <c r="K38" s="143">
        <v>2.7</v>
      </c>
      <c r="L38" s="143">
        <v>2.7</v>
      </c>
      <c r="M38" s="143">
        <v>2.7</v>
      </c>
      <c r="N38" s="143">
        <v>2.7</v>
      </c>
      <c r="O38" s="143">
        <v>2.7</v>
      </c>
      <c r="P38" s="143">
        <v>2.7</v>
      </c>
      <c r="Q38" s="143">
        <v>2.7</v>
      </c>
      <c r="R38" s="151" t="s">
        <v>213</v>
      </c>
      <c r="S38" s="2"/>
      <c r="T38" s="2"/>
      <c r="U38" s="2"/>
      <c r="V38" s="2"/>
      <c r="W38" s="2"/>
      <c r="X38" s="2"/>
      <c r="Y38" s="2"/>
      <c r="Z38" s="2"/>
    </row>
    <row r="39" spans="1:26">
      <c r="A39" s="148" t="s">
        <v>214</v>
      </c>
      <c r="B39" s="143">
        <v>9.8000000000000007</v>
      </c>
      <c r="C39" s="143">
        <v>9.8000000000000007</v>
      </c>
      <c r="D39" s="143">
        <v>9.8000000000000007</v>
      </c>
      <c r="E39" s="143">
        <v>9.8000000000000007</v>
      </c>
      <c r="F39" s="143">
        <v>9.8000000000000007</v>
      </c>
      <c r="G39" s="143">
        <v>9.8000000000000007</v>
      </c>
      <c r="H39" s="143">
        <v>9.8000000000000007</v>
      </c>
      <c r="I39" s="143">
        <v>9.8000000000000007</v>
      </c>
      <c r="J39" s="143">
        <v>9.8000000000000007</v>
      </c>
      <c r="K39" s="143">
        <v>9.8000000000000007</v>
      </c>
      <c r="L39" s="143">
        <v>9.8000000000000007</v>
      </c>
      <c r="M39" s="143">
        <v>9.8000000000000007</v>
      </c>
      <c r="N39" s="143">
        <v>9.8000000000000007</v>
      </c>
      <c r="O39" s="143">
        <v>9.8000000000000007</v>
      </c>
      <c r="P39" s="143">
        <v>9.8000000000000007</v>
      </c>
      <c r="Q39" s="143">
        <v>9.8000000000000007</v>
      </c>
      <c r="R39" s="151" t="s">
        <v>215</v>
      </c>
      <c r="S39" s="2"/>
      <c r="T39" s="2"/>
      <c r="U39" s="2"/>
      <c r="V39" s="2"/>
      <c r="W39" s="2"/>
      <c r="X39" s="2"/>
      <c r="Y39" s="2"/>
      <c r="Z39" s="2"/>
    </row>
    <row r="40" spans="1:26">
      <c r="A40" s="148" t="s">
        <v>216</v>
      </c>
      <c r="B40" s="143">
        <v>0.5</v>
      </c>
      <c r="C40" s="143">
        <v>0.5</v>
      </c>
      <c r="D40" s="143">
        <v>0.5</v>
      </c>
      <c r="E40" s="143">
        <v>0.5</v>
      </c>
      <c r="F40" s="143">
        <v>0.5</v>
      </c>
      <c r="G40" s="143">
        <v>0.5</v>
      </c>
      <c r="H40" s="143">
        <v>0.5</v>
      </c>
      <c r="I40" s="143">
        <v>0.5</v>
      </c>
      <c r="J40" s="143">
        <v>0.5</v>
      </c>
      <c r="K40" s="143">
        <v>0.5</v>
      </c>
      <c r="L40" s="143">
        <v>0.5</v>
      </c>
      <c r="M40" s="143">
        <v>0.5</v>
      </c>
      <c r="N40" s="143">
        <v>0.5</v>
      </c>
      <c r="O40" s="143">
        <v>0.5</v>
      </c>
      <c r="P40" s="143">
        <v>0.5</v>
      </c>
      <c r="Q40" s="143">
        <v>0.5</v>
      </c>
      <c r="R40" s="151" t="s">
        <v>217</v>
      </c>
      <c r="S40" s="2"/>
      <c r="T40" s="2"/>
      <c r="U40" s="2"/>
      <c r="V40" s="2"/>
      <c r="W40" s="2"/>
      <c r="X40" s="2"/>
      <c r="Y40" s="2"/>
      <c r="Z40" s="2"/>
    </row>
    <row r="41" spans="1:26" ht="15" thickBot="1">
      <c r="A41" s="9" t="s">
        <v>157</v>
      </c>
      <c r="B41" s="18">
        <f t="shared" ref="B41:Q41" si="15">SQRT(SUMSQ(B30:B40))</f>
        <v>81.482645174876367</v>
      </c>
      <c r="C41" s="18">
        <f t="shared" si="15"/>
        <v>81.482645174876367</v>
      </c>
      <c r="D41" s="18">
        <f t="shared" si="15"/>
        <v>81.482645174876367</v>
      </c>
      <c r="E41" s="18">
        <f t="shared" si="15"/>
        <v>81.482645174876367</v>
      </c>
      <c r="F41" s="18">
        <f t="shared" si="15"/>
        <v>81.482645174876367</v>
      </c>
      <c r="G41" s="18">
        <f t="shared" si="15"/>
        <v>81.482645174876367</v>
      </c>
      <c r="H41" s="18">
        <f t="shared" si="15"/>
        <v>81.482645174876367</v>
      </c>
      <c r="I41" s="18">
        <f t="shared" si="15"/>
        <v>81.482645174876367</v>
      </c>
      <c r="J41" s="18">
        <f t="shared" si="15"/>
        <v>81.482645174876367</v>
      </c>
      <c r="K41" s="18">
        <f t="shared" si="15"/>
        <v>81.482645174876367</v>
      </c>
      <c r="L41" s="18">
        <f t="shared" si="15"/>
        <v>81.482645174876367</v>
      </c>
      <c r="M41" s="18">
        <f t="shared" si="15"/>
        <v>81.482645174876367</v>
      </c>
      <c r="N41" s="18">
        <f t="shared" si="15"/>
        <v>81.482645174876367</v>
      </c>
      <c r="O41" s="18">
        <f t="shared" si="15"/>
        <v>81.482645174876367</v>
      </c>
      <c r="P41" s="18">
        <f t="shared" si="15"/>
        <v>81.482645174876367</v>
      </c>
      <c r="Q41" s="126">
        <f t="shared" si="15"/>
        <v>81.482645174876367</v>
      </c>
      <c r="R41" s="136"/>
      <c r="S41" s="2"/>
      <c r="T41" s="2"/>
      <c r="U41" s="2"/>
      <c r="V41" s="2"/>
      <c r="W41" s="2"/>
      <c r="X41" s="2"/>
      <c r="Y41" s="2"/>
      <c r="Z41" s="2"/>
    </row>
    <row r="42" spans="1:26" ht="15" thickBot="1">
      <c r="A42" s="37"/>
      <c r="B42" s="37"/>
      <c r="C42" s="16"/>
      <c r="D42" s="16"/>
      <c r="E42" s="16"/>
      <c r="F42" s="16"/>
      <c r="G42" s="16"/>
      <c r="H42" s="16"/>
      <c r="I42" s="16"/>
      <c r="J42" s="16"/>
      <c r="K42" s="16"/>
      <c r="L42" s="16"/>
      <c r="M42" s="16"/>
      <c r="N42" s="16"/>
      <c r="O42" s="16"/>
      <c r="P42" s="16"/>
      <c r="Q42" s="16"/>
      <c r="R42" s="136"/>
      <c r="S42" s="2"/>
      <c r="T42" s="47"/>
      <c r="U42" s="2"/>
      <c r="V42" s="2"/>
      <c r="W42" s="2"/>
      <c r="X42" s="2"/>
      <c r="Y42" s="2"/>
    </row>
    <row r="43" spans="1:26" ht="15" thickBot="1">
      <c r="A43" s="5" t="s">
        <v>183</v>
      </c>
      <c r="B43" s="76"/>
      <c r="C43" s="57"/>
      <c r="D43" s="57"/>
      <c r="E43" s="57"/>
      <c r="F43" s="57"/>
      <c r="G43" s="57"/>
      <c r="H43" s="57"/>
      <c r="I43" s="57"/>
      <c r="J43" s="57"/>
      <c r="K43" s="57"/>
      <c r="L43" s="57"/>
      <c r="M43" s="57"/>
      <c r="N43" s="57"/>
      <c r="O43" s="57"/>
      <c r="P43" s="57"/>
      <c r="Q43" s="57"/>
      <c r="R43" s="136"/>
      <c r="S43" s="2"/>
      <c r="T43" s="47"/>
      <c r="U43" s="2"/>
      <c r="V43" s="2"/>
      <c r="W43" s="2"/>
      <c r="X43" s="2"/>
      <c r="Y43" s="2"/>
    </row>
    <row r="44" spans="1:26" s="35" customFormat="1">
      <c r="A44" s="50" t="s">
        <v>37</v>
      </c>
      <c r="B44" s="27"/>
      <c r="C44" s="58">
        <v>7.9423000000000004</v>
      </c>
      <c r="D44" s="58">
        <v>7.1368</v>
      </c>
      <c r="E44" s="58">
        <v>5.9629000000000003</v>
      </c>
      <c r="F44" s="58">
        <v>4.33</v>
      </c>
      <c r="G44" s="58">
        <v>1.4311</v>
      </c>
      <c r="H44" s="58">
        <v>1.8969</v>
      </c>
      <c r="I44" s="58">
        <v>4.2919999999999998</v>
      </c>
      <c r="J44" s="58">
        <v>5.9051</v>
      </c>
      <c r="K44" s="58">
        <v>6.8742999999999999</v>
      </c>
      <c r="L44" s="58">
        <v>7.2613000000000003</v>
      </c>
      <c r="M44" s="58">
        <v>7.0856000000000003</v>
      </c>
      <c r="N44" s="58">
        <v>6.6553000000000004</v>
      </c>
      <c r="O44" s="58">
        <v>6.8150000000000004</v>
      </c>
      <c r="P44" s="58">
        <v>6.9743000000000004</v>
      </c>
      <c r="Q44" s="153"/>
      <c r="R44" s="4" t="s">
        <v>205</v>
      </c>
      <c r="S44" s="2"/>
      <c r="T44" s="47"/>
      <c r="U44" s="2"/>
      <c r="V44" s="2"/>
      <c r="W44" s="2"/>
      <c r="X44" s="2"/>
      <c r="Y44" s="2"/>
    </row>
    <row r="45" spans="1:26">
      <c r="A45" s="148" t="s">
        <v>22</v>
      </c>
      <c r="B45" s="16">
        <v>0</v>
      </c>
      <c r="C45" s="16">
        <v>0</v>
      </c>
      <c r="D45" s="16">
        <v>0</v>
      </c>
      <c r="E45" s="16">
        <v>0</v>
      </c>
      <c r="F45" s="16">
        <v>0</v>
      </c>
      <c r="G45" s="16">
        <v>0</v>
      </c>
      <c r="H45" s="16">
        <v>0</v>
      </c>
      <c r="I45" s="16">
        <v>0</v>
      </c>
      <c r="J45" s="16">
        <v>0</v>
      </c>
      <c r="K45" s="16">
        <v>0</v>
      </c>
      <c r="L45" s="16">
        <v>0</v>
      </c>
      <c r="M45" s="16">
        <v>0</v>
      </c>
      <c r="N45" s="16">
        <v>0</v>
      </c>
      <c r="O45" s="16">
        <v>0</v>
      </c>
      <c r="P45" s="16">
        <v>0</v>
      </c>
      <c r="Q45" s="169">
        <v>0</v>
      </c>
      <c r="R45" s="4" t="s">
        <v>28</v>
      </c>
      <c r="S45" s="2"/>
      <c r="T45" s="47"/>
      <c r="U45" s="2"/>
      <c r="V45" s="2"/>
      <c r="W45" s="2"/>
      <c r="X45" s="2"/>
      <c r="Y45" s="2"/>
    </row>
    <row r="46" spans="1:26">
      <c r="A46" s="146" t="s">
        <v>25</v>
      </c>
      <c r="B46" s="16">
        <v>0</v>
      </c>
      <c r="C46" s="16">
        <v>0</v>
      </c>
      <c r="D46" s="16">
        <v>0</v>
      </c>
      <c r="E46" s="16">
        <v>0</v>
      </c>
      <c r="F46" s="16">
        <v>0</v>
      </c>
      <c r="G46" s="16">
        <v>0</v>
      </c>
      <c r="H46" s="16">
        <v>0</v>
      </c>
      <c r="I46" s="16">
        <v>0</v>
      </c>
      <c r="J46" s="16">
        <v>0</v>
      </c>
      <c r="K46" s="16">
        <v>0</v>
      </c>
      <c r="L46" s="16">
        <v>0</v>
      </c>
      <c r="M46" s="16">
        <v>0</v>
      </c>
      <c r="N46" s="16">
        <v>0</v>
      </c>
      <c r="O46" s="16">
        <v>0</v>
      </c>
      <c r="P46" s="16">
        <v>0</v>
      </c>
      <c r="Q46" s="169">
        <v>0</v>
      </c>
      <c r="R46" s="4" t="s">
        <v>28</v>
      </c>
      <c r="S46" s="2"/>
      <c r="T46" s="47"/>
      <c r="U46" s="2"/>
      <c r="V46" s="2"/>
      <c r="W46" s="2"/>
      <c r="X46" s="2"/>
      <c r="Y46" s="2"/>
    </row>
    <row r="47" spans="1:26">
      <c r="A47" s="146" t="s">
        <v>67</v>
      </c>
      <c r="B47" s="149">
        <v>4</v>
      </c>
      <c r="C47" s="149">
        <f>B47</f>
        <v>4</v>
      </c>
      <c r="D47" s="149">
        <f t="shared" ref="D47:Q47" si="16">C47</f>
        <v>4</v>
      </c>
      <c r="E47" s="149">
        <f t="shared" si="16"/>
        <v>4</v>
      </c>
      <c r="F47" s="149">
        <f t="shared" si="16"/>
        <v>4</v>
      </c>
      <c r="G47" s="149">
        <f t="shared" si="16"/>
        <v>4</v>
      </c>
      <c r="H47" s="149">
        <f t="shared" si="16"/>
        <v>4</v>
      </c>
      <c r="I47" s="149">
        <f t="shared" si="16"/>
        <v>4</v>
      </c>
      <c r="J47" s="149">
        <f t="shared" si="16"/>
        <v>4</v>
      </c>
      <c r="K47" s="149">
        <f t="shared" si="16"/>
        <v>4</v>
      </c>
      <c r="L47" s="149">
        <f t="shared" si="16"/>
        <v>4</v>
      </c>
      <c r="M47" s="149">
        <f t="shared" si="16"/>
        <v>4</v>
      </c>
      <c r="N47" s="149">
        <f t="shared" si="16"/>
        <v>4</v>
      </c>
      <c r="O47" s="149">
        <f t="shared" si="16"/>
        <v>4</v>
      </c>
      <c r="P47" s="149">
        <f t="shared" si="16"/>
        <v>4</v>
      </c>
      <c r="Q47" s="155">
        <f t="shared" si="16"/>
        <v>4</v>
      </c>
      <c r="R47" s="4" t="s">
        <v>138</v>
      </c>
      <c r="S47" s="2"/>
      <c r="V47" s="2"/>
      <c r="W47" s="2"/>
      <c r="X47" s="2"/>
      <c r="Y47" s="2"/>
    </row>
    <row r="48" spans="1:26">
      <c r="A48" s="146" t="s">
        <v>361</v>
      </c>
      <c r="B48" s="16">
        <v>0</v>
      </c>
      <c r="C48" s="16">
        <v>0</v>
      </c>
      <c r="D48" s="16">
        <v>0</v>
      </c>
      <c r="E48" s="16">
        <v>0</v>
      </c>
      <c r="F48" s="16">
        <v>0</v>
      </c>
      <c r="G48" s="16">
        <v>0</v>
      </c>
      <c r="H48" s="16">
        <v>0</v>
      </c>
      <c r="I48" s="16">
        <v>0</v>
      </c>
      <c r="J48" s="16">
        <v>0</v>
      </c>
      <c r="K48" s="16">
        <v>0</v>
      </c>
      <c r="L48" s="16">
        <v>0</v>
      </c>
      <c r="M48" s="16">
        <v>0</v>
      </c>
      <c r="N48" s="16">
        <v>0</v>
      </c>
      <c r="O48" s="16">
        <v>0</v>
      </c>
      <c r="P48" s="16">
        <v>0</v>
      </c>
      <c r="Q48" s="169">
        <v>0</v>
      </c>
      <c r="R48" s="4" t="s">
        <v>362</v>
      </c>
      <c r="S48" s="2"/>
      <c r="T48" s="47"/>
      <c r="U48" s="2"/>
      <c r="V48" s="2"/>
      <c r="W48" s="2"/>
      <c r="X48" s="2"/>
      <c r="Y48" s="2"/>
    </row>
    <row r="49" spans="1:25">
      <c r="A49" s="146" t="s">
        <v>19</v>
      </c>
      <c r="B49" s="147">
        <v>2</v>
      </c>
      <c r="C49" s="147">
        <f>B49</f>
        <v>2</v>
      </c>
      <c r="D49" s="147">
        <f t="shared" ref="D49:Q49" si="17">C49</f>
        <v>2</v>
      </c>
      <c r="E49" s="147">
        <f t="shared" si="17"/>
        <v>2</v>
      </c>
      <c r="F49" s="147">
        <f t="shared" si="17"/>
        <v>2</v>
      </c>
      <c r="G49" s="147">
        <f t="shared" si="17"/>
        <v>2</v>
      </c>
      <c r="H49" s="147">
        <f t="shared" si="17"/>
        <v>2</v>
      </c>
      <c r="I49" s="147">
        <f t="shared" si="17"/>
        <v>2</v>
      </c>
      <c r="J49" s="147">
        <f t="shared" si="17"/>
        <v>2</v>
      </c>
      <c r="K49" s="147">
        <f t="shared" si="17"/>
        <v>2</v>
      </c>
      <c r="L49" s="147">
        <f t="shared" si="17"/>
        <v>2</v>
      </c>
      <c r="M49" s="147">
        <f t="shared" si="17"/>
        <v>2</v>
      </c>
      <c r="N49" s="147">
        <f t="shared" si="17"/>
        <v>2</v>
      </c>
      <c r="O49" s="147">
        <f t="shared" si="17"/>
        <v>2</v>
      </c>
      <c r="P49" s="147">
        <f t="shared" si="17"/>
        <v>2</v>
      </c>
      <c r="Q49" s="154">
        <f t="shared" si="17"/>
        <v>2</v>
      </c>
      <c r="R49" s="4" t="s">
        <v>155</v>
      </c>
      <c r="S49" s="2"/>
      <c r="T49" s="47"/>
      <c r="U49" s="2"/>
      <c r="V49" s="2"/>
      <c r="W49" s="2"/>
      <c r="X49" s="2"/>
      <c r="Y49" s="2"/>
    </row>
    <row r="50" spans="1:25">
      <c r="A50" s="146" t="s">
        <v>20</v>
      </c>
      <c r="B50" s="147">
        <v>2</v>
      </c>
      <c r="C50" s="147">
        <f t="shared" ref="C50:Q50" si="18">B50</f>
        <v>2</v>
      </c>
      <c r="D50" s="147">
        <f t="shared" si="18"/>
        <v>2</v>
      </c>
      <c r="E50" s="147">
        <f t="shared" si="18"/>
        <v>2</v>
      </c>
      <c r="F50" s="147">
        <f t="shared" si="18"/>
        <v>2</v>
      </c>
      <c r="G50" s="147">
        <f t="shared" si="18"/>
        <v>2</v>
      </c>
      <c r="H50" s="147">
        <f t="shared" si="18"/>
        <v>2</v>
      </c>
      <c r="I50" s="147">
        <f t="shared" si="18"/>
        <v>2</v>
      </c>
      <c r="J50" s="147">
        <f t="shared" si="18"/>
        <v>2</v>
      </c>
      <c r="K50" s="147">
        <f t="shared" si="18"/>
        <v>2</v>
      </c>
      <c r="L50" s="147">
        <f t="shared" si="18"/>
        <v>2</v>
      </c>
      <c r="M50" s="147">
        <f t="shared" si="18"/>
        <v>2</v>
      </c>
      <c r="N50" s="147">
        <f t="shared" si="18"/>
        <v>2</v>
      </c>
      <c r="O50" s="147">
        <f t="shared" si="18"/>
        <v>2</v>
      </c>
      <c r="P50" s="147">
        <f t="shared" si="18"/>
        <v>2</v>
      </c>
      <c r="Q50" s="154">
        <f t="shared" si="18"/>
        <v>2</v>
      </c>
      <c r="R50" s="4" t="s">
        <v>155</v>
      </c>
      <c r="S50" s="2"/>
      <c r="T50" s="47"/>
      <c r="U50" s="2"/>
      <c r="V50" s="2"/>
      <c r="W50" s="2"/>
      <c r="X50" s="2"/>
      <c r="Y50" s="2"/>
    </row>
    <row r="51" spans="1:25">
      <c r="A51" s="146" t="s">
        <v>369</v>
      </c>
      <c r="B51" s="147">
        <v>3</v>
      </c>
      <c r="C51" s="147">
        <f t="shared" ref="C51:Q53" si="19">B51</f>
        <v>3</v>
      </c>
      <c r="D51" s="147">
        <f t="shared" si="19"/>
        <v>3</v>
      </c>
      <c r="E51" s="147">
        <f t="shared" si="19"/>
        <v>3</v>
      </c>
      <c r="F51" s="147">
        <f t="shared" si="19"/>
        <v>3</v>
      </c>
      <c r="G51" s="147">
        <f t="shared" si="19"/>
        <v>3</v>
      </c>
      <c r="H51" s="147">
        <f t="shared" si="19"/>
        <v>3</v>
      </c>
      <c r="I51" s="147">
        <f t="shared" si="19"/>
        <v>3</v>
      </c>
      <c r="J51" s="147">
        <f t="shared" si="19"/>
        <v>3</v>
      </c>
      <c r="K51" s="147">
        <f t="shared" si="19"/>
        <v>3</v>
      </c>
      <c r="L51" s="147">
        <f t="shared" si="19"/>
        <v>3</v>
      </c>
      <c r="M51" s="147">
        <f t="shared" si="19"/>
        <v>3</v>
      </c>
      <c r="N51" s="147">
        <f t="shared" si="19"/>
        <v>3</v>
      </c>
      <c r="O51" s="147">
        <f t="shared" si="19"/>
        <v>3</v>
      </c>
      <c r="P51" s="147">
        <f t="shared" si="19"/>
        <v>3</v>
      </c>
      <c r="Q51" s="154">
        <f t="shared" si="19"/>
        <v>3</v>
      </c>
      <c r="R51" s="4" t="s">
        <v>154</v>
      </c>
      <c r="S51" s="2"/>
      <c r="T51" s="16"/>
      <c r="U51" s="4"/>
    </row>
    <row r="52" spans="1:25" s="144" customFormat="1">
      <c r="A52" s="148" t="s">
        <v>415</v>
      </c>
      <c r="B52" s="149">
        <v>8</v>
      </c>
      <c r="C52" s="149">
        <f t="shared" si="19"/>
        <v>8</v>
      </c>
      <c r="D52" s="149">
        <f t="shared" si="19"/>
        <v>8</v>
      </c>
      <c r="E52" s="149">
        <f t="shared" si="19"/>
        <v>8</v>
      </c>
      <c r="F52" s="149">
        <f t="shared" si="19"/>
        <v>8</v>
      </c>
      <c r="G52" s="149">
        <f t="shared" si="19"/>
        <v>8</v>
      </c>
      <c r="H52" s="149">
        <f t="shared" si="19"/>
        <v>8</v>
      </c>
      <c r="I52" s="149">
        <f t="shared" si="19"/>
        <v>8</v>
      </c>
      <c r="J52" s="149">
        <f t="shared" si="19"/>
        <v>8</v>
      </c>
      <c r="K52" s="149">
        <f t="shared" si="19"/>
        <v>8</v>
      </c>
      <c r="L52" s="149">
        <f t="shared" si="19"/>
        <v>8</v>
      </c>
      <c r="M52" s="149">
        <f t="shared" si="19"/>
        <v>8</v>
      </c>
      <c r="N52" s="149">
        <f t="shared" si="19"/>
        <v>8</v>
      </c>
      <c r="O52" s="149">
        <f t="shared" si="19"/>
        <v>8</v>
      </c>
      <c r="P52" s="149">
        <f t="shared" si="19"/>
        <v>8</v>
      </c>
      <c r="Q52" s="155">
        <f t="shared" si="19"/>
        <v>8</v>
      </c>
      <c r="R52" s="4" t="s">
        <v>405</v>
      </c>
      <c r="S52" s="145"/>
      <c r="T52" s="16"/>
      <c r="U52" s="4"/>
    </row>
    <row r="53" spans="1:25" s="144" customFormat="1">
      <c r="A53" s="148" t="s">
        <v>416</v>
      </c>
      <c r="B53" s="149">
        <v>1</v>
      </c>
      <c r="C53" s="149">
        <f t="shared" si="19"/>
        <v>1</v>
      </c>
      <c r="D53" s="149">
        <f t="shared" si="19"/>
        <v>1</v>
      </c>
      <c r="E53" s="149">
        <f t="shared" si="19"/>
        <v>1</v>
      </c>
      <c r="F53" s="149">
        <f t="shared" si="19"/>
        <v>1</v>
      </c>
      <c r="G53" s="149">
        <f t="shared" si="19"/>
        <v>1</v>
      </c>
      <c r="H53" s="149">
        <f t="shared" si="19"/>
        <v>1</v>
      </c>
      <c r="I53" s="149">
        <f t="shared" si="19"/>
        <v>1</v>
      </c>
      <c r="J53" s="149">
        <f t="shared" si="19"/>
        <v>1</v>
      </c>
      <c r="K53" s="149">
        <f t="shared" si="19"/>
        <v>1</v>
      </c>
      <c r="L53" s="149">
        <f t="shared" si="19"/>
        <v>1</v>
      </c>
      <c r="M53" s="149">
        <f t="shared" si="19"/>
        <v>1</v>
      </c>
      <c r="N53" s="149">
        <f t="shared" si="19"/>
        <v>1</v>
      </c>
      <c r="O53" s="149">
        <f t="shared" si="19"/>
        <v>1</v>
      </c>
      <c r="P53" s="149">
        <f t="shared" si="19"/>
        <v>1</v>
      </c>
      <c r="Q53" s="155">
        <f t="shared" si="19"/>
        <v>1</v>
      </c>
      <c r="R53" s="4" t="s">
        <v>417</v>
      </c>
      <c r="S53" s="145"/>
      <c r="T53" s="16"/>
      <c r="U53" s="4"/>
    </row>
    <row r="54" spans="1:25">
      <c r="A54" s="146" t="s">
        <v>30</v>
      </c>
      <c r="B54" s="149">
        <v>2</v>
      </c>
      <c r="C54" s="147">
        <f t="shared" ref="C54:Q54" si="20">B54</f>
        <v>2</v>
      </c>
      <c r="D54" s="147">
        <f t="shared" si="20"/>
        <v>2</v>
      </c>
      <c r="E54" s="147">
        <f t="shared" si="20"/>
        <v>2</v>
      </c>
      <c r="F54" s="147">
        <f t="shared" si="20"/>
        <v>2</v>
      </c>
      <c r="G54" s="147">
        <f t="shared" si="20"/>
        <v>2</v>
      </c>
      <c r="H54" s="147">
        <f t="shared" si="20"/>
        <v>2</v>
      </c>
      <c r="I54" s="147">
        <f t="shared" si="20"/>
        <v>2</v>
      </c>
      <c r="J54" s="147">
        <f t="shared" si="20"/>
        <v>2</v>
      </c>
      <c r="K54" s="147">
        <f t="shared" si="20"/>
        <v>2</v>
      </c>
      <c r="L54" s="147">
        <f t="shared" si="20"/>
        <v>2</v>
      </c>
      <c r="M54" s="147">
        <f t="shared" si="20"/>
        <v>2</v>
      </c>
      <c r="N54" s="147">
        <f t="shared" si="20"/>
        <v>2</v>
      </c>
      <c r="O54" s="147">
        <f t="shared" si="20"/>
        <v>2</v>
      </c>
      <c r="P54" s="147">
        <f t="shared" si="20"/>
        <v>2</v>
      </c>
      <c r="Q54" s="154">
        <f t="shared" si="20"/>
        <v>2</v>
      </c>
      <c r="R54" s="4" t="s">
        <v>156</v>
      </c>
      <c r="S54" s="2"/>
      <c r="T54" s="16"/>
      <c r="U54" s="4"/>
    </row>
    <row r="55" spans="1:25">
      <c r="A55" s="146" t="s">
        <v>371</v>
      </c>
      <c r="B55" s="149">
        <v>2</v>
      </c>
      <c r="C55" s="147">
        <f t="shared" ref="C55:Q55" si="21">B55</f>
        <v>2</v>
      </c>
      <c r="D55" s="147">
        <f t="shared" si="21"/>
        <v>2</v>
      </c>
      <c r="E55" s="147">
        <f t="shared" si="21"/>
        <v>2</v>
      </c>
      <c r="F55" s="147">
        <f t="shared" si="21"/>
        <v>2</v>
      </c>
      <c r="G55" s="147">
        <f t="shared" si="21"/>
        <v>2</v>
      </c>
      <c r="H55" s="147">
        <f t="shared" si="21"/>
        <v>2</v>
      </c>
      <c r="I55" s="147">
        <f t="shared" si="21"/>
        <v>2</v>
      </c>
      <c r="J55" s="147">
        <f t="shared" si="21"/>
        <v>2</v>
      </c>
      <c r="K55" s="147">
        <f t="shared" si="21"/>
        <v>2</v>
      </c>
      <c r="L55" s="147">
        <f t="shared" si="21"/>
        <v>2</v>
      </c>
      <c r="M55" s="147">
        <f t="shared" si="21"/>
        <v>2</v>
      </c>
      <c r="N55" s="147">
        <f t="shared" si="21"/>
        <v>2</v>
      </c>
      <c r="O55" s="147">
        <f t="shared" si="21"/>
        <v>2</v>
      </c>
      <c r="P55" s="147">
        <f t="shared" si="21"/>
        <v>2</v>
      </c>
      <c r="Q55" s="154">
        <f t="shared" si="21"/>
        <v>2</v>
      </c>
      <c r="R55" s="4" t="s">
        <v>18</v>
      </c>
      <c r="S55" s="2"/>
      <c r="T55" s="16"/>
      <c r="U55" s="4"/>
    </row>
    <row r="56" spans="1:25">
      <c r="A56" s="146" t="s">
        <v>21</v>
      </c>
      <c r="B56" s="149">
        <v>1.5</v>
      </c>
      <c r="C56" s="147">
        <f t="shared" ref="C56:Q56" si="22">B56</f>
        <v>1.5</v>
      </c>
      <c r="D56" s="147">
        <f t="shared" si="22"/>
        <v>1.5</v>
      </c>
      <c r="E56" s="147">
        <f t="shared" si="22"/>
        <v>1.5</v>
      </c>
      <c r="F56" s="147">
        <f t="shared" si="22"/>
        <v>1.5</v>
      </c>
      <c r="G56" s="147">
        <f t="shared" si="22"/>
        <v>1.5</v>
      </c>
      <c r="H56" s="147">
        <f t="shared" si="22"/>
        <v>1.5</v>
      </c>
      <c r="I56" s="147">
        <f t="shared" si="22"/>
        <v>1.5</v>
      </c>
      <c r="J56" s="147">
        <f t="shared" si="22"/>
        <v>1.5</v>
      </c>
      <c r="K56" s="147">
        <f t="shared" si="22"/>
        <v>1.5</v>
      </c>
      <c r="L56" s="147">
        <f t="shared" si="22"/>
        <v>1.5</v>
      </c>
      <c r="M56" s="147">
        <f t="shared" si="22"/>
        <v>1.5</v>
      </c>
      <c r="N56" s="147">
        <f t="shared" si="22"/>
        <v>1.5</v>
      </c>
      <c r="O56" s="147">
        <f t="shared" si="22"/>
        <v>1.5</v>
      </c>
      <c r="P56" s="147">
        <f t="shared" si="22"/>
        <v>1.5</v>
      </c>
      <c r="Q56" s="154">
        <f t="shared" si="22"/>
        <v>1.5</v>
      </c>
      <c r="R56" s="4" t="s">
        <v>137</v>
      </c>
      <c r="S56" s="2"/>
      <c r="T56" s="16"/>
      <c r="U56" s="4"/>
    </row>
    <row r="57" spans="1:25">
      <c r="A57" s="146" t="s">
        <v>24</v>
      </c>
      <c r="B57" s="149">
        <v>2</v>
      </c>
      <c r="C57" s="147">
        <f t="shared" ref="C57:Q57" si="23">B57</f>
        <v>2</v>
      </c>
      <c r="D57" s="147">
        <f t="shared" si="23"/>
        <v>2</v>
      </c>
      <c r="E57" s="147">
        <f t="shared" si="23"/>
        <v>2</v>
      </c>
      <c r="F57" s="147">
        <f t="shared" si="23"/>
        <v>2</v>
      </c>
      <c r="G57" s="147">
        <f t="shared" si="23"/>
        <v>2</v>
      </c>
      <c r="H57" s="147">
        <f t="shared" si="23"/>
        <v>2</v>
      </c>
      <c r="I57" s="147">
        <f t="shared" si="23"/>
        <v>2</v>
      </c>
      <c r="J57" s="147">
        <f t="shared" si="23"/>
        <v>2</v>
      </c>
      <c r="K57" s="147">
        <f t="shared" si="23"/>
        <v>2</v>
      </c>
      <c r="L57" s="147">
        <f t="shared" si="23"/>
        <v>2</v>
      </c>
      <c r="M57" s="147">
        <f t="shared" si="23"/>
        <v>2</v>
      </c>
      <c r="N57" s="147">
        <f t="shared" si="23"/>
        <v>2</v>
      </c>
      <c r="O57" s="147">
        <f t="shared" si="23"/>
        <v>2</v>
      </c>
      <c r="P57" s="147">
        <f t="shared" si="23"/>
        <v>2</v>
      </c>
      <c r="Q57" s="154">
        <f t="shared" si="23"/>
        <v>2</v>
      </c>
      <c r="R57" s="4" t="s">
        <v>136</v>
      </c>
      <c r="S57" s="2"/>
      <c r="T57" s="16"/>
      <c r="U57" s="4"/>
    </row>
    <row r="58" spans="1:25">
      <c r="A58" s="10" t="s">
        <v>29</v>
      </c>
      <c r="B58" s="149">
        <v>1.5</v>
      </c>
      <c r="C58" s="149">
        <f t="shared" ref="C58:Q58" si="24">B58</f>
        <v>1.5</v>
      </c>
      <c r="D58" s="149">
        <f t="shared" si="24"/>
        <v>1.5</v>
      </c>
      <c r="E58" s="149">
        <f t="shared" si="24"/>
        <v>1.5</v>
      </c>
      <c r="F58" s="149">
        <f t="shared" si="24"/>
        <v>1.5</v>
      </c>
      <c r="G58" s="149">
        <f t="shared" si="24"/>
        <v>1.5</v>
      </c>
      <c r="H58" s="149">
        <f t="shared" si="24"/>
        <v>1.5</v>
      </c>
      <c r="I58" s="149">
        <f t="shared" si="24"/>
        <v>1.5</v>
      </c>
      <c r="J58" s="149">
        <f t="shared" si="24"/>
        <v>1.5</v>
      </c>
      <c r="K58" s="149">
        <f t="shared" si="24"/>
        <v>1.5</v>
      </c>
      <c r="L58" s="149">
        <f t="shared" si="24"/>
        <v>1.5</v>
      </c>
      <c r="M58" s="149">
        <f t="shared" si="24"/>
        <v>1.5</v>
      </c>
      <c r="N58" s="149">
        <f t="shared" si="24"/>
        <v>1.5</v>
      </c>
      <c r="O58" s="149">
        <f t="shared" si="24"/>
        <v>1.5</v>
      </c>
      <c r="P58" s="149">
        <f t="shared" si="24"/>
        <v>1.5</v>
      </c>
      <c r="Q58" s="155">
        <f t="shared" si="24"/>
        <v>1.5</v>
      </c>
      <c r="R58" s="4" t="s">
        <v>374</v>
      </c>
      <c r="S58" s="2"/>
      <c r="T58" s="17"/>
      <c r="U58" s="4"/>
    </row>
    <row r="59" spans="1:25">
      <c r="A59" s="146" t="s">
        <v>23</v>
      </c>
      <c r="B59" s="149">
        <v>1.42</v>
      </c>
      <c r="C59" s="147">
        <f t="shared" ref="C59:Q60" si="25">B59</f>
        <v>1.42</v>
      </c>
      <c r="D59" s="147">
        <f t="shared" si="25"/>
        <v>1.42</v>
      </c>
      <c r="E59" s="147">
        <f t="shared" si="25"/>
        <v>1.42</v>
      </c>
      <c r="F59" s="147">
        <f t="shared" si="25"/>
        <v>1.42</v>
      </c>
      <c r="G59" s="147">
        <f t="shared" si="25"/>
        <v>1.42</v>
      </c>
      <c r="H59" s="147">
        <f t="shared" si="25"/>
        <v>1.42</v>
      </c>
      <c r="I59" s="147">
        <f t="shared" si="25"/>
        <v>1.42</v>
      </c>
      <c r="J59" s="147">
        <f t="shared" si="25"/>
        <v>1.42</v>
      </c>
      <c r="K59" s="147">
        <f t="shared" si="25"/>
        <v>1.42</v>
      </c>
      <c r="L59" s="147">
        <f t="shared" si="25"/>
        <v>1.42</v>
      </c>
      <c r="M59" s="147">
        <f t="shared" si="25"/>
        <v>1.42</v>
      </c>
      <c r="N59" s="147">
        <f t="shared" si="25"/>
        <v>1.42</v>
      </c>
      <c r="O59" s="147">
        <f t="shared" si="25"/>
        <v>1.42</v>
      </c>
      <c r="P59" s="147">
        <f t="shared" si="25"/>
        <v>1.42</v>
      </c>
      <c r="Q59" s="154">
        <f t="shared" si="25"/>
        <v>1.42</v>
      </c>
      <c r="R59" s="4" t="s">
        <v>363</v>
      </c>
      <c r="S59" s="2"/>
      <c r="T59" s="2"/>
    </row>
    <row r="60" spans="1:25" s="144" customFormat="1">
      <c r="A60" s="146" t="s">
        <v>219</v>
      </c>
      <c r="B60" s="149">
        <v>0.11</v>
      </c>
      <c r="C60" s="147">
        <f t="shared" si="25"/>
        <v>0.11</v>
      </c>
      <c r="D60" s="147">
        <f t="shared" si="25"/>
        <v>0.11</v>
      </c>
      <c r="E60" s="147">
        <f t="shared" si="25"/>
        <v>0.11</v>
      </c>
      <c r="F60" s="147">
        <f t="shared" si="25"/>
        <v>0.11</v>
      </c>
      <c r="G60" s="147">
        <f t="shared" si="25"/>
        <v>0.11</v>
      </c>
      <c r="H60" s="147">
        <f t="shared" si="25"/>
        <v>0.11</v>
      </c>
      <c r="I60" s="147">
        <f t="shared" si="25"/>
        <v>0.11</v>
      </c>
      <c r="J60" s="147">
        <f t="shared" si="25"/>
        <v>0.11</v>
      </c>
      <c r="K60" s="147">
        <f t="shared" si="25"/>
        <v>0.11</v>
      </c>
      <c r="L60" s="147">
        <f t="shared" si="25"/>
        <v>0.11</v>
      </c>
      <c r="M60" s="147">
        <f t="shared" si="25"/>
        <v>0.11</v>
      </c>
      <c r="N60" s="147">
        <f t="shared" si="25"/>
        <v>0.11</v>
      </c>
      <c r="O60" s="147">
        <f t="shared" si="25"/>
        <v>0.11</v>
      </c>
      <c r="P60" s="147">
        <f t="shared" si="25"/>
        <v>0.11</v>
      </c>
      <c r="Q60" s="154">
        <f t="shared" si="25"/>
        <v>0.11</v>
      </c>
      <c r="R60" s="4" t="s">
        <v>364</v>
      </c>
      <c r="S60" s="145"/>
      <c r="T60" s="145"/>
    </row>
    <row r="61" spans="1:25">
      <c r="A61" s="146" t="s">
        <v>372</v>
      </c>
      <c r="B61" s="125">
        <v>0.09</v>
      </c>
      <c r="C61" s="125">
        <v>0.09</v>
      </c>
      <c r="D61" s="125">
        <v>0.09</v>
      </c>
      <c r="E61" s="125">
        <v>0.09</v>
      </c>
      <c r="F61" s="125">
        <v>0.09</v>
      </c>
      <c r="G61" s="125">
        <v>0.09</v>
      </c>
      <c r="H61" s="125">
        <v>0.09</v>
      </c>
      <c r="I61" s="125">
        <v>0.09</v>
      </c>
      <c r="J61" s="125">
        <v>0.09</v>
      </c>
      <c r="K61" s="125">
        <v>0.09</v>
      </c>
      <c r="L61" s="125">
        <v>0.09</v>
      </c>
      <c r="M61" s="125">
        <v>0.09</v>
      </c>
      <c r="N61" s="125">
        <v>0.09</v>
      </c>
      <c r="O61" s="125">
        <v>0.09</v>
      </c>
      <c r="P61" s="125">
        <v>0.09</v>
      </c>
      <c r="Q61" s="168">
        <v>0.09</v>
      </c>
      <c r="R61" s="4" t="s">
        <v>248</v>
      </c>
      <c r="S61" s="2"/>
    </row>
    <row r="62" spans="1:25">
      <c r="A62" s="146" t="s">
        <v>367</v>
      </c>
      <c r="B62" s="16">
        <v>0</v>
      </c>
      <c r="C62" s="16">
        <v>0</v>
      </c>
      <c r="D62" s="16">
        <v>0</v>
      </c>
      <c r="E62" s="16">
        <v>0</v>
      </c>
      <c r="F62" s="16">
        <v>0</v>
      </c>
      <c r="G62" s="16">
        <v>0</v>
      </c>
      <c r="H62" s="16">
        <v>0</v>
      </c>
      <c r="I62" s="16">
        <v>0</v>
      </c>
      <c r="J62" s="16">
        <v>0</v>
      </c>
      <c r="K62" s="16">
        <v>0</v>
      </c>
      <c r="L62" s="16">
        <v>0</v>
      </c>
      <c r="M62" s="16">
        <v>0</v>
      </c>
      <c r="N62" s="16">
        <v>0</v>
      </c>
      <c r="O62" s="16">
        <v>0</v>
      </c>
      <c r="P62" s="16">
        <v>0</v>
      </c>
      <c r="Q62" s="169">
        <v>0</v>
      </c>
      <c r="R62" s="4" t="s">
        <v>247</v>
      </c>
      <c r="S62" s="2"/>
    </row>
    <row r="63" spans="1:25" s="144" customFormat="1">
      <c r="A63" s="146" t="s">
        <v>366</v>
      </c>
      <c r="B63" s="149">
        <v>0.4</v>
      </c>
      <c r="C63" s="147">
        <f t="shared" ref="C63:Q63" si="26">B63</f>
        <v>0.4</v>
      </c>
      <c r="D63" s="147">
        <f t="shared" si="26"/>
        <v>0.4</v>
      </c>
      <c r="E63" s="147">
        <f t="shared" si="26"/>
        <v>0.4</v>
      </c>
      <c r="F63" s="147">
        <f t="shared" si="26"/>
        <v>0.4</v>
      </c>
      <c r="G63" s="147">
        <f t="shared" si="26"/>
        <v>0.4</v>
      </c>
      <c r="H63" s="147">
        <f t="shared" si="26"/>
        <v>0.4</v>
      </c>
      <c r="I63" s="147">
        <f t="shared" si="26"/>
        <v>0.4</v>
      </c>
      <c r="J63" s="147">
        <f t="shared" si="26"/>
        <v>0.4</v>
      </c>
      <c r="K63" s="147">
        <f t="shared" si="26"/>
        <v>0.4</v>
      </c>
      <c r="L63" s="147">
        <f t="shared" si="26"/>
        <v>0.4</v>
      </c>
      <c r="M63" s="147">
        <f t="shared" si="26"/>
        <v>0.4</v>
      </c>
      <c r="N63" s="147">
        <f t="shared" si="26"/>
        <v>0.4</v>
      </c>
      <c r="O63" s="147">
        <f t="shared" si="26"/>
        <v>0.4</v>
      </c>
      <c r="P63" s="147">
        <f t="shared" si="26"/>
        <v>0.4</v>
      </c>
      <c r="Q63" s="154">
        <f t="shared" si="26"/>
        <v>0.4</v>
      </c>
      <c r="R63" s="4" t="s">
        <v>365</v>
      </c>
      <c r="S63" s="145"/>
    </row>
    <row r="64" spans="1:25" s="144" customFormat="1">
      <c r="A64" s="32" t="s">
        <v>360</v>
      </c>
      <c r="B64" s="16"/>
      <c r="C64" s="16"/>
      <c r="D64" s="16"/>
      <c r="E64" s="16"/>
      <c r="F64" s="16"/>
      <c r="G64" s="16"/>
      <c r="H64" s="16"/>
      <c r="I64" s="16"/>
      <c r="J64" s="16"/>
      <c r="K64" s="16"/>
      <c r="L64" s="16"/>
      <c r="M64" s="16"/>
      <c r="N64" s="16"/>
      <c r="O64" s="16"/>
      <c r="P64" s="16"/>
      <c r="Q64" s="169"/>
      <c r="R64" s="4"/>
      <c r="S64" s="145"/>
    </row>
    <row r="65" spans="1:26" s="144" customFormat="1">
      <c r="A65" s="146" t="s">
        <v>280</v>
      </c>
      <c r="B65" s="16">
        <f>'barrel misalignment lateral'!M13</f>
        <v>8.9845749150596552E-2</v>
      </c>
      <c r="C65" s="147">
        <f t="shared" ref="C65:D74" si="27">B65</f>
        <v>8.9845749150596552E-2</v>
      </c>
      <c r="D65" s="147">
        <f t="shared" si="27"/>
        <v>8.9845749150596552E-2</v>
      </c>
      <c r="E65" s="147">
        <f t="shared" ref="E65:E74" si="28">D65</f>
        <v>8.9845749150596552E-2</v>
      </c>
      <c r="F65" s="147">
        <f t="shared" ref="F65:F74" si="29">E65</f>
        <v>8.9845749150596552E-2</v>
      </c>
      <c r="G65" s="147">
        <f t="shared" ref="G65:Q65" si="30">F65</f>
        <v>8.9845749150596552E-2</v>
      </c>
      <c r="H65" s="147">
        <f t="shared" si="30"/>
        <v>8.9845749150596552E-2</v>
      </c>
      <c r="I65" s="147">
        <f t="shared" si="30"/>
        <v>8.9845749150596552E-2</v>
      </c>
      <c r="J65" s="147">
        <f t="shared" si="30"/>
        <v>8.9845749150596552E-2</v>
      </c>
      <c r="K65" s="147">
        <f t="shared" si="30"/>
        <v>8.9845749150596552E-2</v>
      </c>
      <c r="L65" s="147">
        <f t="shared" si="30"/>
        <v>8.9845749150596552E-2</v>
      </c>
      <c r="M65" s="147">
        <f t="shared" si="30"/>
        <v>8.9845749150596552E-2</v>
      </c>
      <c r="N65" s="147">
        <f t="shared" si="30"/>
        <v>8.9845749150596552E-2</v>
      </c>
      <c r="O65" s="147">
        <f t="shared" si="30"/>
        <v>8.9845749150596552E-2</v>
      </c>
      <c r="P65" s="147">
        <f t="shared" si="30"/>
        <v>8.9845749150596552E-2</v>
      </c>
      <c r="Q65" s="154">
        <f t="shared" si="30"/>
        <v>8.9845749150596552E-2</v>
      </c>
      <c r="R65" s="4" t="s">
        <v>286</v>
      </c>
      <c r="S65" s="145"/>
    </row>
    <row r="66" spans="1:26" s="144" customFormat="1">
      <c r="A66" s="146" t="s">
        <v>281</v>
      </c>
      <c r="B66" s="16">
        <f>'barrel misalignment lateral'!J14/2</f>
        <v>6.2162228343419064E-2</v>
      </c>
      <c r="C66" s="147">
        <f t="shared" si="27"/>
        <v>6.2162228343419064E-2</v>
      </c>
      <c r="D66" s="147">
        <f t="shared" si="27"/>
        <v>6.2162228343419064E-2</v>
      </c>
      <c r="E66" s="147">
        <f t="shared" si="28"/>
        <v>6.2162228343419064E-2</v>
      </c>
      <c r="F66" s="147">
        <f t="shared" si="29"/>
        <v>6.2162228343419064E-2</v>
      </c>
      <c r="G66" s="147">
        <f t="shared" ref="G66:G74" si="31">F66</f>
        <v>6.2162228343419064E-2</v>
      </c>
      <c r="H66" s="147">
        <f t="shared" ref="H66:H74" si="32">G66</f>
        <v>6.2162228343419064E-2</v>
      </c>
      <c r="I66" s="147">
        <f t="shared" ref="I66:I74" si="33">H66</f>
        <v>6.2162228343419064E-2</v>
      </c>
      <c r="J66" s="147">
        <f t="shared" ref="J66:J74" si="34">I66</f>
        <v>6.2162228343419064E-2</v>
      </c>
      <c r="K66" s="147">
        <f t="shared" ref="K66:K74" si="35">J66</f>
        <v>6.2162228343419064E-2</v>
      </c>
      <c r="L66" s="147">
        <f t="shared" ref="L66:L74" si="36">K66</f>
        <v>6.2162228343419064E-2</v>
      </c>
      <c r="M66" s="147">
        <f t="shared" ref="M66:M74" si="37">L66</f>
        <v>6.2162228343419064E-2</v>
      </c>
      <c r="N66" s="147">
        <f t="shared" ref="N66:N74" si="38">M66</f>
        <v>6.2162228343419064E-2</v>
      </c>
      <c r="O66" s="147">
        <f t="shared" ref="O66:O74" si="39">N66</f>
        <v>6.2162228343419064E-2</v>
      </c>
      <c r="P66" s="147">
        <f t="shared" ref="P66:P74" si="40">O66</f>
        <v>6.2162228343419064E-2</v>
      </c>
      <c r="Q66" s="154">
        <f t="shared" ref="Q66:Q74" si="41">P66</f>
        <v>6.2162228343419064E-2</v>
      </c>
      <c r="R66" s="4" t="s">
        <v>287</v>
      </c>
      <c r="S66" s="145"/>
    </row>
    <row r="67" spans="1:26" s="144" customFormat="1">
      <c r="A67" s="148" t="s">
        <v>282</v>
      </c>
      <c r="B67" s="16">
        <f>'barrel misalignment lateral'!M15</f>
        <v>1.1729026740188904</v>
      </c>
      <c r="C67" s="147">
        <f t="shared" si="27"/>
        <v>1.1729026740188904</v>
      </c>
      <c r="D67" s="147">
        <f t="shared" si="27"/>
        <v>1.1729026740188904</v>
      </c>
      <c r="E67" s="147">
        <f t="shared" si="28"/>
        <v>1.1729026740188904</v>
      </c>
      <c r="F67" s="147">
        <f t="shared" si="29"/>
        <v>1.1729026740188904</v>
      </c>
      <c r="G67" s="147">
        <f t="shared" si="31"/>
        <v>1.1729026740188904</v>
      </c>
      <c r="H67" s="147">
        <f t="shared" si="32"/>
        <v>1.1729026740188904</v>
      </c>
      <c r="I67" s="147">
        <f t="shared" si="33"/>
        <v>1.1729026740188904</v>
      </c>
      <c r="J67" s="147">
        <f t="shared" si="34"/>
        <v>1.1729026740188904</v>
      </c>
      <c r="K67" s="147">
        <f t="shared" si="35"/>
        <v>1.1729026740188904</v>
      </c>
      <c r="L67" s="147">
        <f t="shared" si="36"/>
        <v>1.1729026740188904</v>
      </c>
      <c r="M67" s="147">
        <f t="shared" si="37"/>
        <v>1.1729026740188904</v>
      </c>
      <c r="N67" s="147">
        <f t="shared" si="38"/>
        <v>1.1729026740188904</v>
      </c>
      <c r="O67" s="147">
        <f t="shared" si="39"/>
        <v>1.1729026740188904</v>
      </c>
      <c r="P67" s="147">
        <f t="shared" si="40"/>
        <v>1.1729026740188904</v>
      </c>
      <c r="Q67" s="154">
        <f t="shared" si="41"/>
        <v>1.1729026740188904</v>
      </c>
      <c r="R67" s="4" t="s">
        <v>288</v>
      </c>
      <c r="S67" s="145"/>
    </row>
    <row r="68" spans="1:26" s="144" customFormat="1">
      <c r="A68" s="146" t="s">
        <v>283</v>
      </c>
      <c r="B68" s="16">
        <f>'barrel misalignment lateral'!M18</f>
        <v>2.2461437287649138E-3</v>
      </c>
      <c r="C68" s="147">
        <f t="shared" si="27"/>
        <v>2.2461437287649138E-3</v>
      </c>
      <c r="D68" s="147">
        <f t="shared" si="27"/>
        <v>2.2461437287649138E-3</v>
      </c>
      <c r="E68" s="147">
        <f t="shared" si="28"/>
        <v>2.2461437287649138E-3</v>
      </c>
      <c r="F68" s="147">
        <f t="shared" si="29"/>
        <v>2.2461437287649138E-3</v>
      </c>
      <c r="G68" s="147">
        <f t="shared" si="31"/>
        <v>2.2461437287649138E-3</v>
      </c>
      <c r="H68" s="147">
        <f t="shared" si="32"/>
        <v>2.2461437287649138E-3</v>
      </c>
      <c r="I68" s="147">
        <f t="shared" si="33"/>
        <v>2.2461437287649138E-3</v>
      </c>
      <c r="J68" s="147">
        <f t="shared" si="34"/>
        <v>2.2461437287649138E-3</v>
      </c>
      <c r="K68" s="147">
        <f t="shared" si="35"/>
        <v>2.2461437287649138E-3</v>
      </c>
      <c r="L68" s="147">
        <f t="shared" si="36"/>
        <v>2.2461437287649138E-3</v>
      </c>
      <c r="M68" s="147">
        <f t="shared" si="37"/>
        <v>2.2461437287649138E-3</v>
      </c>
      <c r="N68" s="147">
        <f t="shared" si="38"/>
        <v>2.2461437287649138E-3</v>
      </c>
      <c r="O68" s="147">
        <f t="shared" si="39"/>
        <v>2.2461437287649138E-3</v>
      </c>
      <c r="P68" s="147">
        <f t="shared" si="40"/>
        <v>2.2461437287649138E-3</v>
      </c>
      <c r="Q68" s="154">
        <f t="shared" si="41"/>
        <v>2.2461437287649138E-3</v>
      </c>
      <c r="R68" s="4" t="s">
        <v>286</v>
      </c>
      <c r="S68" s="145"/>
    </row>
    <row r="69" spans="1:26" s="144" customFormat="1">
      <c r="A69" s="146" t="s">
        <v>284</v>
      </c>
      <c r="B69" s="16">
        <f>'barrel misalignment lateral'!M19</f>
        <v>6.2162228343419067E-3</v>
      </c>
      <c r="C69" s="147">
        <f t="shared" si="27"/>
        <v>6.2162228343419067E-3</v>
      </c>
      <c r="D69" s="147">
        <f t="shared" si="27"/>
        <v>6.2162228343419067E-3</v>
      </c>
      <c r="E69" s="147">
        <f t="shared" si="28"/>
        <v>6.2162228343419067E-3</v>
      </c>
      <c r="F69" s="147">
        <f t="shared" si="29"/>
        <v>6.2162228343419067E-3</v>
      </c>
      <c r="G69" s="147">
        <f t="shared" si="31"/>
        <v>6.2162228343419067E-3</v>
      </c>
      <c r="H69" s="147">
        <f t="shared" si="32"/>
        <v>6.2162228343419067E-3</v>
      </c>
      <c r="I69" s="147">
        <f t="shared" si="33"/>
        <v>6.2162228343419067E-3</v>
      </c>
      <c r="J69" s="147">
        <f t="shared" si="34"/>
        <v>6.2162228343419067E-3</v>
      </c>
      <c r="K69" s="147">
        <f t="shared" si="35"/>
        <v>6.2162228343419067E-3</v>
      </c>
      <c r="L69" s="147">
        <f t="shared" si="36"/>
        <v>6.2162228343419067E-3</v>
      </c>
      <c r="M69" s="147">
        <f t="shared" si="37"/>
        <v>6.2162228343419067E-3</v>
      </c>
      <c r="N69" s="147">
        <f t="shared" si="38"/>
        <v>6.2162228343419067E-3</v>
      </c>
      <c r="O69" s="147">
        <f t="shared" si="39"/>
        <v>6.2162228343419067E-3</v>
      </c>
      <c r="P69" s="147">
        <f t="shared" si="40"/>
        <v>6.2162228343419067E-3</v>
      </c>
      <c r="Q69" s="154">
        <f t="shared" si="41"/>
        <v>6.2162228343419067E-3</v>
      </c>
      <c r="R69" s="4" t="s">
        <v>287</v>
      </c>
      <c r="S69" s="145"/>
    </row>
    <row r="70" spans="1:26" s="144" customFormat="1">
      <c r="A70" s="148" t="s">
        <v>285</v>
      </c>
      <c r="B70" s="16">
        <f>'barrel misalignment lateral'!M20</f>
        <v>0.19548377900314839</v>
      </c>
      <c r="C70" s="147">
        <f t="shared" si="27"/>
        <v>0.19548377900314839</v>
      </c>
      <c r="D70" s="147">
        <f t="shared" si="27"/>
        <v>0.19548377900314839</v>
      </c>
      <c r="E70" s="147">
        <f t="shared" si="28"/>
        <v>0.19548377900314839</v>
      </c>
      <c r="F70" s="147">
        <f t="shared" si="29"/>
        <v>0.19548377900314839</v>
      </c>
      <c r="G70" s="147">
        <f t="shared" si="31"/>
        <v>0.19548377900314839</v>
      </c>
      <c r="H70" s="147">
        <f t="shared" si="32"/>
        <v>0.19548377900314839</v>
      </c>
      <c r="I70" s="147">
        <f t="shared" si="33"/>
        <v>0.19548377900314839</v>
      </c>
      <c r="J70" s="147">
        <f t="shared" si="34"/>
        <v>0.19548377900314839</v>
      </c>
      <c r="K70" s="147">
        <f t="shared" si="35"/>
        <v>0.19548377900314839</v>
      </c>
      <c r="L70" s="147">
        <f t="shared" si="36"/>
        <v>0.19548377900314839</v>
      </c>
      <c r="M70" s="147">
        <f t="shared" si="37"/>
        <v>0.19548377900314839</v>
      </c>
      <c r="N70" s="147">
        <f t="shared" si="38"/>
        <v>0.19548377900314839</v>
      </c>
      <c r="O70" s="147">
        <f t="shared" si="39"/>
        <v>0.19548377900314839</v>
      </c>
      <c r="P70" s="147">
        <f t="shared" si="40"/>
        <v>0.19548377900314839</v>
      </c>
      <c r="Q70" s="154">
        <f t="shared" si="41"/>
        <v>0.19548377900314839</v>
      </c>
      <c r="R70" s="4" t="s">
        <v>288</v>
      </c>
      <c r="S70" s="145"/>
    </row>
    <row r="71" spans="1:26" s="144" customFormat="1">
      <c r="A71" s="43" t="s">
        <v>357</v>
      </c>
      <c r="B71" s="125">
        <f>'barrel misalignment lateral'!M9</f>
        <v>2.9952333366701479E-2</v>
      </c>
      <c r="C71" s="147">
        <f t="shared" si="27"/>
        <v>2.9952333366701479E-2</v>
      </c>
      <c r="D71" s="147">
        <f t="shared" si="27"/>
        <v>2.9952333366701479E-2</v>
      </c>
      <c r="E71" s="147">
        <f t="shared" si="28"/>
        <v>2.9952333366701479E-2</v>
      </c>
      <c r="F71" s="147">
        <f t="shared" si="29"/>
        <v>2.9952333366701479E-2</v>
      </c>
      <c r="G71" s="147">
        <f t="shared" si="31"/>
        <v>2.9952333366701479E-2</v>
      </c>
      <c r="H71" s="147">
        <f t="shared" si="32"/>
        <v>2.9952333366701479E-2</v>
      </c>
      <c r="I71" s="147">
        <f t="shared" si="33"/>
        <v>2.9952333366701479E-2</v>
      </c>
      <c r="J71" s="147">
        <f t="shared" si="34"/>
        <v>2.9952333366701479E-2</v>
      </c>
      <c r="K71" s="147">
        <f t="shared" si="35"/>
        <v>2.9952333366701479E-2</v>
      </c>
      <c r="L71" s="147">
        <f t="shared" si="36"/>
        <v>2.9952333366701479E-2</v>
      </c>
      <c r="M71" s="147">
        <f t="shared" si="37"/>
        <v>2.9952333366701479E-2</v>
      </c>
      <c r="N71" s="147">
        <f t="shared" si="38"/>
        <v>2.9952333366701479E-2</v>
      </c>
      <c r="O71" s="147">
        <f t="shared" si="39"/>
        <v>2.9952333366701479E-2</v>
      </c>
      <c r="P71" s="147">
        <f t="shared" si="40"/>
        <v>2.9952333366701479E-2</v>
      </c>
      <c r="Q71" s="154">
        <f t="shared" si="41"/>
        <v>2.9952333366701479E-2</v>
      </c>
      <c r="R71" s="4" t="s">
        <v>263</v>
      </c>
      <c r="S71" s="145"/>
    </row>
    <row r="72" spans="1:26" s="144" customFormat="1">
      <c r="A72" s="43" t="s">
        <v>356</v>
      </c>
      <c r="B72" s="125">
        <f>'barrel misalignment lateral'!M10</f>
        <v>1.2432445668683813E-2</v>
      </c>
      <c r="C72" s="147">
        <f t="shared" si="27"/>
        <v>1.2432445668683813E-2</v>
      </c>
      <c r="D72" s="147">
        <f t="shared" si="27"/>
        <v>1.2432445668683813E-2</v>
      </c>
      <c r="E72" s="147">
        <f t="shared" si="28"/>
        <v>1.2432445668683813E-2</v>
      </c>
      <c r="F72" s="147">
        <f t="shared" si="29"/>
        <v>1.2432445668683813E-2</v>
      </c>
      <c r="G72" s="147">
        <f t="shared" si="31"/>
        <v>1.2432445668683813E-2</v>
      </c>
      <c r="H72" s="147">
        <f t="shared" si="32"/>
        <v>1.2432445668683813E-2</v>
      </c>
      <c r="I72" s="147">
        <f t="shared" si="33"/>
        <v>1.2432445668683813E-2</v>
      </c>
      <c r="J72" s="147">
        <f t="shared" si="34"/>
        <v>1.2432445668683813E-2</v>
      </c>
      <c r="K72" s="147">
        <f t="shared" si="35"/>
        <v>1.2432445668683813E-2</v>
      </c>
      <c r="L72" s="147">
        <f t="shared" si="36"/>
        <v>1.2432445668683813E-2</v>
      </c>
      <c r="M72" s="147">
        <f t="shared" si="37"/>
        <v>1.2432445668683813E-2</v>
      </c>
      <c r="N72" s="147">
        <f t="shared" si="38"/>
        <v>1.2432445668683813E-2</v>
      </c>
      <c r="O72" s="147">
        <f t="shared" si="39"/>
        <v>1.2432445668683813E-2</v>
      </c>
      <c r="P72" s="147">
        <f t="shared" si="40"/>
        <v>1.2432445668683813E-2</v>
      </c>
      <c r="Q72" s="154">
        <f t="shared" si="41"/>
        <v>1.2432445668683813E-2</v>
      </c>
      <c r="R72" s="4" t="s">
        <v>264</v>
      </c>
      <c r="S72" s="145"/>
    </row>
    <row r="73" spans="1:26" s="144" customFormat="1">
      <c r="A73" s="37" t="s">
        <v>298</v>
      </c>
      <c r="B73" s="125">
        <f>'barrel misalignment lateral'!M11</f>
        <v>0.39096755800629679</v>
      </c>
      <c r="C73" s="147">
        <f t="shared" si="27"/>
        <v>0.39096755800629679</v>
      </c>
      <c r="D73" s="147">
        <f t="shared" si="27"/>
        <v>0.39096755800629679</v>
      </c>
      <c r="E73" s="147">
        <f t="shared" si="28"/>
        <v>0.39096755800629679</v>
      </c>
      <c r="F73" s="147">
        <f t="shared" si="29"/>
        <v>0.39096755800629679</v>
      </c>
      <c r="G73" s="147">
        <f t="shared" si="31"/>
        <v>0.39096755800629679</v>
      </c>
      <c r="H73" s="147">
        <f t="shared" si="32"/>
        <v>0.39096755800629679</v>
      </c>
      <c r="I73" s="147">
        <f t="shared" si="33"/>
        <v>0.39096755800629679</v>
      </c>
      <c r="J73" s="147">
        <f t="shared" si="34"/>
        <v>0.39096755800629679</v>
      </c>
      <c r="K73" s="147">
        <f t="shared" si="35"/>
        <v>0.39096755800629679</v>
      </c>
      <c r="L73" s="147">
        <f t="shared" si="36"/>
        <v>0.39096755800629679</v>
      </c>
      <c r="M73" s="147">
        <f t="shared" si="37"/>
        <v>0.39096755800629679</v>
      </c>
      <c r="N73" s="147">
        <f t="shared" si="38"/>
        <v>0.39096755800629679</v>
      </c>
      <c r="O73" s="147">
        <f t="shared" si="39"/>
        <v>0.39096755800629679</v>
      </c>
      <c r="P73" s="147">
        <f t="shared" si="40"/>
        <v>0.39096755800629679</v>
      </c>
      <c r="Q73" s="154">
        <f t="shared" si="41"/>
        <v>0.39096755800629679</v>
      </c>
      <c r="R73" s="4" t="s">
        <v>265</v>
      </c>
      <c r="S73" s="145"/>
    </row>
    <row r="74" spans="1:26" ht="15" thickBot="1">
      <c r="A74" s="152" t="s">
        <v>297</v>
      </c>
      <c r="B74" s="126">
        <f>'barrel misalignment lateral'!M23</f>
        <v>0.46916106960755616</v>
      </c>
      <c r="C74" s="147">
        <f t="shared" si="27"/>
        <v>0.46916106960755616</v>
      </c>
      <c r="D74" s="147">
        <f t="shared" si="27"/>
        <v>0.46916106960755616</v>
      </c>
      <c r="E74" s="147">
        <f t="shared" si="28"/>
        <v>0.46916106960755616</v>
      </c>
      <c r="F74" s="147">
        <f t="shared" si="29"/>
        <v>0.46916106960755616</v>
      </c>
      <c r="G74" s="147">
        <f t="shared" si="31"/>
        <v>0.46916106960755616</v>
      </c>
      <c r="H74" s="147">
        <f t="shared" si="32"/>
        <v>0.46916106960755616</v>
      </c>
      <c r="I74" s="147">
        <f t="shared" si="33"/>
        <v>0.46916106960755616</v>
      </c>
      <c r="J74" s="147">
        <f t="shared" si="34"/>
        <v>0.46916106960755616</v>
      </c>
      <c r="K74" s="147">
        <f t="shared" si="35"/>
        <v>0.46916106960755616</v>
      </c>
      <c r="L74" s="147">
        <f t="shared" si="36"/>
        <v>0.46916106960755616</v>
      </c>
      <c r="M74" s="147">
        <f t="shared" si="37"/>
        <v>0.46916106960755616</v>
      </c>
      <c r="N74" s="147">
        <f t="shared" si="38"/>
        <v>0.46916106960755616</v>
      </c>
      <c r="O74" s="147">
        <f t="shared" si="39"/>
        <v>0.46916106960755616</v>
      </c>
      <c r="P74" s="147">
        <f t="shared" si="40"/>
        <v>0.46916106960755616</v>
      </c>
      <c r="Q74" s="171">
        <f t="shared" si="41"/>
        <v>0.46916106960755616</v>
      </c>
      <c r="R74" s="4" t="s">
        <v>266</v>
      </c>
      <c r="S74" s="2"/>
    </row>
    <row r="75" spans="1:26" ht="15" thickBot="1">
      <c r="A75" s="119" t="s">
        <v>184</v>
      </c>
      <c r="B75" s="49"/>
      <c r="C75" s="49">
        <f>SQRT(SUMSQ(C44:C74))</f>
        <v>13.475037789077373</v>
      </c>
      <c r="D75" s="150">
        <f t="shared" ref="D75:P75" si="42">SQRT(SUMSQ(D44:D74))</f>
        <v>13.01654440959901</v>
      </c>
      <c r="E75" s="150">
        <f t="shared" si="42"/>
        <v>12.411796426668593</v>
      </c>
      <c r="F75" s="150">
        <f t="shared" si="42"/>
        <v>11.715178791937545</v>
      </c>
      <c r="G75" s="150">
        <f t="shared" si="42"/>
        <v>10.9792787257207</v>
      </c>
      <c r="H75" s="150">
        <f t="shared" si="42"/>
        <v>11.049649032302481</v>
      </c>
      <c r="I75" s="150">
        <f t="shared" si="42"/>
        <v>11.701187039230817</v>
      </c>
      <c r="J75" s="150">
        <f t="shared" si="42"/>
        <v>12.384131787778392</v>
      </c>
      <c r="K75" s="150">
        <f t="shared" si="42"/>
        <v>12.874490848847701</v>
      </c>
      <c r="L75" s="150">
        <f t="shared" si="42"/>
        <v>13.085220357986456</v>
      </c>
      <c r="M75" s="150">
        <f t="shared" si="42"/>
        <v>12.988542700667509</v>
      </c>
      <c r="N75" s="150">
        <f t="shared" si="42"/>
        <v>12.758900117841788</v>
      </c>
      <c r="O75" s="150">
        <f t="shared" si="42"/>
        <v>12.842925645158243</v>
      </c>
      <c r="P75" s="150">
        <f t="shared" si="42"/>
        <v>12.92816207421083</v>
      </c>
      <c r="Q75" s="49"/>
      <c r="R75" s="136"/>
      <c r="S75" s="2"/>
    </row>
    <row r="76" spans="1:26" s="44" customFormat="1" ht="15" thickBot="1">
      <c r="A76" s="43"/>
      <c r="B76" s="141">
        <v>0.89591010945300908</v>
      </c>
      <c r="C76" s="17">
        <v>0.89728707250940465</v>
      </c>
      <c r="D76" s="17">
        <v>0.89783266164495767</v>
      </c>
      <c r="E76" s="17">
        <v>0.89876795730590564</v>
      </c>
      <c r="F76" s="17">
        <v>0.89980717470695892</v>
      </c>
      <c r="G76" s="17">
        <v>0.89993707688209057</v>
      </c>
      <c r="H76" s="17">
        <v>0.89980717470695892</v>
      </c>
      <c r="I76" s="17">
        <v>0.89965129209680084</v>
      </c>
      <c r="J76" s="17">
        <v>0.89941746818156398</v>
      </c>
      <c r="K76" s="17">
        <v>0.89913168339627425</v>
      </c>
      <c r="L76" s="17">
        <v>0.89876795730590564</v>
      </c>
      <c r="M76" s="17">
        <v>0.89876795730590564</v>
      </c>
      <c r="N76" s="17">
        <v>0.89832628991045793</v>
      </c>
      <c r="O76" s="17">
        <v>0.89832628991045793</v>
      </c>
      <c r="P76" s="17">
        <v>0.89783266164495767</v>
      </c>
      <c r="Q76" s="17">
        <v>0.89783266164495767</v>
      </c>
      <c r="R76" s="136"/>
      <c r="S76" s="2"/>
      <c r="T76" s="2"/>
    </row>
    <row r="77" spans="1:26" s="44" customFormat="1" ht="15" thickBot="1">
      <c r="A77" s="48" t="s">
        <v>159</v>
      </c>
      <c r="B77" s="49">
        <f t="shared" ref="B77:Q77" si="43">PRODUCT(B78:B86)</f>
        <v>0.89291028483572055</v>
      </c>
      <c r="C77" s="150">
        <f t="shared" si="43"/>
        <v>0.89428263733171498</v>
      </c>
      <c r="D77" s="150">
        <f t="shared" si="43"/>
        <v>0.89482639964144861</v>
      </c>
      <c r="E77" s="150">
        <f t="shared" si="43"/>
        <v>0.89575856360099193</v>
      </c>
      <c r="F77" s="150">
        <f t="shared" si="43"/>
        <v>0.89679430133381799</v>
      </c>
      <c r="G77" s="150">
        <f t="shared" si="43"/>
        <v>0.89692376855042122</v>
      </c>
      <c r="H77" s="150">
        <f t="shared" si="43"/>
        <v>0.89679430133381799</v>
      </c>
      <c r="I77" s="150">
        <f t="shared" si="43"/>
        <v>0.89663894067389405</v>
      </c>
      <c r="J77" s="150">
        <f t="shared" si="43"/>
        <v>0.89640589968400819</v>
      </c>
      <c r="K77" s="150">
        <f t="shared" si="43"/>
        <v>0.89612107180748113</v>
      </c>
      <c r="L77" s="150">
        <f t="shared" si="43"/>
        <v>0.89575856360099193</v>
      </c>
      <c r="M77" s="150">
        <f t="shared" si="43"/>
        <v>0.89575856360099193</v>
      </c>
      <c r="N77" s="150">
        <f t="shared" si="43"/>
        <v>0.89531837506454093</v>
      </c>
      <c r="O77" s="150">
        <f t="shared" si="43"/>
        <v>0.89531837506454093</v>
      </c>
      <c r="P77" s="150">
        <f t="shared" si="43"/>
        <v>0.89482639964144861</v>
      </c>
      <c r="Q77" s="150">
        <f t="shared" si="43"/>
        <v>0.89482639964144861</v>
      </c>
      <c r="S77" s="2"/>
      <c r="T77" s="2"/>
      <c r="U77" s="2"/>
      <c r="V77" s="2"/>
      <c r="W77" s="2"/>
      <c r="X77" s="2"/>
      <c r="Y77" s="2"/>
      <c r="Z77" s="2"/>
    </row>
    <row r="78" spans="1:26">
      <c r="A78" s="186" t="s">
        <v>31</v>
      </c>
      <c r="B78" s="187">
        <v>1</v>
      </c>
      <c r="C78" s="187">
        <v>1</v>
      </c>
      <c r="D78" s="187">
        <v>1</v>
      </c>
      <c r="E78" s="187">
        <v>1</v>
      </c>
      <c r="F78" s="187">
        <v>1</v>
      </c>
      <c r="G78" s="187">
        <v>1</v>
      </c>
      <c r="H78" s="187">
        <v>1</v>
      </c>
      <c r="I78" s="187">
        <v>1</v>
      </c>
      <c r="J78" s="187">
        <v>1</v>
      </c>
      <c r="K78" s="187">
        <v>1</v>
      </c>
      <c r="L78" s="187">
        <v>1</v>
      </c>
      <c r="M78" s="187">
        <v>1</v>
      </c>
      <c r="N78" s="187">
        <v>1</v>
      </c>
      <c r="O78" s="187">
        <v>1</v>
      </c>
      <c r="P78" s="187">
        <v>1</v>
      </c>
      <c r="Q78" s="188">
        <v>1</v>
      </c>
      <c r="R78" s="4" t="s">
        <v>378</v>
      </c>
      <c r="S78" s="2"/>
      <c r="T78" s="2"/>
      <c r="U78" s="2"/>
      <c r="V78" s="2"/>
      <c r="W78" s="2"/>
      <c r="X78" s="2"/>
      <c r="Y78" s="2"/>
      <c r="Z78" s="2"/>
    </row>
    <row r="79" spans="1:26" s="144" customFormat="1">
      <c r="A79" s="185" t="s">
        <v>400</v>
      </c>
      <c r="B79" s="180">
        <v>0.93</v>
      </c>
      <c r="C79" s="180">
        <f t="shared" ref="C79:Q79" si="44">B79</f>
        <v>0.93</v>
      </c>
      <c r="D79" s="180">
        <f t="shared" si="44"/>
        <v>0.93</v>
      </c>
      <c r="E79" s="180">
        <f t="shared" si="44"/>
        <v>0.93</v>
      </c>
      <c r="F79" s="180">
        <f t="shared" si="44"/>
        <v>0.93</v>
      </c>
      <c r="G79" s="180">
        <f t="shared" si="44"/>
        <v>0.93</v>
      </c>
      <c r="H79" s="180">
        <f t="shared" si="44"/>
        <v>0.93</v>
      </c>
      <c r="I79" s="180">
        <f t="shared" si="44"/>
        <v>0.93</v>
      </c>
      <c r="J79" s="180">
        <f t="shared" si="44"/>
        <v>0.93</v>
      </c>
      <c r="K79" s="180">
        <f t="shared" si="44"/>
        <v>0.93</v>
      </c>
      <c r="L79" s="180">
        <f t="shared" si="44"/>
        <v>0.93</v>
      </c>
      <c r="M79" s="180">
        <f t="shared" si="44"/>
        <v>0.93</v>
      </c>
      <c r="N79" s="180">
        <f t="shared" si="44"/>
        <v>0.93</v>
      </c>
      <c r="O79" s="180">
        <f t="shared" si="44"/>
        <v>0.93</v>
      </c>
      <c r="P79" s="180">
        <f t="shared" si="44"/>
        <v>0.93</v>
      </c>
      <c r="Q79" s="189">
        <f t="shared" si="44"/>
        <v>0.93</v>
      </c>
      <c r="R79" s="38" t="s">
        <v>404</v>
      </c>
      <c r="S79" s="145"/>
      <c r="T79" s="145"/>
      <c r="U79" s="145"/>
      <c r="V79" s="145"/>
      <c r="W79" s="145"/>
      <c r="X79" s="145"/>
      <c r="Y79" s="145"/>
      <c r="Z79" s="145"/>
    </row>
    <row r="80" spans="1:26">
      <c r="A80" s="146" t="s">
        <v>389</v>
      </c>
      <c r="B80" s="376">
        <f>'Fiber Tilt'!A18</f>
        <v>0.99426202034189248</v>
      </c>
      <c r="C80" s="16">
        <f>B80</f>
        <v>0.99426202034189248</v>
      </c>
      <c r="D80" s="16">
        <f t="shared" ref="D80:Q83" si="45">C80</f>
        <v>0.99426202034189248</v>
      </c>
      <c r="E80" s="16">
        <f t="shared" si="45"/>
        <v>0.99426202034189248</v>
      </c>
      <c r="F80" s="16">
        <f t="shared" si="45"/>
        <v>0.99426202034189248</v>
      </c>
      <c r="G80" s="16">
        <f t="shared" si="45"/>
        <v>0.99426202034189248</v>
      </c>
      <c r="H80" s="16">
        <f t="shared" si="45"/>
        <v>0.99426202034189248</v>
      </c>
      <c r="I80" s="16">
        <f t="shared" si="45"/>
        <v>0.99426202034189248</v>
      </c>
      <c r="J80" s="16">
        <f t="shared" si="45"/>
        <v>0.99426202034189248</v>
      </c>
      <c r="K80" s="16">
        <f t="shared" si="45"/>
        <v>0.99426202034189248</v>
      </c>
      <c r="L80" s="16">
        <f t="shared" si="45"/>
        <v>0.99426202034189248</v>
      </c>
      <c r="M80" s="16">
        <f t="shared" si="45"/>
        <v>0.99426202034189248</v>
      </c>
      <c r="N80" s="16">
        <f t="shared" si="45"/>
        <v>0.99426202034189248</v>
      </c>
      <c r="O80" s="16">
        <f t="shared" si="45"/>
        <v>0.99426202034189248</v>
      </c>
      <c r="P80" s="16">
        <f t="shared" si="45"/>
        <v>0.99426202034189248</v>
      </c>
      <c r="Q80" s="377">
        <f t="shared" si="45"/>
        <v>0.99426202034189248</v>
      </c>
      <c r="R80" s="4" t="s">
        <v>26</v>
      </c>
      <c r="S80" s="2"/>
      <c r="T80" s="2"/>
      <c r="U80" s="2"/>
      <c r="V80" s="2"/>
      <c r="W80" s="2"/>
      <c r="X80" s="2"/>
      <c r="Y80" s="2"/>
      <c r="Z80" s="2"/>
    </row>
    <row r="81" spans="1:27">
      <c r="A81" s="146" t="s">
        <v>401</v>
      </c>
      <c r="B81" s="141">
        <f>0.97</f>
        <v>0.97</v>
      </c>
      <c r="C81" s="180">
        <f>B81</f>
        <v>0.97</v>
      </c>
      <c r="D81" s="180">
        <f t="shared" si="45"/>
        <v>0.97</v>
      </c>
      <c r="E81" s="180">
        <f t="shared" si="45"/>
        <v>0.97</v>
      </c>
      <c r="F81" s="180">
        <f t="shared" si="45"/>
        <v>0.97</v>
      </c>
      <c r="G81" s="180">
        <f t="shared" si="45"/>
        <v>0.97</v>
      </c>
      <c r="H81" s="180">
        <f t="shared" si="45"/>
        <v>0.97</v>
      </c>
      <c r="I81" s="180">
        <f t="shared" si="45"/>
        <v>0.97</v>
      </c>
      <c r="J81" s="180">
        <f t="shared" si="45"/>
        <v>0.97</v>
      </c>
      <c r="K81" s="180">
        <f t="shared" si="45"/>
        <v>0.97</v>
      </c>
      <c r="L81" s="180">
        <f t="shared" si="45"/>
        <v>0.97</v>
      </c>
      <c r="M81" s="180">
        <f t="shared" si="45"/>
        <v>0.97</v>
      </c>
      <c r="N81" s="180">
        <f t="shared" si="45"/>
        <v>0.97</v>
      </c>
      <c r="O81" s="180">
        <f t="shared" si="45"/>
        <v>0.97</v>
      </c>
      <c r="P81" s="180">
        <f t="shared" si="45"/>
        <v>0.97</v>
      </c>
      <c r="Q81" s="189">
        <f t="shared" si="45"/>
        <v>0.97</v>
      </c>
      <c r="R81" s="4" t="s">
        <v>403</v>
      </c>
      <c r="S81" s="2"/>
      <c r="T81" s="2"/>
      <c r="U81" s="2"/>
      <c r="V81" s="2"/>
      <c r="W81" s="2"/>
      <c r="X81" s="2"/>
      <c r="Y81" s="2"/>
      <c r="Z81" s="2"/>
    </row>
    <row r="82" spans="1:27">
      <c r="A82" s="146" t="s">
        <v>32</v>
      </c>
      <c r="B82" s="141">
        <v>1</v>
      </c>
      <c r="C82" s="180">
        <f>B82</f>
        <v>1</v>
      </c>
      <c r="D82" s="180">
        <f t="shared" si="45"/>
        <v>1</v>
      </c>
      <c r="E82" s="180">
        <f t="shared" si="45"/>
        <v>1</v>
      </c>
      <c r="F82" s="180">
        <f t="shared" si="45"/>
        <v>1</v>
      </c>
      <c r="G82" s="180">
        <f t="shared" si="45"/>
        <v>1</v>
      </c>
      <c r="H82" s="180">
        <f t="shared" si="45"/>
        <v>1</v>
      </c>
      <c r="I82" s="180">
        <f t="shared" si="45"/>
        <v>1</v>
      </c>
      <c r="J82" s="180">
        <f t="shared" si="45"/>
        <v>1</v>
      </c>
      <c r="K82" s="180">
        <f t="shared" si="45"/>
        <v>1</v>
      </c>
      <c r="L82" s="180">
        <f t="shared" si="45"/>
        <v>1</v>
      </c>
      <c r="M82" s="180">
        <f t="shared" si="45"/>
        <v>1</v>
      </c>
      <c r="N82" s="180">
        <f t="shared" si="45"/>
        <v>1</v>
      </c>
      <c r="O82" s="180">
        <f t="shared" si="45"/>
        <v>1</v>
      </c>
      <c r="P82" s="180">
        <f t="shared" si="45"/>
        <v>1</v>
      </c>
      <c r="Q82" s="189">
        <f t="shared" si="45"/>
        <v>1</v>
      </c>
      <c r="R82" s="4" t="s">
        <v>407</v>
      </c>
      <c r="S82" s="2"/>
      <c r="T82" s="2"/>
      <c r="U82" s="2"/>
      <c r="V82" s="2"/>
      <c r="W82" s="2"/>
      <c r="X82" s="2"/>
      <c r="Y82" s="2"/>
      <c r="Z82" s="2"/>
    </row>
    <row r="83" spans="1:27">
      <c r="A83" s="146" t="s">
        <v>34</v>
      </c>
      <c r="B83" s="141">
        <v>1</v>
      </c>
      <c r="C83" s="180">
        <f>B83</f>
        <v>1</v>
      </c>
      <c r="D83" s="180">
        <f t="shared" si="45"/>
        <v>1</v>
      </c>
      <c r="E83" s="180">
        <f t="shared" si="45"/>
        <v>1</v>
      </c>
      <c r="F83" s="180">
        <f t="shared" si="45"/>
        <v>1</v>
      </c>
      <c r="G83" s="180">
        <f t="shared" si="45"/>
        <v>1</v>
      </c>
      <c r="H83" s="180">
        <f t="shared" si="45"/>
        <v>1</v>
      </c>
      <c r="I83" s="180">
        <f t="shared" si="45"/>
        <v>1</v>
      </c>
      <c r="J83" s="180">
        <f t="shared" si="45"/>
        <v>1</v>
      </c>
      <c r="K83" s="180">
        <f t="shared" si="45"/>
        <v>1</v>
      </c>
      <c r="L83" s="180">
        <f t="shared" si="45"/>
        <v>1</v>
      </c>
      <c r="M83" s="180">
        <f t="shared" si="45"/>
        <v>1</v>
      </c>
      <c r="N83" s="180">
        <f t="shared" si="45"/>
        <v>1</v>
      </c>
      <c r="O83" s="180">
        <f t="shared" si="45"/>
        <v>1</v>
      </c>
      <c r="P83" s="180">
        <f t="shared" si="45"/>
        <v>1</v>
      </c>
      <c r="Q83" s="189">
        <f t="shared" si="45"/>
        <v>1</v>
      </c>
      <c r="R83" s="4" t="s">
        <v>406</v>
      </c>
      <c r="S83" s="2"/>
      <c r="T83" s="2"/>
      <c r="U83" s="2"/>
      <c r="V83" s="2"/>
      <c r="W83" s="2"/>
      <c r="X83" s="2"/>
      <c r="Y83" s="2"/>
      <c r="Z83" s="2"/>
    </row>
    <row r="84" spans="1:27" s="144" customFormat="1">
      <c r="A84" s="146" t="s">
        <v>379</v>
      </c>
      <c r="B84" s="141">
        <v>0.99552527889723885</v>
      </c>
      <c r="C84" s="180">
        <v>0.99705534482269909</v>
      </c>
      <c r="D84" s="180">
        <v>0.99766159735920223</v>
      </c>
      <c r="E84" s="180">
        <v>0.99870088742177898</v>
      </c>
      <c r="F84" s="180">
        <v>0.9998556541579755</v>
      </c>
      <c r="G84" s="180">
        <v>1</v>
      </c>
      <c r="H84" s="180">
        <v>0.9998556541579755</v>
      </c>
      <c r="I84" s="180">
        <v>0.99968243914754595</v>
      </c>
      <c r="J84" s="180">
        <v>0.99942261663190179</v>
      </c>
      <c r="K84" s="180">
        <v>0.99910505577944775</v>
      </c>
      <c r="L84" s="180">
        <v>0.99870088742177898</v>
      </c>
      <c r="M84" s="180">
        <v>0.99870088742177898</v>
      </c>
      <c r="N84" s="180">
        <v>0.9982101115588955</v>
      </c>
      <c r="O84" s="180">
        <v>0.9982101115588955</v>
      </c>
      <c r="P84" s="180">
        <v>0.99766159735920223</v>
      </c>
      <c r="Q84" s="189">
        <v>0.99766159735920223</v>
      </c>
      <c r="R84" s="4" t="s">
        <v>402</v>
      </c>
      <c r="S84" s="145"/>
      <c r="T84" s="145"/>
      <c r="U84" s="145"/>
      <c r="V84" s="145"/>
      <c r="W84" s="145"/>
      <c r="X84" s="145"/>
      <c r="Y84" s="145"/>
      <c r="Z84" s="145"/>
    </row>
    <row r="85" spans="1:27" s="144" customFormat="1">
      <c r="A85" s="146" t="s">
        <v>85</v>
      </c>
      <c r="B85" s="141">
        <v>1</v>
      </c>
      <c r="C85" s="180">
        <f t="shared" ref="C85:Q85" si="46">B85</f>
        <v>1</v>
      </c>
      <c r="D85" s="180">
        <f t="shared" si="46"/>
        <v>1</v>
      </c>
      <c r="E85" s="180">
        <f t="shared" si="46"/>
        <v>1</v>
      </c>
      <c r="F85" s="180">
        <f t="shared" si="46"/>
        <v>1</v>
      </c>
      <c r="G85" s="180">
        <f t="shared" si="46"/>
        <v>1</v>
      </c>
      <c r="H85" s="180">
        <f t="shared" si="46"/>
        <v>1</v>
      </c>
      <c r="I85" s="180">
        <f t="shared" si="46"/>
        <v>1</v>
      </c>
      <c r="J85" s="180">
        <f t="shared" si="46"/>
        <v>1</v>
      </c>
      <c r="K85" s="180">
        <f t="shared" si="46"/>
        <v>1</v>
      </c>
      <c r="L85" s="180">
        <f t="shared" si="46"/>
        <v>1</v>
      </c>
      <c r="M85" s="180">
        <f t="shared" si="46"/>
        <v>1</v>
      </c>
      <c r="N85" s="180">
        <f t="shared" si="46"/>
        <v>1</v>
      </c>
      <c r="O85" s="180">
        <f t="shared" si="46"/>
        <v>1</v>
      </c>
      <c r="P85" s="180">
        <f t="shared" si="46"/>
        <v>1</v>
      </c>
      <c r="Q85" s="189">
        <f t="shared" si="46"/>
        <v>1</v>
      </c>
      <c r="R85" s="4" t="s">
        <v>406</v>
      </c>
      <c r="S85" s="145"/>
      <c r="T85" s="145"/>
      <c r="U85" s="145"/>
      <c r="V85" s="145"/>
      <c r="W85" s="145"/>
      <c r="X85" s="145"/>
      <c r="Y85" s="145"/>
      <c r="Z85" s="145"/>
    </row>
    <row r="86" spans="1:27" ht="15" thickBot="1">
      <c r="A86" s="11" t="s">
        <v>86</v>
      </c>
      <c r="B86" s="190">
        <v>1</v>
      </c>
      <c r="C86" s="181">
        <f t="shared" ref="C86:Q86" si="47">B86</f>
        <v>1</v>
      </c>
      <c r="D86" s="181">
        <f t="shared" si="47"/>
        <v>1</v>
      </c>
      <c r="E86" s="181">
        <f t="shared" si="47"/>
        <v>1</v>
      </c>
      <c r="F86" s="181">
        <f t="shared" si="47"/>
        <v>1</v>
      </c>
      <c r="G86" s="181">
        <f t="shared" si="47"/>
        <v>1</v>
      </c>
      <c r="H86" s="181">
        <f t="shared" si="47"/>
        <v>1</v>
      </c>
      <c r="I86" s="181">
        <f t="shared" si="47"/>
        <v>1</v>
      </c>
      <c r="J86" s="181">
        <f t="shared" si="47"/>
        <v>1</v>
      </c>
      <c r="K86" s="181">
        <f t="shared" si="47"/>
        <v>1</v>
      </c>
      <c r="L86" s="181">
        <f t="shared" si="47"/>
        <v>1</v>
      </c>
      <c r="M86" s="181">
        <f t="shared" si="47"/>
        <v>1</v>
      </c>
      <c r="N86" s="181">
        <f t="shared" si="47"/>
        <v>1</v>
      </c>
      <c r="O86" s="181">
        <f t="shared" si="47"/>
        <v>1</v>
      </c>
      <c r="P86" s="181">
        <f t="shared" si="47"/>
        <v>1</v>
      </c>
      <c r="Q86" s="191">
        <f t="shared" si="47"/>
        <v>1</v>
      </c>
      <c r="R86" s="4" t="s">
        <v>406</v>
      </c>
      <c r="S86" s="2"/>
      <c r="T86" s="2"/>
      <c r="U86" s="2"/>
      <c r="V86" s="2"/>
      <c r="W86" s="2"/>
      <c r="X86" s="2"/>
      <c r="Y86" s="2"/>
      <c r="Z86" s="2"/>
    </row>
    <row r="87" spans="1:27" ht="15" thickBot="1">
      <c r="R87" s="135"/>
      <c r="S87" s="2"/>
      <c r="T87" s="2"/>
      <c r="U87" s="2"/>
      <c r="V87" s="2"/>
      <c r="W87" s="2"/>
      <c r="X87" s="2"/>
      <c r="Y87" s="2"/>
      <c r="Z87" s="2"/>
    </row>
    <row r="88" spans="1:27" ht="15" thickBot="1">
      <c r="A88" s="5" t="s">
        <v>160</v>
      </c>
      <c r="B88" s="120">
        <f t="shared" ref="B88:Q88" si="48">PRODUCT(B89:B93)</f>
        <v>0.47574939206887457</v>
      </c>
      <c r="C88" s="120">
        <f t="shared" si="48"/>
        <v>0.50794393708257368</v>
      </c>
      <c r="D88" s="120">
        <f t="shared" si="48"/>
        <v>0.56274034041501453</v>
      </c>
      <c r="E88" s="120">
        <f t="shared" si="48"/>
        <v>0.61899495690306605</v>
      </c>
      <c r="F88" s="120">
        <f t="shared" si="48"/>
        <v>0.73623899997348086</v>
      </c>
      <c r="G88" s="120">
        <f t="shared" si="48"/>
        <v>0.8094263425956798</v>
      </c>
      <c r="H88" s="120">
        <f t="shared" si="48"/>
        <v>0.86035532160505723</v>
      </c>
      <c r="I88" s="120">
        <f t="shared" si="48"/>
        <v>0.89040610644091023</v>
      </c>
      <c r="J88" s="120">
        <f t="shared" si="48"/>
        <v>0.9033145906629948</v>
      </c>
      <c r="K88" s="120">
        <f t="shared" si="48"/>
        <v>0.91220161333426664</v>
      </c>
      <c r="L88" s="120">
        <f t="shared" si="48"/>
        <v>0.92445103771894699</v>
      </c>
      <c r="M88" s="120">
        <f t="shared" si="48"/>
        <v>0.9429439679212468</v>
      </c>
      <c r="N88" s="120">
        <f t="shared" si="48"/>
        <v>0.9450498915880593</v>
      </c>
      <c r="O88" s="120">
        <f t="shared" si="48"/>
        <v>0.93626752602720897</v>
      </c>
      <c r="P88" s="120">
        <f t="shared" si="48"/>
        <v>0.91162648705861782</v>
      </c>
      <c r="Q88" s="120">
        <f t="shared" si="48"/>
        <v>0.91371366825189493</v>
      </c>
      <c r="R88" s="136"/>
      <c r="S88" s="4"/>
      <c r="T88" s="2"/>
      <c r="U88" s="2"/>
      <c r="V88" s="2"/>
      <c r="W88" s="2"/>
      <c r="X88" s="2"/>
      <c r="Y88" s="2"/>
      <c r="Z88" s="2"/>
      <c r="AA88" s="2"/>
    </row>
    <row r="89" spans="1:27" s="359" customFormat="1">
      <c r="A89" s="364" t="s">
        <v>0</v>
      </c>
      <c r="B89" s="365">
        <v>0.98929999999999996</v>
      </c>
      <c r="C89" s="366">
        <v>0.98619999999999997</v>
      </c>
      <c r="D89" s="366">
        <v>0.99709999999999999</v>
      </c>
      <c r="E89" s="366">
        <v>0.99099999999999999</v>
      </c>
      <c r="F89" s="366">
        <v>0.99270000000000003</v>
      </c>
      <c r="G89" s="366">
        <v>0.99350000000000005</v>
      </c>
      <c r="H89" s="366">
        <v>0.99380000000000002</v>
      </c>
      <c r="I89" s="366">
        <v>0.99239999999999995</v>
      </c>
      <c r="J89" s="366">
        <v>0.98970000000000002</v>
      </c>
      <c r="K89" s="366">
        <v>0.9919</v>
      </c>
      <c r="L89" s="366">
        <v>0.99270000000000003</v>
      </c>
      <c r="M89" s="366">
        <v>0.99080000000000001</v>
      </c>
      <c r="N89" s="366">
        <v>0.98970000000000002</v>
      </c>
      <c r="O89" s="366">
        <v>0.99160000000000004</v>
      </c>
      <c r="P89" s="366">
        <v>0.98419999999999996</v>
      </c>
      <c r="Q89" s="366">
        <v>0.97921620417257438</v>
      </c>
      <c r="R89" s="349" t="s">
        <v>622</v>
      </c>
      <c r="S89" s="4"/>
      <c r="T89" s="4"/>
      <c r="U89" s="4"/>
      <c r="V89" s="4"/>
      <c r="W89" s="4"/>
      <c r="X89" s="4"/>
      <c r="Y89" s="4"/>
      <c r="Z89" s="4"/>
      <c r="AA89" s="4"/>
    </row>
    <row r="90" spans="1:27" s="359" customFormat="1">
      <c r="A90" s="148" t="s">
        <v>373</v>
      </c>
      <c r="B90" s="149">
        <v>0.98699999999999999</v>
      </c>
      <c r="C90" s="149">
        <v>0.98899999999999999</v>
      </c>
      <c r="D90" s="149">
        <v>0.997</v>
      </c>
      <c r="E90" s="149">
        <v>0.99099999999999999</v>
      </c>
      <c r="F90" s="149">
        <v>0.995</v>
      </c>
      <c r="G90" s="149">
        <v>0.99199999999999999</v>
      </c>
      <c r="H90" s="149">
        <v>0.99199999999999999</v>
      </c>
      <c r="I90" s="149">
        <v>0.99299999999999999</v>
      </c>
      <c r="J90" s="149">
        <v>0.98799999999999999</v>
      </c>
      <c r="K90" s="149">
        <v>0.98499999999999999</v>
      </c>
      <c r="L90" s="149">
        <v>0.99199999999999999</v>
      </c>
      <c r="M90" s="149">
        <v>0.995</v>
      </c>
      <c r="N90" s="149">
        <v>0.99199999999999999</v>
      </c>
      <c r="O90" s="149">
        <v>0.98799999999999999</v>
      </c>
      <c r="P90" s="149">
        <v>0.98099999999999998</v>
      </c>
      <c r="Q90" s="149">
        <v>0.97799999999999998</v>
      </c>
      <c r="R90" s="349" t="s">
        <v>623</v>
      </c>
      <c r="S90" s="4"/>
      <c r="T90" s="4"/>
      <c r="U90" s="4"/>
      <c r="V90" s="4"/>
      <c r="W90" s="4"/>
      <c r="X90" s="4"/>
      <c r="Y90" s="4"/>
      <c r="Z90" s="4"/>
      <c r="AA90" s="4"/>
    </row>
    <row r="91" spans="1:27" s="359" customFormat="1">
      <c r="A91" s="148" t="s">
        <v>615</v>
      </c>
      <c r="B91" s="149">
        <f>'Fiber absorption'!C5</f>
        <v>0.49215044899749688</v>
      </c>
      <c r="C91" s="149">
        <f>'Fiber absorption'!D5</f>
        <v>0.5260406387949369</v>
      </c>
      <c r="D91" s="149">
        <f>'Fiber absorption'!E5</f>
        <v>0.57179319150691721</v>
      </c>
      <c r="E91" s="149">
        <f>'Fiber absorption'!F5</f>
        <v>0.63665566405950036</v>
      </c>
      <c r="F91" s="149">
        <f>'Fiber absorption'!G5</f>
        <v>0.75290905777904382</v>
      </c>
      <c r="G91" s="149">
        <f>'Fiber absorption'!H5</f>
        <v>0.8295882574011948</v>
      </c>
      <c r="H91" s="149">
        <f>'Fiber absorption'!I5</f>
        <v>0.88151963483988605</v>
      </c>
      <c r="I91" s="149">
        <f>'Fiber absorption'!J5</f>
        <v>0.91267663194565807</v>
      </c>
      <c r="J91" s="149">
        <f>'Fiber absorption'!K5</f>
        <v>0.93313250004159387</v>
      </c>
      <c r="K91" s="149">
        <f>'Fiber absorption'!L5</f>
        <v>0.94308648381301097</v>
      </c>
      <c r="L91" s="149">
        <f>'Fiber absorption'!M5</f>
        <v>0.94824164687382739</v>
      </c>
      <c r="M91" s="149">
        <f>'Fiber absorption'!N5</f>
        <v>0.96614344884079861</v>
      </c>
      <c r="N91" s="149">
        <f>'Fiber absorption'!O5</f>
        <v>0.97230898627735507</v>
      </c>
      <c r="O91" s="149">
        <f>'Fiber absorption'!P5</f>
        <v>0.96531999745724151</v>
      </c>
      <c r="P91" s="149">
        <f>'Fiber absorption'!Q5</f>
        <v>0.95373862730711534</v>
      </c>
      <c r="Q91" s="149">
        <f>'Fiber absorption'!R5</f>
        <v>0.96373466496273164</v>
      </c>
      <c r="R91" s="349" t="s">
        <v>62</v>
      </c>
      <c r="S91" s="4"/>
      <c r="T91" s="4"/>
      <c r="U91" s="4"/>
      <c r="V91" s="4"/>
      <c r="W91" s="4"/>
      <c r="X91" s="4"/>
      <c r="Y91" s="4"/>
      <c r="Z91" s="4"/>
      <c r="AA91" s="4"/>
    </row>
    <row r="92" spans="1:27" s="128" customFormat="1">
      <c r="A92" s="122" t="s">
        <v>185</v>
      </c>
      <c r="B92" s="125">
        <v>0.99</v>
      </c>
      <c r="C92" s="125">
        <v>0.99</v>
      </c>
      <c r="D92" s="125">
        <v>0.99</v>
      </c>
      <c r="E92" s="125">
        <v>0.99</v>
      </c>
      <c r="F92" s="125">
        <v>0.99</v>
      </c>
      <c r="G92" s="125">
        <v>0.99</v>
      </c>
      <c r="H92" s="125">
        <v>0.99</v>
      </c>
      <c r="I92" s="125">
        <v>0.99</v>
      </c>
      <c r="J92" s="125">
        <v>0.99</v>
      </c>
      <c r="K92" s="125">
        <v>0.99</v>
      </c>
      <c r="L92" s="125">
        <v>0.99</v>
      </c>
      <c r="M92" s="125">
        <v>0.99</v>
      </c>
      <c r="N92" s="125">
        <v>0.99</v>
      </c>
      <c r="O92" s="125">
        <v>0.99</v>
      </c>
      <c r="P92" s="125">
        <v>0.99</v>
      </c>
      <c r="Q92" s="125">
        <v>0.99</v>
      </c>
      <c r="R92" s="349" t="s">
        <v>186</v>
      </c>
      <c r="S92" s="121"/>
      <c r="T92" s="121"/>
      <c r="U92" s="121"/>
      <c r="V92" s="121"/>
      <c r="W92" s="121"/>
      <c r="X92" s="121"/>
      <c r="Y92" s="121"/>
      <c r="Z92" s="121"/>
      <c r="AA92" s="121"/>
    </row>
    <row r="93" spans="1:27" s="44" customFormat="1" ht="15" thickBot="1">
      <c r="A93" s="11" t="s">
        <v>58</v>
      </c>
      <c r="B93" s="42">
        <v>1</v>
      </c>
      <c r="C93" s="42">
        <v>1</v>
      </c>
      <c r="D93" s="42">
        <v>1</v>
      </c>
      <c r="E93" s="42">
        <v>1</v>
      </c>
      <c r="F93" s="42">
        <v>1</v>
      </c>
      <c r="G93" s="42">
        <v>1</v>
      </c>
      <c r="H93" s="42">
        <v>1</v>
      </c>
      <c r="I93" s="42">
        <v>1</v>
      </c>
      <c r="J93" s="42">
        <v>1</v>
      </c>
      <c r="K93" s="42">
        <v>1</v>
      </c>
      <c r="L93" s="42">
        <v>1</v>
      </c>
      <c r="M93" s="42">
        <v>1</v>
      </c>
      <c r="N93" s="42">
        <v>1</v>
      </c>
      <c r="O93" s="42">
        <v>1</v>
      </c>
      <c r="P93" s="42">
        <v>1</v>
      </c>
      <c r="Q93" s="42">
        <v>1</v>
      </c>
      <c r="R93" s="349" t="s">
        <v>70</v>
      </c>
      <c r="S93" s="2"/>
      <c r="T93" s="2"/>
      <c r="U93" s="2"/>
      <c r="V93" s="2"/>
      <c r="W93" s="2"/>
      <c r="X93" s="2"/>
      <c r="Y93" s="2"/>
      <c r="Z93" s="2"/>
      <c r="AA93" s="2"/>
    </row>
    <row r="94" spans="1:27" s="44" customFormat="1" ht="15" thickBot="1">
      <c r="A94" s="43"/>
      <c r="B94" s="43"/>
      <c r="C94" s="132"/>
      <c r="D94" s="132"/>
      <c r="E94" s="132"/>
      <c r="F94" s="132"/>
      <c r="G94" s="132"/>
      <c r="H94" s="132"/>
      <c r="I94" s="132"/>
      <c r="J94" s="132"/>
      <c r="K94" s="132"/>
      <c r="L94" s="132"/>
      <c r="M94" s="132"/>
      <c r="N94" s="132"/>
      <c r="O94" s="132"/>
      <c r="P94" s="132"/>
      <c r="Q94" s="21"/>
      <c r="R94" s="136"/>
      <c r="S94" s="2"/>
      <c r="T94" s="2"/>
      <c r="U94" s="2"/>
      <c r="V94" s="2"/>
      <c r="W94" s="2"/>
      <c r="X94" s="2"/>
      <c r="Y94" s="2"/>
      <c r="Z94" s="2"/>
      <c r="AA94" s="2"/>
    </row>
    <row r="95" spans="1:27" s="80" customFormat="1" ht="15" thickBot="1">
      <c r="A95" s="124" t="s">
        <v>161</v>
      </c>
      <c r="B95" s="509">
        <f>'Spectrograph Throughput'!B3</f>
        <v>0.44487991903936919</v>
      </c>
      <c r="C95" s="509">
        <f>'Spectrograph Throughput'!C3</f>
        <v>0.49974037102515395</v>
      </c>
      <c r="D95" s="509">
        <f>'Spectrograph Throughput'!D3</f>
        <v>0.58542506791688453</v>
      </c>
      <c r="E95" s="509">
        <f>'Spectrograph Throughput'!E3</f>
        <v>0.68289094754492718</v>
      </c>
      <c r="F95" s="509">
        <f>'Spectrograph Throughput'!F3</f>
        <v>0.70424233455720942</v>
      </c>
      <c r="G95" s="509">
        <f>'Spectrograph Throughput'!G3</f>
        <v>0.65229441863731674</v>
      </c>
      <c r="H95" s="509">
        <f>'Spectrograph Throughput'!H3</f>
        <v>0.59173383361896403</v>
      </c>
      <c r="I95" s="509">
        <f>'Spectrograph Throughput'!I3</f>
        <v>0.65205019821434029</v>
      </c>
      <c r="J95" s="509">
        <f>'Spectrograph Throughput'!J3</f>
        <v>0.68986540008523634</v>
      </c>
      <c r="K95" s="509">
        <f>'Spectrograph Throughput'!K3</f>
        <v>0.68243344472763279</v>
      </c>
      <c r="L95" s="509">
        <f>'Spectrograph Throughput'!L3</f>
        <v>0.63957216527724703</v>
      </c>
      <c r="M95" s="509">
        <f>'Spectrograph Throughput'!M3</f>
        <v>0.79589034522401092</v>
      </c>
      <c r="N95" s="509">
        <f>'Spectrograph Throughput'!N3</f>
        <v>0.80781687081303455</v>
      </c>
      <c r="O95" s="509">
        <f>'Spectrograph Throughput'!O3</f>
        <v>0.77922442353776544</v>
      </c>
      <c r="P95" s="509">
        <f>'Spectrograph Throughput'!P3</f>
        <v>0.44940944169448765</v>
      </c>
      <c r="Q95" s="509">
        <f>'Spectrograph Throughput'!Q3</f>
        <v>0.33007216904380182</v>
      </c>
      <c r="R95" s="136" t="s">
        <v>796</v>
      </c>
      <c r="S95" s="82"/>
      <c r="T95" s="82"/>
      <c r="U95" s="82"/>
      <c r="V95" s="82"/>
      <c r="W95" s="82"/>
      <c r="X95" s="82"/>
      <c r="Y95" s="82"/>
      <c r="Z95" s="82"/>
      <c r="AA95" s="82"/>
    </row>
    <row r="96" spans="1:27" ht="15" thickBot="1">
      <c r="A96" s="79"/>
      <c r="B96" s="17"/>
      <c r="C96" s="17"/>
      <c r="D96" s="17"/>
      <c r="E96" s="17"/>
      <c r="F96" s="17"/>
      <c r="G96" s="17"/>
      <c r="H96" s="17"/>
      <c r="I96" s="17"/>
      <c r="J96" s="17"/>
      <c r="K96" s="17"/>
      <c r="L96" s="17"/>
      <c r="M96" s="17"/>
      <c r="N96" s="17"/>
      <c r="O96" s="17"/>
      <c r="P96" s="17"/>
      <c r="Q96" s="17"/>
      <c r="R96" s="136"/>
      <c r="S96" s="2"/>
    </row>
    <row r="97" spans="1:19" ht="15" thickBot="1">
      <c r="A97" s="73" t="s">
        <v>191</v>
      </c>
      <c r="B97" s="131"/>
      <c r="C97" s="59">
        <f t="shared" ref="C97:P97" si="49">C88*C77*C5*C95</f>
        <v>0.13270095419255937</v>
      </c>
      <c r="D97" s="59">
        <f t="shared" si="49"/>
        <v>0.20157106787592288</v>
      </c>
      <c r="E97" s="59">
        <f t="shared" si="49"/>
        <v>0.27915437985318425</v>
      </c>
      <c r="F97" s="59">
        <f t="shared" si="49"/>
        <v>0.3475785615539746</v>
      </c>
      <c r="G97" s="59">
        <f t="shared" si="49"/>
        <v>0.36034483741549167</v>
      </c>
      <c r="H97" s="59">
        <f t="shared" si="49"/>
        <v>0.34885827788252266</v>
      </c>
      <c r="I97" s="59">
        <f t="shared" si="49"/>
        <v>0.39893023067135974</v>
      </c>
      <c r="J97" s="59">
        <f t="shared" si="49"/>
        <v>0.42470974517382704</v>
      </c>
      <c r="K97" s="59">
        <f t="shared" si="49"/>
        <v>0.42648681083554651</v>
      </c>
      <c r="L97" s="59">
        <f t="shared" si="49"/>
        <v>0.39561871090908746</v>
      </c>
      <c r="M97" s="59">
        <f t="shared" si="49"/>
        <v>0.48471856263362828</v>
      </c>
      <c r="N97" s="59">
        <f t="shared" si="49"/>
        <v>0.49296501512130791</v>
      </c>
      <c r="O97" s="59">
        <f t="shared" si="49"/>
        <v>0.48850131141677472</v>
      </c>
      <c r="P97" s="59">
        <f t="shared" si="49"/>
        <v>0.28937096305184107</v>
      </c>
      <c r="Q97" s="131"/>
      <c r="R97" s="135"/>
      <c r="S97"/>
    </row>
    <row r="98" spans="1:19" s="326" customFormat="1">
      <c r="A98" s="470"/>
      <c r="B98" s="54"/>
      <c r="C98" s="54"/>
      <c r="D98" s="54"/>
      <c r="E98" s="54"/>
      <c r="F98" s="54"/>
      <c r="G98" s="54"/>
      <c r="H98" s="54"/>
      <c r="I98" s="54"/>
      <c r="J98" s="54"/>
      <c r="K98" s="54"/>
      <c r="L98" s="54"/>
      <c r="M98" s="54"/>
      <c r="N98" s="54"/>
      <c r="O98" s="54"/>
      <c r="P98" s="54"/>
      <c r="Q98" s="54"/>
      <c r="R98" s="145"/>
    </row>
    <row r="99" spans="1:19">
      <c r="A99" s="39" t="s">
        <v>723</v>
      </c>
      <c r="B99" s="39"/>
      <c r="C99" s="39"/>
      <c r="D99" s="39"/>
      <c r="E99" s="39"/>
      <c r="F99" s="39"/>
      <c r="G99" s="39"/>
      <c r="H99" s="39"/>
      <c r="I99" s="39"/>
      <c r="J99" s="39"/>
      <c r="K99" s="39"/>
      <c r="L99" s="39"/>
      <c r="M99" s="39"/>
      <c r="N99" s="39"/>
      <c r="O99" s="39"/>
      <c r="Q99"/>
      <c r="R99" s="44"/>
      <c r="S99"/>
    </row>
    <row r="100" spans="1:19" s="326" customFormat="1">
      <c r="A100" s="344" t="s">
        <v>630</v>
      </c>
      <c r="B100" s="39"/>
      <c r="C100" s="358">
        <v>0.11049190785627934</v>
      </c>
      <c r="D100" s="358">
        <v>0.17660013346043235</v>
      </c>
      <c r="E100" s="358">
        <v>0.26147802472005549</v>
      </c>
      <c r="F100" s="358">
        <v>0.36770681861115462</v>
      </c>
      <c r="G100" s="358">
        <v>0.38808432371147522</v>
      </c>
      <c r="H100" s="358">
        <v>0.39587737771320003</v>
      </c>
      <c r="I100" s="358">
        <v>0.39106328338339674</v>
      </c>
      <c r="J100" s="358">
        <v>0.40563681956857983</v>
      </c>
      <c r="K100" s="358">
        <v>0.39478965432708835</v>
      </c>
      <c r="L100" s="358">
        <v>0.37976462840142966</v>
      </c>
      <c r="M100" s="358">
        <v>0.45335566512289899</v>
      </c>
      <c r="N100" s="358">
        <v>0.45142188489421864</v>
      </c>
      <c r="O100" s="358">
        <v>0.43490448325521708</v>
      </c>
      <c r="P100" s="358">
        <v>0.24815562525104101</v>
      </c>
      <c r="R100" s="356">
        <v>42185</v>
      </c>
    </row>
    <row r="101" spans="1:19" s="326" customFormat="1">
      <c r="A101" s="344" t="s">
        <v>629</v>
      </c>
      <c r="B101" s="39"/>
      <c r="C101" s="358">
        <v>0.11049190785627934</v>
      </c>
      <c r="D101" s="358">
        <v>0.17660013346043235</v>
      </c>
      <c r="E101" s="358">
        <v>0.26147802472005549</v>
      </c>
      <c r="F101" s="358">
        <v>0.36770681861115462</v>
      </c>
      <c r="G101" s="358">
        <v>0.38808432371147522</v>
      </c>
      <c r="H101" s="358">
        <v>0.39587737771320003</v>
      </c>
      <c r="I101" s="358">
        <v>0.39106328338339674</v>
      </c>
      <c r="J101" s="358">
        <v>0.40563681956857983</v>
      </c>
      <c r="K101" s="358">
        <v>0.39478965432708835</v>
      </c>
      <c r="L101" s="358">
        <v>0.37976462840142966</v>
      </c>
      <c r="M101" s="358">
        <v>0.45335566512289899</v>
      </c>
      <c r="N101" s="358">
        <v>0.45142188489421864</v>
      </c>
      <c r="O101" s="358">
        <v>0.43490448325521708</v>
      </c>
      <c r="P101" s="358">
        <v>0.24815562525104101</v>
      </c>
      <c r="R101" s="356">
        <v>42234</v>
      </c>
    </row>
    <row r="102" spans="1:19" s="326" customFormat="1">
      <c r="A102" s="344" t="s">
        <v>628</v>
      </c>
      <c r="B102" s="39"/>
      <c r="C102" s="357">
        <v>0.11049190785627934</v>
      </c>
      <c r="D102" s="357">
        <v>0.17660013346043235</v>
      </c>
      <c r="E102" s="357">
        <v>0.26147802472005549</v>
      </c>
      <c r="F102" s="357">
        <v>0.36770681861115462</v>
      </c>
      <c r="G102" s="357">
        <v>0.38808432371147522</v>
      </c>
      <c r="H102" s="357">
        <v>0.39587737771320003</v>
      </c>
      <c r="I102" s="357">
        <v>0.39106328338339674</v>
      </c>
      <c r="J102" s="357">
        <v>0.40563681956857983</v>
      </c>
      <c r="K102" s="357">
        <v>0.39478965432708835</v>
      </c>
      <c r="L102" s="357">
        <v>0.37976462840142966</v>
      </c>
      <c r="M102" s="357">
        <v>0.45335566512289899</v>
      </c>
      <c r="N102" s="357">
        <v>0.45142188489421864</v>
      </c>
      <c r="O102" s="357">
        <v>0.43490448325521708</v>
      </c>
      <c r="P102" s="357">
        <v>0.24815562525104101</v>
      </c>
      <c r="R102" s="356">
        <v>42398</v>
      </c>
    </row>
    <row r="103" spans="1:19">
      <c r="A103" s="344" t="s">
        <v>614</v>
      </c>
      <c r="C103" s="16">
        <v>9.4494365360024285E-2</v>
      </c>
      <c r="D103" s="16">
        <v>0.1555819990761502</v>
      </c>
      <c r="E103" s="16">
        <v>0.23811785160682164</v>
      </c>
      <c r="F103" s="16">
        <v>0.34594361817664038</v>
      </c>
      <c r="G103" s="16">
        <v>0.37195954705786521</v>
      </c>
      <c r="H103" s="16">
        <v>0.38427766652420642</v>
      </c>
      <c r="I103" s="16">
        <v>0.38261041902453724</v>
      </c>
      <c r="J103" s="16">
        <v>0.39834582424771936</v>
      </c>
      <c r="K103" s="16">
        <v>0.38906614175006915</v>
      </c>
      <c r="L103" s="16">
        <v>0.37469138666554364</v>
      </c>
      <c r="M103" s="16">
        <v>0.44755293964591114</v>
      </c>
      <c r="N103" s="16">
        <v>0.44589604247562525</v>
      </c>
      <c r="O103" s="16">
        <v>0.43014714691755479</v>
      </c>
      <c r="P103" s="16">
        <v>0.24595267612994473</v>
      </c>
      <c r="Q103" s="16"/>
      <c r="R103" s="356">
        <v>42476</v>
      </c>
      <c r="S103"/>
    </row>
    <row r="104" spans="1:19" s="326" customFormat="1">
      <c r="A104" s="344" t="s">
        <v>627</v>
      </c>
      <c r="C104" s="16">
        <v>0.10791111851379435</v>
      </c>
      <c r="D104" s="16">
        <v>0.18144991728258167</v>
      </c>
      <c r="E104" s="16">
        <v>0.26899643055150763</v>
      </c>
      <c r="F104" s="16">
        <v>0.4655159512753691</v>
      </c>
      <c r="G104" s="16">
        <v>0.4349700873879388</v>
      </c>
      <c r="H104" s="16">
        <v>0.42781424990387779</v>
      </c>
      <c r="I104" s="16">
        <v>0.44953964716811445</v>
      </c>
      <c r="J104" s="16">
        <v>0.47510425540420032</v>
      </c>
      <c r="K104" s="16">
        <v>0.4758922651319179</v>
      </c>
      <c r="L104" s="16">
        <v>0.4398104999957857</v>
      </c>
      <c r="M104" s="16">
        <v>0.531174866477792</v>
      </c>
      <c r="N104" s="16">
        <v>0.53282537891880966</v>
      </c>
      <c r="O104" s="16">
        <v>0.50473675883670888</v>
      </c>
      <c r="P104" s="16">
        <v>0.30733718133737797</v>
      </c>
      <c r="Q104" s="16"/>
      <c r="R104" s="356">
        <v>42762</v>
      </c>
    </row>
    <row r="105" spans="1:19" s="326" customFormat="1">
      <c r="A105" s="344" t="s">
        <v>631</v>
      </c>
      <c r="B105" s="359"/>
      <c r="C105" s="16">
        <v>0.10982282667133753</v>
      </c>
      <c r="D105" s="16">
        <v>0.17754755638150732</v>
      </c>
      <c r="E105" s="16">
        <v>0.26320914005768692</v>
      </c>
      <c r="F105" s="16">
        <v>0.45234305736524788</v>
      </c>
      <c r="G105" s="16">
        <v>0.43213122790882624</v>
      </c>
      <c r="H105" s="16">
        <v>0.41318773672822073</v>
      </c>
      <c r="I105" s="16">
        <v>0.44399940667676135</v>
      </c>
      <c r="J105" s="16">
        <v>0.46312184462399941</v>
      </c>
      <c r="K105" s="16">
        <v>0.45941694301831093</v>
      </c>
      <c r="L105" s="16">
        <v>0.42379501097105232</v>
      </c>
      <c r="M105" s="16">
        <v>0.50407957279871485</v>
      </c>
      <c r="N105" s="16">
        <v>0.50350669227804878</v>
      </c>
      <c r="O105" s="16">
        <v>0.48416775954972091</v>
      </c>
      <c r="P105" s="16">
        <v>0.30396213523061211</v>
      </c>
      <c r="Q105" s="16"/>
      <c r="R105" s="356">
        <v>43067</v>
      </c>
    </row>
    <row r="106" spans="1:19" s="326" customFormat="1">
      <c r="A106" s="344" t="s">
        <v>647</v>
      </c>
      <c r="B106" s="359"/>
      <c r="C106" s="16">
        <v>0.11174496066903288</v>
      </c>
      <c r="D106" s="16">
        <v>0.17985163195137976</v>
      </c>
      <c r="E106" s="16">
        <v>0.26403882902693093</v>
      </c>
      <c r="F106" s="16">
        <v>0.45065725857267924</v>
      </c>
      <c r="G106" s="16">
        <v>0.43282917403611293</v>
      </c>
      <c r="H106" s="16">
        <v>0.41176999690649407</v>
      </c>
      <c r="I106" s="16">
        <v>0.44202919639394422</v>
      </c>
      <c r="J106" s="16">
        <v>0.46182735516603918</v>
      </c>
      <c r="K106" s="16">
        <v>0.45897304635813529</v>
      </c>
      <c r="L106" s="16">
        <v>0.42387437197853312</v>
      </c>
      <c r="M106" s="16">
        <v>0.50437619477929752</v>
      </c>
      <c r="N106" s="16">
        <v>0.50488362736690484</v>
      </c>
      <c r="O106" s="16">
        <v>0.48699547337464832</v>
      </c>
      <c r="P106" s="16">
        <v>0.3044862179486269</v>
      </c>
      <c r="Q106" s="16"/>
      <c r="R106" s="356">
        <v>43258</v>
      </c>
    </row>
    <row r="107" spans="1:19" s="326" customFormat="1">
      <c r="A107" s="344" t="s">
        <v>797</v>
      </c>
      <c r="B107" s="359"/>
      <c r="C107" s="16">
        <v>0.11794084529004996</v>
      </c>
      <c r="D107" s="16">
        <v>0.18243277618847251</v>
      </c>
      <c r="E107" s="16">
        <v>0.25203992847491707</v>
      </c>
      <c r="F107" s="16">
        <v>0.40588161641737613</v>
      </c>
      <c r="G107" s="16">
        <v>0.38084472042571094</v>
      </c>
      <c r="H107" s="16">
        <v>0.34361629009008637</v>
      </c>
      <c r="I107" s="16">
        <v>0.41431024271861816</v>
      </c>
      <c r="J107" s="16">
        <v>0.43186244520369388</v>
      </c>
      <c r="K107" s="16">
        <v>0.43191265155634012</v>
      </c>
      <c r="L107" s="16">
        <v>0.40082135056073503</v>
      </c>
      <c r="M107" s="16">
        <v>0.4988933767438708</v>
      </c>
      <c r="N107" s="16">
        <v>0.50707682229856554</v>
      </c>
      <c r="O107" s="16">
        <v>0.50119371240828192</v>
      </c>
      <c r="P107" s="16">
        <v>0.31311481693130644</v>
      </c>
      <c r="Q107" s="16"/>
      <c r="R107" s="356">
        <v>43397</v>
      </c>
    </row>
    <row r="108" spans="1:19" s="326" customFormat="1">
      <c r="A108" s="344" t="s">
        <v>833</v>
      </c>
      <c r="B108" s="359"/>
      <c r="C108" s="16">
        <v>0.11132406041417074</v>
      </c>
      <c r="D108" s="16">
        <v>0.17777643106977689</v>
      </c>
      <c r="E108" s="16">
        <v>0.25848817513330219</v>
      </c>
      <c r="F108" s="16">
        <v>0.42948049505869035</v>
      </c>
      <c r="G108" s="16">
        <v>0.41177982560715626</v>
      </c>
      <c r="H108" s="16">
        <v>0.3837826949383546</v>
      </c>
      <c r="I108" s="16">
        <v>0.43274454949752406</v>
      </c>
      <c r="J108" s="16">
        <v>0.4536717141446916</v>
      </c>
      <c r="K108" s="16">
        <v>0.44974332084734153</v>
      </c>
      <c r="L108" s="16">
        <v>0.41571108873010026</v>
      </c>
      <c r="M108" s="16">
        <v>0.49905357226865099</v>
      </c>
      <c r="N108" s="16">
        <v>0.50529148849288652</v>
      </c>
      <c r="O108" s="16">
        <v>0.49846640685149163</v>
      </c>
      <c r="P108" s="16">
        <v>0.30183166021042029</v>
      </c>
      <c r="Q108" s="16"/>
      <c r="R108" s="356">
        <v>43474</v>
      </c>
    </row>
    <row r="109" spans="1:19" s="326" customFormat="1">
      <c r="A109" s="344" t="s">
        <v>864</v>
      </c>
      <c r="B109" s="359"/>
      <c r="C109" s="16">
        <v>0.13348195721823933</v>
      </c>
      <c r="D109" s="16">
        <v>0.19851738884776224</v>
      </c>
      <c r="E109" s="16">
        <v>0.26980308301256711</v>
      </c>
      <c r="F109" s="16">
        <v>0.34787250259838182</v>
      </c>
      <c r="G109" s="16">
        <v>0.36485011167570891</v>
      </c>
      <c r="H109" s="16">
        <v>0.35879266158576772</v>
      </c>
      <c r="I109" s="16">
        <v>0.39901201039425488</v>
      </c>
      <c r="J109" s="16">
        <v>0.42468482713389399</v>
      </c>
      <c r="K109" s="16">
        <v>0.42645393308649743</v>
      </c>
      <c r="L109" s="16">
        <v>0.39550918674259011</v>
      </c>
      <c r="M109" s="16">
        <v>0.48471856263362828</v>
      </c>
      <c r="N109" s="16">
        <v>0.49296501512130791</v>
      </c>
      <c r="O109" s="16">
        <v>0.48850131141677472</v>
      </c>
      <c r="P109" s="16">
        <v>0.28937096305184107</v>
      </c>
      <c r="Q109" s="16"/>
      <c r="R109" s="356">
        <v>43902</v>
      </c>
    </row>
    <row r="110" spans="1:19">
      <c r="A110" s="344" t="s">
        <v>874</v>
      </c>
      <c r="B110" s="359"/>
      <c r="C110" s="516">
        <v>0.13270095419255937</v>
      </c>
      <c r="D110" s="516">
        <v>0.20157106787592288</v>
      </c>
      <c r="E110" s="516">
        <v>0.27915437985318425</v>
      </c>
      <c r="F110" s="516">
        <v>0.3475785615539746</v>
      </c>
      <c r="G110" s="516">
        <v>0.36034483741549167</v>
      </c>
      <c r="H110" s="516">
        <v>0.34885827788252266</v>
      </c>
      <c r="I110" s="516">
        <v>0.39893023067135974</v>
      </c>
      <c r="J110" s="516">
        <v>0.42470974517382704</v>
      </c>
      <c r="K110" s="516">
        <v>0.42648681083554651</v>
      </c>
      <c r="L110" s="516">
        <v>0.39561871090908746</v>
      </c>
      <c r="M110" s="516">
        <v>0.48471856263362828</v>
      </c>
      <c r="N110" s="516">
        <v>0.49296501512130791</v>
      </c>
      <c r="O110" s="516">
        <v>0.48850131141677472</v>
      </c>
      <c r="P110" s="516">
        <v>0.28937096305184107</v>
      </c>
      <c r="R110" s="356">
        <v>43937</v>
      </c>
    </row>
    <row r="111" spans="1:19">
      <c r="A111" s="344"/>
      <c r="B111" s="359"/>
      <c r="C111" s="360"/>
      <c r="D111" s="360"/>
      <c r="E111" s="360"/>
      <c r="F111" s="360"/>
      <c r="G111" s="360"/>
      <c r="H111" s="360"/>
      <c r="I111" s="360"/>
      <c r="J111" s="360"/>
      <c r="K111" s="360"/>
      <c r="L111" s="360"/>
      <c r="M111" s="360"/>
      <c r="N111" s="360"/>
      <c r="O111" s="360"/>
      <c r="P111" s="360"/>
    </row>
    <row r="112" spans="1:19">
      <c r="A112" s="344"/>
      <c r="C112" s="360"/>
      <c r="D112" s="360"/>
      <c r="E112" s="360"/>
      <c r="F112" s="360"/>
      <c r="G112" s="360"/>
      <c r="H112" s="360"/>
      <c r="I112" s="360"/>
      <c r="J112" s="360"/>
      <c r="K112" s="360"/>
      <c r="L112" s="360"/>
      <c r="M112" s="360"/>
      <c r="N112" s="360"/>
      <c r="O112" s="360"/>
      <c r="P112" s="360"/>
    </row>
    <row r="113" spans="1:16">
      <c r="A113" s="344"/>
      <c r="C113" s="360"/>
      <c r="D113" s="360"/>
      <c r="E113" s="360"/>
      <c r="F113" s="360"/>
      <c r="G113" s="360"/>
      <c r="H113" s="360"/>
      <c r="I113" s="360"/>
      <c r="J113" s="360"/>
      <c r="K113" s="360"/>
      <c r="L113" s="360"/>
      <c r="M113" s="360"/>
      <c r="N113" s="360"/>
      <c r="O113" s="360"/>
      <c r="P113" s="360"/>
    </row>
    <row r="129" spans="1:11">
      <c r="K129" s="361"/>
    </row>
    <row r="130" spans="1:11">
      <c r="K130" s="361"/>
    </row>
    <row r="131" spans="1:11">
      <c r="K131" s="361"/>
    </row>
    <row r="132" spans="1:11">
      <c r="A132" s="506"/>
      <c r="K132" s="361"/>
    </row>
    <row r="133" spans="1:11">
      <c r="K133" s="361"/>
    </row>
    <row r="134" spans="1:11">
      <c r="K134" s="361"/>
    </row>
    <row r="135" spans="1:11">
      <c r="K135" s="362"/>
    </row>
    <row r="136" spans="1:11">
      <c r="K136" s="1"/>
    </row>
  </sheetData>
  <mergeCells count="1">
    <mergeCell ref="C2:P2"/>
  </mergeCells>
  <phoneticPr fontId="3" type="noConversion"/>
  <printOptions gridLines="1"/>
  <pageMargins left="0.7" right="0.7" top="0.75" bottom="0.75" header="0.3" footer="0.3"/>
  <pageSetup paperSize="17" scale="61"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106"/>
  <sheetViews>
    <sheetView workbookViewId="0">
      <selection activeCell="P14" sqref="P14"/>
    </sheetView>
  </sheetViews>
  <sheetFormatPr defaultColWidth="8.88671875" defaultRowHeight="14.4"/>
  <cols>
    <col min="1" max="2" width="8.88671875" style="144"/>
    <col min="3" max="3" width="13.33203125" style="144" bestFit="1" customWidth="1"/>
    <col min="4" max="4" width="11.33203125" style="144" bestFit="1" customWidth="1"/>
    <col min="5" max="7" width="11.33203125" style="144" customWidth="1"/>
    <col min="8" max="16" width="8.88671875" style="144"/>
    <col min="17" max="17" width="12.6640625" style="144" customWidth="1"/>
    <col min="18" max="24" width="8.88671875" style="144"/>
    <col min="25" max="25" width="11.6640625" style="144" bestFit="1" customWidth="1"/>
    <col min="26" max="26" width="12.6640625" style="144" bestFit="1" customWidth="1"/>
    <col min="27" max="16384" width="8.88671875" style="144"/>
  </cols>
  <sheetData>
    <row r="4" spans="3:17">
      <c r="C4" s="129" t="s">
        <v>418</v>
      </c>
      <c r="D4" s="129"/>
      <c r="E4" s="129"/>
      <c r="F4" s="129"/>
      <c r="G4" s="129"/>
      <c r="O4" s="144" t="s">
        <v>423</v>
      </c>
    </row>
    <row r="5" spans="3:17" ht="15" thickBot="1">
      <c r="C5" s="129" t="s">
        <v>419</v>
      </c>
      <c r="D5" s="129" t="s">
        <v>420</v>
      </c>
      <c r="E5" s="129" t="s">
        <v>421</v>
      </c>
      <c r="F5" s="129"/>
      <c r="G5" s="129"/>
      <c r="I5" s="13" t="s">
        <v>422</v>
      </c>
      <c r="J5" s="13"/>
      <c r="K5" s="13"/>
      <c r="L5" s="13"/>
      <c r="P5" s="144" t="s">
        <v>447</v>
      </c>
      <c r="Q5" s="144" t="s">
        <v>448</v>
      </c>
    </row>
    <row r="6" spans="3:17">
      <c r="C6" s="144">
        <v>0</v>
      </c>
      <c r="D6" s="144">
        <v>0.44340000000000002</v>
      </c>
      <c r="E6" s="209">
        <f>D6/$D$6</f>
        <v>1</v>
      </c>
      <c r="F6" s="129"/>
      <c r="G6" s="129"/>
      <c r="I6" s="144" t="s">
        <v>424</v>
      </c>
      <c r="O6" s="144" t="s">
        <v>425</v>
      </c>
      <c r="P6" s="144">
        <v>0.44342232768954098</v>
      </c>
      <c r="Q6" s="213">
        <f t="shared" ref="Q6:Q11" si="0">P6/P$6</f>
        <v>1</v>
      </c>
    </row>
    <row r="7" spans="3:17">
      <c r="C7" s="144">
        <v>1</v>
      </c>
      <c r="D7" s="144">
        <v>0.44340000000000002</v>
      </c>
      <c r="E7" s="209">
        <f t="shared" ref="E7:E56" si="1">D7/$D$6</f>
        <v>1</v>
      </c>
      <c r="F7" s="129"/>
      <c r="G7" s="129"/>
      <c r="I7" s="144" t="s">
        <v>426</v>
      </c>
      <c r="O7" s="144" t="s">
        <v>427</v>
      </c>
      <c r="P7" s="144">
        <v>7.3205451603000006E-5</v>
      </c>
      <c r="Q7" s="214">
        <f t="shared" si="0"/>
        <v>1.6509193838848432E-4</v>
      </c>
    </row>
    <row r="8" spans="3:17">
      <c r="C8" s="144">
        <v>2</v>
      </c>
      <c r="D8" s="144">
        <v>0.44330000000000003</v>
      </c>
      <c r="E8" s="209">
        <f t="shared" si="1"/>
        <v>0.99977447000451058</v>
      </c>
      <c r="F8" s="129"/>
      <c r="G8" s="129"/>
      <c r="I8" s="144" t="s">
        <v>428</v>
      </c>
      <c r="O8" s="144" t="s">
        <v>429</v>
      </c>
      <c r="P8" s="144">
        <v>-7.5767440911999993E-5</v>
      </c>
      <c r="Q8" s="214">
        <f t="shared" si="0"/>
        <v>-1.7086970181855171E-4</v>
      </c>
    </row>
    <row r="9" spans="3:17">
      <c r="C9" s="144">
        <v>3</v>
      </c>
      <c r="D9" s="144">
        <v>0.443</v>
      </c>
      <c r="E9" s="209">
        <f t="shared" si="1"/>
        <v>0.99909788001804234</v>
      </c>
      <c r="F9" s="129"/>
      <c r="G9" s="129"/>
      <c r="I9" s="144" t="s">
        <v>430</v>
      </c>
      <c r="O9" s="144" t="s">
        <v>431</v>
      </c>
      <c r="P9" s="144">
        <v>-6.5305709000000006E-8</v>
      </c>
      <c r="Q9" s="214">
        <f t="shared" si="0"/>
        <v>-1.4727654635768213E-7</v>
      </c>
    </row>
    <row r="10" spans="3:17">
      <c r="C10" s="144">
        <v>4</v>
      </c>
      <c r="D10" s="144">
        <v>0.4425</v>
      </c>
      <c r="E10" s="209">
        <f t="shared" si="1"/>
        <v>0.99797023004059537</v>
      </c>
      <c r="F10" s="129"/>
      <c r="G10" s="129"/>
      <c r="O10" s="144" t="s">
        <v>432</v>
      </c>
      <c r="P10" s="144">
        <v>7.7538859999999995E-9</v>
      </c>
      <c r="Q10" s="214">
        <f t="shared" si="0"/>
        <v>1.7486458204307717E-8</v>
      </c>
    </row>
    <row r="11" spans="3:17">
      <c r="C11" s="144">
        <v>5</v>
      </c>
      <c r="D11" s="144">
        <v>0.44190000000000002</v>
      </c>
      <c r="E11" s="209">
        <f t="shared" si="1"/>
        <v>0.99661705006765899</v>
      </c>
      <c r="F11" s="129"/>
      <c r="G11" s="129"/>
      <c r="I11" s="144" t="s">
        <v>433</v>
      </c>
      <c r="O11" s="144" t="s">
        <v>434</v>
      </c>
      <c r="P11" s="144">
        <v>-2.9375999999999998E-11</v>
      </c>
      <c r="Q11" s="214">
        <f t="shared" si="0"/>
        <v>-6.6248355496810703E-11</v>
      </c>
    </row>
    <row r="12" spans="3:17">
      <c r="C12" s="144">
        <v>6</v>
      </c>
      <c r="D12" s="144">
        <v>0.44109999999999999</v>
      </c>
      <c r="E12" s="209">
        <f t="shared" si="1"/>
        <v>0.99481281010374378</v>
      </c>
      <c r="F12" s="129"/>
      <c r="G12" s="129"/>
      <c r="I12" s="144" t="s">
        <v>435</v>
      </c>
      <c r="O12" s="144" t="s">
        <v>436</v>
      </c>
    </row>
    <row r="13" spans="3:17">
      <c r="C13" s="144">
        <v>7</v>
      </c>
      <c r="D13" s="144">
        <v>0.44019999999999998</v>
      </c>
      <c r="E13" s="209">
        <f t="shared" si="1"/>
        <v>0.99278304014433916</v>
      </c>
      <c r="F13" s="129"/>
      <c r="G13" s="129"/>
      <c r="O13" s="144" t="s">
        <v>437</v>
      </c>
      <c r="P13" s="144">
        <v>13.475</v>
      </c>
      <c r="Q13" s="144" t="s">
        <v>438</v>
      </c>
    </row>
    <row r="14" spans="3:17">
      <c r="C14" s="144">
        <v>8</v>
      </c>
      <c r="D14" s="144">
        <v>0.43919999999999998</v>
      </c>
      <c r="E14" s="209">
        <f t="shared" si="1"/>
        <v>0.99052774018944512</v>
      </c>
      <c r="F14" s="129"/>
      <c r="G14" s="129"/>
      <c r="O14" s="144" t="s">
        <v>420</v>
      </c>
      <c r="P14" s="144">
        <f>$P$6+P13*P7+P13^2*P8+P13^3*P9+P13^4*P10+P13^5*P11</f>
        <v>0.43073405774557583</v>
      </c>
    </row>
    <row r="15" spans="3:17">
      <c r="C15" s="144">
        <v>9</v>
      </c>
      <c r="D15" s="144">
        <v>0.43790000000000001</v>
      </c>
      <c r="E15" s="209">
        <f t="shared" si="1"/>
        <v>0.98759585024808294</v>
      </c>
      <c r="F15" s="129"/>
      <c r="G15" s="129"/>
      <c r="O15" s="144" t="s">
        <v>439</v>
      </c>
      <c r="P15" s="144">
        <f>(P6+P13*P7+P13^2*P8+P13^3*P9+P13^4*P10+P13^5*P11)/P6</f>
        <v>0.97138558626472959</v>
      </c>
    </row>
    <row r="16" spans="3:17">
      <c r="C16" s="144">
        <v>10</v>
      </c>
      <c r="D16" s="144">
        <v>0.43659999999999999</v>
      </c>
      <c r="E16" s="209">
        <f t="shared" si="1"/>
        <v>0.98466396030672076</v>
      </c>
      <c r="F16" s="129"/>
      <c r="G16" s="129"/>
    </row>
    <row r="17" spans="3:7">
      <c r="C17" s="144">
        <v>11</v>
      </c>
      <c r="D17" s="144">
        <v>0.43509999999999999</v>
      </c>
      <c r="E17" s="209">
        <f t="shared" si="1"/>
        <v>0.98128101037437976</v>
      </c>
      <c r="F17" s="129"/>
      <c r="G17" s="129"/>
    </row>
    <row r="18" spans="3:7">
      <c r="C18" s="144">
        <v>12</v>
      </c>
      <c r="D18" s="144">
        <v>0.43340000000000001</v>
      </c>
      <c r="E18" s="209">
        <f t="shared" si="1"/>
        <v>0.97744700045105992</v>
      </c>
      <c r="F18" s="129"/>
      <c r="G18" s="129"/>
    </row>
    <row r="19" spans="3:7">
      <c r="C19" s="144">
        <v>13</v>
      </c>
      <c r="D19" s="144">
        <v>0.43159999999999998</v>
      </c>
      <c r="E19" s="209">
        <f t="shared" si="1"/>
        <v>0.97338746053225067</v>
      </c>
      <c r="F19" s="129"/>
      <c r="G19" s="129"/>
    </row>
    <row r="20" spans="3:7">
      <c r="C20" s="144">
        <v>14</v>
      </c>
      <c r="D20" s="144">
        <v>0.42970000000000003</v>
      </c>
      <c r="E20" s="209">
        <f t="shared" si="1"/>
        <v>0.96910239061795223</v>
      </c>
      <c r="F20" s="129"/>
      <c r="G20" s="129"/>
    </row>
    <row r="21" spans="3:7">
      <c r="C21" s="144">
        <v>15</v>
      </c>
      <c r="D21" s="144">
        <v>0.42759999999999998</v>
      </c>
      <c r="E21" s="209">
        <f t="shared" si="1"/>
        <v>0.96436626071267473</v>
      </c>
      <c r="F21" s="129"/>
      <c r="G21" s="129"/>
    </row>
    <row r="22" spans="3:7">
      <c r="C22" s="144">
        <v>16</v>
      </c>
      <c r="D22" s="144">
        <v>0.4254</v>
      </c>
      <c r="E22" s="209">
        <f t="shared" si="1"/>
        <v>0.95940460081190793</v>
      </c>
      <c r="F22" s="129"/>
      <c r="G22" s="129"/>
    </row>
    <row r="23" spans="3:7">
      <c r="C23" s="144">
        <v>17</v>
      </c>
      <c r="D23" s="144">
        <v>0.42309999999999998</v>
      </c>
      <c r="E23" s="209">
        <f t="shared" si="1"/>
        <v>0.95421741091565171</v>
      </c>
      <c r="F23" s="129"/>
      <c r="G23" s="129"/>
    </row>
    <row r="24" spans="3:7">
      <c r="C24" s="144">
        <v>18</v>
      </c>
      <c r="D24" s="144">
        <v>0.42059999999999997</v>
      </c>
      <c r="E24" s="209">
        <f t="shared" si="1"/>
        <v>0.94857916102841666</v>
      </c>
      <c r="F24" s="129"/>
      <c r="G24" s="129"/>
    </row>
    <row r="25" spans="3:7">
      <c r="C25" s="144">
        <v>19</v>
      </c>
      <c r="D25" s="144">
        <v>0.41799999999999998</v>
      </c>
      <c r="E25" s="209">
        <f t="shared" si="1"/>
        <v>0.94271538114569231</v>
      </c>
      <c r="F25" s="129"/>
      <c r="G25" s="129"/>
    </row>
    <row r="26" spans="3:7">
      <c r="C26" s="144">
        <v>20</v>
      </c>
      <c r="D26" s="144">
        <v>0.41520000000000001</v>
      </c>
      <c r="E26" s="209">
        <f t="shared" si="1"/>
        <v>0.93640054127198913</v>
      </c>
      <c r="F26" s="129"/>
      <c r="G26" s="129"/>
    </row>
    <row r="27" spans="3:7">
      <c r="C27" s="144">
        <v>21</v>
      </c>
      <c r="D27" s="144">
        <v>0.4123</v>
      </c>
      <c r="E27" s="209">
        <f t="shared" si="1"/>
        <v>0.92986017140279653</v>
      </c>
      <c r="F27" s="129"/>
      <c r="G27" s="129"/>
    </row>
    <row r="28" spans="3:7">
      <c r="C28" s="144">
        <v>22</v>
      </c>
      <c r="D28" s="144">
        <v>0.4093</v>
      </c>
      <c r="E28" s="209">
        <f t="shared" si="1"/>
        <v>0.92309427153811452</v>
      </c>
      <c r="F28" s="129"/>
      <c r="G28" s="129"/>
    </row>
    <row r="29" spans="3:7">
      <c r="C29" s="144">
        <v>23</v>
      </c>
      <c r="D29" s="144">
        <v>0.40620000000000001</v>
      </c>
      <c r="E29" s="209">
        <f t="shared" si="1"/>
        <v>0.91610284167794309</v>
      </c>
      <c r="F29" s="129"/>
      <c r="G29" s="129"/>
    </row>
    <row r="30" spans="3:7">
      <c r="C30" s="144">
        <v>24</v>
      </c>
      <c r="D30" s="144">
        <v>0.40300000000000002</v>
      </c>
      <c r="E30" s="209">
        <f t="shared" si="1"/>
        <v>0.90888588182228236</v>
      </c>
      <c r="F30" s="129"/>
      <c r="G30" s="129"/>
    </row>
    <row r="31" spans="3:7">
      <c r="C31" s="144">
        <v>25</v>
      </c>
      <c r="D31" s="144">
        <v>0.39960000000000001</v>
      </c>
      <c r="E31" s="209">
        <f t="shared" si="1"/>
        <v>0.9012178619756428</v>
      </c>
      <c r="F31" s="129"/>
      <c r="G31" s="129"/>
    </row>
    <row r="32" spans="3:7">
      <c r="C32" s="144">
        <v>26</v>
      </c>
      <c r="D32" s="144">
        <v>0.3962</v>
      </c>
      <c r="E32" s="209">
        <f t="shared" si="1"/>
        <v>0.89354984212900312</v>
      </c>
      <c r="F32" s="129"/>
      <c r="G32" s="129"/>
    </row>
    <row r="33" spans="3:9">
      <c r="C33" s="144">
        <v>27</v>
      </c>
      <c r="D33" s="144">
        <v>0.3926</v>
      </c>
      <c r="E33" s="209">
        <f t="shared" si="1"/>
        <v>0.88543076229138473</v>
      </c>
      <c r="F33" s="129"/>
      <c r="G33" s="129"/>
    </row>
    <row r="34" spans="3:9">
      <c r="C34" s="144">
        <v>28</v>
      </c>
      <c r="D34" s="144">
        <v>0.38890000000000002</v>
      </c>
      <c r="E34" s="209">
        <f t="shared" si="1"/>
        <v>0.87708615245827692</v>
      </c>
      <c r="F34" s="129"/>
      <c r="G34" s="129"/>
    </row>
    <row r="35" spans="3:9">
      <c r="C35" s="144">
        <v>29</v>
      </c>
      <c r="D35" s="144">
        <v>0.3851</v>
      </c>
      <c r="E35" s="209">
        <f t="shared" si="1"/>
        <v>0.8685160126296797</v>
      </c>
      <c r="F35" s="129"/>
      <c r="G35" s="129"/>
    </row>
    <row r="36" spans="3:9">
      <c r="C36" s="144">
        <v>30</v>
      </c>
      <c r="D36" s="144">
        <v>0.38119999999999998</v>
      </c>
      <c r="E36" s="209">
        <f t="shared" si="1"/>
        <v>0.85972034280559306</v>
      </c>
      <c r="F36" s="129"/>
      <c r="G36" s="129"/>
    </row>
    <row r="37" spans="3:9">
      <c r="C37" s="144">
        <v>31</v>
      </c>
      <c r="D37" s="144">
        <v>0.37719999999999998</v>
      </c>
      <c r="E37" s="209">
        <f t="shared" si="1"/>
        <v>0.85069914298601701</v>
      </c>
      <c r="F37" s="129"/>
      <c r="G37" s="129"/>
    </row>
    <row r="38" spans="3:9">
      <c r="C38" s="144">
        <v>32</v>
      </c>
      <c r="D38" s="144">
        <v>0.37319999999999998</v>
      </c>
      <c r="E38" s="209">
        <f t="shared" si="1"/>
        <v>0.84167794316644107</v>
      </c>
      <c r="F38" s="129"/>
      <c r="G38" s="129"/>
    </row>
    <row r="39" spans="3:9">
      <c r="C39" s="144">
        <v>33</v>
      </c>
      <c r="D39" s="144">
        <v>0.36899999999999999</v>
      </c>
      <c r="E39" s="209">
        <f t="shared" si="1"/>
        <v>0.83220568335588629</v>
      </c>
      <c r="F39" s="129"/>
      <c r="G39" s="129"/>
    </row>
    <row r="40" spans="3:9">
      <c r="C40" s="144">
        <v>34</v>
      </c>
      <c r="D40" s="144">
        <v>0.36480000000000001</v>
      </c>
      <c r="E40" s="209">
        <f t="shared" si="1"/>
        <v>0.82273342354533152</v>
      </c>
      <c r="F40" s="129"/>
      <c r="G40" s="129"/>
    </row>
    <row r="41" spans="3:9">
      <c r="C41" s="144">
        <v>35</v>
      </c>
      <c r="D41" s="144">
        <v>0.36049999999999999</v>
      </c>
      <c r="E41" s="209">
        <f t="shared" si="1"/>
        <v>0.81303563373928722</v>
      </c>
      <c r="F41" s="129"/>
      <c r="G41" s="129"/>
    </row>
    <row r="42" spans="3:9">
      <c r="C42" s="144">
        <v>36</v>
      </c>
      <c r="D42" s="144">
        <v>0.35610000000000003</v>
      </c>
      <c r="E42" s="209">
        <f t="shared" si="1"/>
        <v>0.80311231393775373</v>
      </c>
      <c r="F42" s="129"/>
      <c r="G42" s="129"/>
    </row>
    <row r="43" spans="3:9">
      <c r="C43" s="144">
        <v>37</v>
      </c>
      <c r="D43" s="144">
        <v>0.35160000000000002</v>
      </c>
      <c r="E43" s="209">
        <f t="shared" si="1"/>
        <v>0.79296346414073071</v>
      </c>
      <c r="F43" s="129"/>
      <c r="G43" s="129"/>
    </row>
    <row r="44" spans="3:9">
      <c r="C44" s="144">
        <v>38</v>
      </c>
      <c r="D44" s="144">
        <v>0.34699999999999998</v>
      </c>
      <c r="E44" s="209">
        <f t="shared" si="1"/>
        <v>0.78258908434821828</v>
      </c>
      <c r="F44" s="129"/>
      <c r="G44" s="129"/>
    </row>
    <row r="45" spans="3:9">
      <c r="C45" s="144">
        <v>39</v>
      </c>
      <c r="D45" s="144">
        <v>0.34239999999999998</v>
      </c>
      <c r="E45" s="209">
        <f t="shared" si="1"/>
        <v>0.77221470455570584</v>
      </c>
      <c r="F45" s="129"/>
      <c r="G45" s="129"/>
    </row>
    <row r="46" spans="3:9">
      <c r="C46" s="144">
        <v>40</v>
      </c>
      <c r="D46" s="144">
        <v>0.33779999999999999</v>
      </c>
      <c r="E46" s="209">
        <f t="shared" si="1"/>
        <v>0.76184032476319341</v>
      </c>
      <c r="F46" s="129"/>
      <c r="G46" s="129"/>
      <c r="I46" s="39"/>
    </row>
    <row r="47" spans="3:9">
      <c r="C47" s="144">
        <v>41</v>
      </c>
      <c r="D47" s="144">
        <v>0.33310000000000001</v>
      </c>
      <c r="E47" s="209">
        <f t="shared" si="1"/>
        <v>0.75124041497519167</v>
      </c>
      <c r="F47" s="129"/>
      <c r="G47" s="129"/>
    </row>
    <row r="48" spans="3:9">
      <c r="C48" s="144">
        <v>42</v>
      </c>
      <c r="D48" s="144">
        <v>0.32829999999999998</v>
      </c>
      <c r="E48" s="209">
        <f t="shared" si="1"/>
        <v>0.74041497519170041</v>
      </c>
      <c r="F48" s="129"/>
      <c r="G48" s="129"/>
    </row>
    <row r="49" spans="3:7">
      <c r="C49" s="144">
        <v>43</v>
      </c>
      <c r="D49" s="144">
        <v>0.32350000000000001</v>
      </c>
      <c r="E49" s="209">
        <f t="shared" si="1"/>
        <v>0.72958953540820926</v>
      </c>
      <c r="F49" s="129"/>
      <c r="G49" s="129"/>
    </row>
    <row r="50" spans="3:7">
      <c r="C50" s="144">
        <v>44</v>
      </c>
      <c r="D50" s="144">
        <v>0.31859999999999999</v>
      </c>
      <c r="E50" s="209">
        <f t="shared" si="1"/>
        <v>0.71853856562922869</v>
      </c>
      <c r="F50" s="129"/>
      <c r="G50" s="129"/>
    </row>
    <row r="51" spans="3:7">
      <c r="C51" s="144">
        <v>45</v>
      </c>
      <c r="D51" s="144">
        <v>0.31369999999999998</v>
      </c>
      <c r="E51" s="209">
        <f t="shared" si="1"/>
        <v>0.70748759585024801</v>
      </c>
      <c r="F51" s="129"/>
      <c r="G51" s="129"/>
    </row>
    <row r="52" spans="3:7">
      <c r="C52" s="144">
        <v>46</v>
      </c>
      <c r="D52" s="144">
        <v>0.30880000000000002</v>
      </c>
      <c r="E52" s="209">
        <f t="shared" si="1"/>
        <v>0.69643662607126755</v>
      </c>
      <c r="F52" s="129"/>
      <c r="G52" s="129"/>
    </row>
    <row r="53" spans="3:7">
      <c r="C53" s="144">
        <v>47</v>
      </c>
      <c r="D53" s="144">
        <v>0.30380000000000001</v>
      </c>
      <c r="E53" s="209">
        <f t="shared" si="1"/>
        <v>0.68516012629679746</v>
      </c>
      <c r="F53" s="129"/>
      <c r="G53" s="129"/>
    </row>
    <row r="54" spans="3:7">
      <c r="C54" s="144">
        <v>48</v>
      </c>
      <c r="D54" s="144">
        <v>0.29880000000000001</v>
      </c>
      <c r="E54" s="209">
        <f t="shared" si="1"/>
        <v>0.67388362652232747</v>
      </c>
      <c r="F54" s="129"/>
      <c r="G54" s="129"/>
    </row>
    <row r="55" spans="3:7">
      <c r="C55" s="144">
        <v>49</v>
      </c>
      <c r="D55" s="144">
        <v>0.29380000000000001</v>
      </c>
      <c r="E55" s="209">
        <f t="shared" si="1"/>
        <v>0.66260712674785749</v>
      </c>
      <c r="F55" s="129"/>
      <c r="G55" s="129"/>
    </row>
    <row r="56" spans="3:7">
      <c r="C56" s="144">
        <v>50</v>
      </c>
      <c r="D56" s="144">
        <v>0.2888</v>
      </c>
      <c r="E56" s="209">
        <f t="shared" si="1"/>
        <v>0.65133062697338739</v>
      </c>
      <c r="F56" s="129"/>
      <c r="G56" s="129"/>
    </row>
    <row r="57" spans="3:7">
      <c r="C57" s="129"/>
      <c r="D57" s="129"/>
      <c r="E57" s="210"/>
      <c r="F57" s="129"/>
      <c r="G57" s="129"/>
    </row>
    <row r="58" spans="3:7">
      <c r="C58" s="129"/>
      <c r="D58" s="129"/>
      <c r="E58" s="210"/>
      <c r="F58" s="129"/>
      <c r="G58" s="129"/>
    </row>
    <row r="59" spans="3:7">
      <c r="C59" s="129"/>
      <c r="D59" s="129"/>
      <c r="E59" s="210"/>
      <c r="F59" s="129"/>
      <c r="G59" s="129"/>
    </row>
    <row r="60" spans="3:7">
      <c r="C60" s="129"/>
      <c r="D60" s="129"/>
      <c r="E60" s="210"/>
      <c r="F60" s="129"/>
      <c r="G60" s="129"/>
    </row>
    <row r="61" spans="3:7">
      <c r="C61" s="129"/>
      <c r="D61" s="129"/>
      <c r="E61" s="210"/>
      <c r="F61" s="129"/>
      <c r="G61" s="129"/>
    </row>
    <row r="62" spans="3:7">
      <c r="C62" s="129"/>
      <c r="D62" s="129"/>
      <c r="E62" s="210"/>
      <c r="F62" s="129"/>
      <c r="G62" s="129"/>
    </row>
    <row r="63" spans="3:7">
      <c r="C63" s="129"/>
      <c r="D63" s="129"/>
      <c r="E63" s="210"/>
      <c r="F63" s="129"/>
      <c r="G63" s="129"/>
    </row>
    <row r="64" spans="3:7">
      <c r="C64" s="129"/>
      <c r="D64" s="129"/>
      <c r="E64" s="210"/>
      <c r="F64" s="129"/>
      <c r="G64" s="129"/>
    </row>
    <row r="65" spans="3:7">
      <c r="C65" s="129"/>
      <c r="D65" s="129"/>
      <c r="E65" s="210"/>
      <c r="F65" s="129"/>
      <c r="G65" s="129"/>
    </row>
    <row r="66" spans="3:7">
      <c r="C66" s="129"/>
      <c r="D66" s="129"/>
      <c r="E66" s="210"/>
      <c r="F66" s="129"/>
      <c r="G66" s="129"/>
    </row>
    <row r="67" spans="3:7">
      <c r="C67" s="129"/>
      <c r="D67" s="129"/>
      <c r="E67" s="210"/>
      <c r="F67" s="129"/>
      <c r="G67" s="129"/>
    </row>
    <row r="68" spans="3:7">
      <c r="C68" s="129"/>
      <c r="D68" s="129"/>
      <c r="E68" s="210"/>
      <c r="F68" s="129"/>
      <c r="G68" s="129"/>
    </row>
    <row r="69" spans="3:7">
      <c r="C69" s="129"/>
      <c r="D69" s="129"/>
      <c r="E69" s="210"/>
      <c r="F69" s="129"/>
      <c r="G69" s="129"/>
    </row>
    <row r="70" spans="3:7">
      <c r="C70" s="129"/>
      <c r="D70" s="129"/>
      <c r="E70" s="210"/>
      <c r="F70" s="129"/>
      <c r="G70" s="129"/>
    </row>
    <row r="71" spans="3:7">
      <c r="C71" s="129"/>
      <c r="D71" s="129"/>
      <c r="E71" s="210"/>
      <c r="F71" s="129"/>
      <c r="G71" s="129"/>
    </row>
    <row r="72" spans="3:7">
      <c r="C72" s="129"/>
      <c r="D72" s="129"/>
      <c r="E72" s="210"/>
      <c r="F72" s="129"/>
      <c r="G72" s="129"/>
    </row>
    <row r="73" spans="3:7">
      <c r="C73" s="129"/>
      <c r="D73" s="129"/>
      <c r="E73" s="210"/>
      <c r="F73" s="129"/>
      <c r="G73" s="129"/>
    </row>
    <row r="74" spans="3:7">
      <c r="C74" s="129"/>
      <c r="D74" s="129"/>
      <c r="E74" s="210"/>
      <c r="F74" s="129"/>
      <c r="G74" s="129"/>
    </row>
    <row r="75" spans="3:7">
      <c r="C75" s="129"/>
      <c r="D75" s="129"/>
      <c r="E75" s="210"/>
      <c r="F75" s="129"/>
      <c r="G75" s="129"/>
    </row>
    <row r="76" spans="3:7">
      <c r="C76" s="129"/>
      <c r="D76" s="129"/>
      <c r="E76" s="210"/>
      <c r="F76" s="129"/>
      <c r="G76" s="129"/>
    </row>
    <row r="77" spans="3:7">
      <c r="C77" s="129"/>
      <c r="D77" s="129"/>
      <c r="E77" s="210"/>
      <c r="F77" s="129"/>
      <c r="G77" s="129"/>
    </row>
    <row r="78" spans="3:7">
      <c r="C78" s="129"/>
      <c r="D78" s="129"/>
      <c r="E78" s="210"/>
      <c r="F78" s="129"/>
      <c r="G78" s="129"/>
    </row>
    <row r="79" spans="3:7">
      <c r="C79" s="129"/>
      <c r="D79" s="129"/>
      <c r="E79" s="210"/>
      <c r="F79" s="129"/>
      <c r="G79" s="129"/>
    </row>
    <row r="80" spans="3:7">
      <c r="C80" s="129"/>
      <c r="D80" s="129"/>
      <c r="E80" s="210"/>
      <c r="F80" s="129"/>
      <c r="G80" s="129"/>
    </row>
    <row r="81" spans="3:7">
      <c r="C81" s="129"/>
      <c r="D81" s="129"/>
      <c r="E81" s="210"/>
      <c r="F81" s="129"/>
      <c r="G81" s="129"/>
    </row>
    <row r="82" spans="3:7">
      <c r="C82" s="129"/>
      <c r="D82" s="129"/>
      <c r="E82" s="210"/>
      <c r="F82" s="129"/>
      <c r="G82" s="129"/>
    </row>
    <row r="83" spans="3:7">
      <c r="C83" s="129"/>
      <c r="D83" s="129"/>
      <c r="E83" s="210"/>
      <c r="F83" s="129"/>
      <c r="G83" s="129"/>
    </row>
    <row r="84" spans="3:7">
      <c r="C84" s="129"/>
      <c r="D84" s="129"/>
      <c r="E84" s="210"/>
      <c r="F84" s="129"/>
      <c r="G84" s="129"/>
    </row>
    <row r="85" spans="3:7">
      <c r="C85" s="129"/>
      <c r="D85" s="129"/>
      <c r="E85" s="210"/>
      <c r="F85" s="129"/>
      <c r="G85" s="129"/>
    </row>
    <row r="86" spans="3:7">
      <c r="C86" s="129"/>
      <c r="D86" s="129"/>
      <c r="E86" s="210"/>
      <c r="F86" s="129"/>
      <c r="G86" s="129"/>
    </row>
    <row r="87" spans="3:7">
      <c r="C87" s="129"/>
      <c r="D87" s="129"/>
      <c r="E87" s="210"/>
      <c r="F87" s="129"/>
      <c r="G87" s="129"/>
    </row>
    <row r="88" spans="3:7">
      <c r="C88" s="129"/>
      <c r="D88" s="129"/>
      <c r="E88" s="210"/>
      <c r="F88" s="129"/>
      <c r="G88" s="129"/>
    </row>
    <row r="89" spans="3:7">
      <c r="C89" s="129"/>
      <c r="D89" s="129"/>
      <c r="E89" s="210"/>
      <c r="F89" s="129"/>
      <c r="G89" s="129"/>
    </row>
    <row r="90" spans="3:7">
      <c r="C90" s="129"/>
      <c r="D90" s="129"/>
      <c r="E90" s="210"/>
      <c r="F90" s="129"/>
      <c r="G90" s="129"/>
    </row>
    <row r="91" spans="3:7">
      <c r="C91" s="129"/>
      <c r="D91" s="129"/>
      <c r="E91" s="210"/>
      <c r="F91" s="129"/>
      <c r="G91" s="129"/>
    </row>
    <row r="92" spans="3:7">
      <c r="C92" s="129"/>
      <c r="D92" s="129"/>
      <c r="E92" s="210"/>
      <c r="F92" s="129"/>
      <c r="G92" s="129"/>
    </row>
    <row r="93" spans="3:7">
      <c r="C93" s="129"/>
      <c r="D93" s="129"/>
      <c r="E93" s="210"/>
      <c r="F93" s="129"/>
      <c r="G93" s="129"/>
    </row>
    <row r="94" spans="3:7">
      <c r="C94" s="129"/>
      <c r="D94" s="129"/>
      <c r="E94" s="210"/>
      <c r="F94" s="129"/>
      <c r="G94" s="129"/>
    </row>
    <row r="95" spans="3:7">
      <c r="C95" s="129"/>
      <c r="D95" s="129"/>
      <c r="E95" s="210"/>
      <c r="F95" s="129"/>
      <c r="G95" s="129"/>
    </row>
    <row r="96" spans="3:7">
      <c r="C96" s="129"/>
      <c r="D96" s="129"/>
      <c r="E96" s="210"/>
      <c r="F96" s="129"/>
      <c r="G96" s="129"/>
    </row>
    <row r="97" spans="3:7">
      <c r="C97" s="129"/>
      <c r="D97" s="129"/>
      <c r="E97" s="210"/>
      <c r="F97" s="129"/>
      <c r="G97" s="129"/>
    </row>
    <row r="98" spans="3:7">
      <c r="C98" s="129"/>
      <c r="D98" s="129"/>
      <c r="E98" s="210"/>
      <c r="F98" s="129"/>
      <c r="G98" s="129"/>
    </row>
    <row r="99" spans="3:7">
      <c r="C99" s="129"/>
      <c r="D99" s="129"/>
      <c r="E99" s="210"/>
      <c r="F99" s="129"/>
      <c r="G99" s="129"/>
    </row>
    <row r="100" spans="3:7">
      <c r="C100" s="129"/>
      <c r="D100" s="129"/>
      <c r="E100" s="210"/>
      <c r="F100" s="129"/>
      <c r="G100" s="129"/>
    </row>
    <row r="101" spans="3:7">
      <c r="C101" s="129"/>
      <c r="D101" s="129"/>
      <c r="E101" s="210"/>
      <c r="F101" s="129"/>
      <c r="G101" s="129"/>
    </row>
    <row r="102" spans="3:7">
      <c r="C102" s="129"/>
      <c r="D102" s="129"/>
      <c r="E102" s="210"/>
      <c r="F102" s="129"/>
      <c r="G102" s="129"/>
    </row>
    <row r="103" spans="3:7">
      <c r="C103" s="129"/>
      <c r="D103" s="129"/>
      <c r="E103" s="210"/>
      <c r="F103" s="129"/>
      <c r="G103" s="129"/>
    </row>
    <row r="104" spans="3:7">
      <c r="C104" s="129"/>
      <c r="D104" s="129"/>
      <c r="E104" s="210"/>
      <c r="F104" s="129"/>
      <c r="G104" s="129"/>
    </row>
    <row r="105" spans="3:7">
      <c r="C105" s="129"/>
      <c r="D105" s="129"/>
      <c r="E105" s="210"/>
      <c r="F105" s="129"/>
      <c r="G105" s="129"/>
    </row>
    <row r="106" spans="3:7">
      <c r="C106" s="129"/>
      <c r="D106" s="129"/>
      <c r="E106" s="210"/>
      <c r="F106" s="129"/>
      <c r="G106" s="129"/>
    </row>
  </sheetData>
  <pageMargins left="0.7" right="0.7" top="0.75" bottom="0.75" header="0.3" footer="0.3"/>
  <pageSetup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66"/>
  <sheetViews>
    <sheetView workbookViewId="0">
      <selection activeCell="M15" sqref="M15"/>
    </sheetView>
  </sheetViews>
  <sheetFormatPr defaultColWidth="8.88671875" defaultRowHeight="14.4"/>
  <cols>
    <col min="1" max="1" width="15" style="144" bestFit="1" customWidth="1"/>
    <col min="2" max="2" width="8.88671875" style="144"/>
    <col min="3" max="3" width="11.33203125" style="144" customWidth="1"/>
    <col min="4" max="12" width="8.88671875" style="144"/>
    <col min="13" max="13" width="10.44140625" style="144" customWidth="1"/>
    <col min="14" max="16384" width="8.88671875" style="144"/>
  </cols>
  <sheetData>
    <row r="4" spans="1:15">
      <c r="A4" s="211" t="s">
        <v>440</v>
      </c>
      <c r="B4" s="211" t="s">
        <v>420</v>
      </c>
      <c r="C4" s="211" t="s">
        <v>421</v>
      </c>
      <c r="M4" s="144" t="s">
        <v>423</v>
      </c>
    </row>
    <row r="5" spans="1:15" ht="15" thickBot="1">
      <c r="A5" s="144">
        <v>0</v>
      </c>
      <c r="B5" s="144">
        <v>0.44359999999999999</v>
      </c>
      <c r="C5" s="129">
        <f>B5/B$5</f>
        <v>1</v>
      </c>
      <c r="E5" s="13" t="s">
        <v>422</v>
      </c>
      <c r="F5" s="13"/>
      <c r="G5" s="13"/>
      <c r="H5" s="13"/>
      <c r="N5" s="144" t="s">
        <v>447</v>
      </c>
      <c r="O5" s="144" t="s">
        <v>449</v>
      </c>
    </row>
    <row r="6" spans="1:15">
      <c r="A6" s="144">
        <v>1</v>
      </c>
      <c r="B6" s="144">
        <v>0.44330000000000003</v>
      </c>
      <c r="C6" s="210">
        <f t="shared" ref="C6:C55" si="0">B6/B$5</f>
        <v>0.99932371505861139</v>
      </c>
      <c r="E6" s="144" t="s">
        <v>424</v>
      </c>
      <c r="M6" s="144" t="s">
        <v>425</v>
      </c>
      <c r="N6" s="144">
        <v>0.443429526890814</v>
      </c>
      <c r="O6" s="144">
        <f t="shared" ref="O6:O11" si="1">N6/N$6</f>
        <v>1</v>
      </c>
    </row>
    <row r="7" spans="1:15">
      <c r="A7" s="144">
        <v>2</v>
      </c>
      <c r="B7" s="144">
        <v>0.44280000000000003</v>
      </c>
      <c r="C7" s="210">
        <f t="shared" si="0"/>
        <v>0.99819657348963042</v>
      </c>
      <c r="E7" s="144" t="s">
        <v>426</v>
      </c>
      <c r="M7" s="144" t="s">
        <v>427</v>
      </c>
      <c r="N7" s="144">
        <v>6.2768630621000006E-5</v>
      </c>
      <c r="O7" s="144">
        <f t="shared" si="1"/>
        <v>1.4155266353396348E-4</v>
      </c>
    </row>
    <row r="8" spans="1:15">
      <c r="A8" s="144">
        <v>3</v>
      </c>
      <c r="B8" s="144">
        <v>0.44209999999999999</v>
      </c>
      <c r="C8" s="210">
        <f t="shared" si="0"/>
        <v>0.99661857529305675</v>
      </c>
      <c r="E8" s="144" t="s">
        <v>428</v>
      </c>
      <c r="M8" s="144" t="s">
        <v>429</v>
      </c>
      <c r="N8" s="144">
        <v>-1.6569726694900001E-4</v>
      </c>
      <c r="O8" s="144">
        <f t="shared" si="1"/>
        <v>-3.7367215510166011E-4</v>
      </c>
    </row>
    <row r="9" spans="1:15">
      <c r="A9" s="144">
        <v>4</v>
      </c>
      <c r="B9" s="144">
        <v>0.441</v>
      </c>
      <c r="C9" s="210">
        <f t="shared" si="0"/>
        <v>0.99413886384129846</v>
      </c>
      <c r="E9" s="144" t="s">
        <v>430</v>
      </c>
      <c r="M9" s="144" t="s">
        <v>431</v>
      </c>
      <c r="N9" s="144">
        <v>7.8437228800000002E-7</v>
      </c>
      <c r="O9" s="144">
        <f t="shared" si="1"/>
        <v>1.7688769926977295E-6</v>
      </c>
    </row>
    <row r="10" spans="1:15">
      <c r="A10" s="144">
        <v>5</v>
      </c>
      <c r="B10" s="144">
        <v>0.43969999999999998</v>
      </c>
      <c r="C10" s="210">
        <f t="shared" si="0"/>
        <v>0.99120829576194769</v>
      </c>
      <c r="E10" s="144" t="s">
        <v>441</v>
      </c>
      <c r="M10" s="144" t="s">
        <v>432</v>
      </c>
      <c r="N10" s="144">
        <v>3.6503940000000001E-8</v>
      </c>
      <c r="O10" s="144">
        <f t="shared" si="1"/>
        <v>8.2321852259036407E-8</v>
      </c>
    </row>
    <row r="11" spans="1:15">
      <c r="A11" s="144">
        <v>6</v>
      </c>
      <c r="B11" s="144">
        <v>0.438</v>
      </c>
      <c r="C11" s="210">
        <f t="shared" si="0"/>
        <v>0.98737601442741207</v>
      </c>
      <c r="M11" s="144" t="s">
        <v>434</v>
      </c>
      <c r="N11" s="144">
        <v>-3.8695599999999999E-10</v>
      </c>
      <c r="O11" s="144">
        <f t="shared" si="1"/>
        <v>-8.7264373825805349E-10</v>
      </c>
    </row>
    <row r="12" spans="1:15">
      <c r="A12" s="144">
        <v>7</v>
      </c>
      <c r="B12" s="144">
        <v>0.43609999999999999</v>
      </c>
      <c r="C12" s="210">
        <f t="shared" si="0"/>
        <v>0.98309287646528398</v>
      </c>
      <c r="M12" s="144" t="s">
        <v>436</v>
      </c>
    </row>
    <row r="13" spans="1:15">
      <c r="A13" s="144">
        <v>8</v>
      </c>
      <c r="B13" s="144">
        <v>0.43390000000000001</v>
      </c>
      <c r="C13" s="210">
        <f t="shared" si="0"/>
        <v>0.9781334535617674</v>
      </c>
      <c r="M13" s="144" t="s">
        <v>442</v>
      </c>
      <c r="N13" s="144">
        <v>15.63</v>
      </c>
      <c r="O13" s="144" t="s">
        <v>438</v>
      </c>
    </row>
    <row r="14" spans="1:15">
      <c r="A14" s="144">
        <v>9</v>
      </c>
      <c r="B14" s="144">
        <v>0.43140000000000001</v>
      </c>
      <c r="C14" s="210">
        <f t="shared" si="0"/>
        <v>0.97249774571686209</v>
      </c>
      <c r="M14" s="144" t="s">
        <v>420</v>
      </c>
      <c r="N14" s="144">
        <f>N6+N13*N7+N13^2*N8+N13^3*N9+N13^4*N10+N13^5*N11</f>
        <v>0.40874392103856588</v>
      </c>
      <c r="O14" s="144">
        <f>N14/N6</f>
        <v>0.9217787635941781</v>
      </c>
    </row>
    <row r="15" spans="1:15">
      <c r="A15" s="144">
        <v>10</v>
      </c>
      <c r="B15" s="144">
        <v>0.42859999999999998</v>
      </c>
      <c r="C15" s="210">
        <f t="shared" si="0"/>
        <v>0.96618575293056808</v>
      </c>
    </row>
    <row r="16" spans="1:15">
      <c r="A16" s="144">
        <v>11</v>
      </c>
      <c r="B16" s="144">
        <v>0.42559999999999998</v>
      </c>
      <c r="C16" s="210">
        <f t="shared" si="0"/>
        <v>0.95942290351668169</v>
      </c>
    </row>
    <row r="17" spans="1:16">
      <c r="A17" s="144">
        <v>12</v>
      </c>
      <c r="B17" s="144">
        <v>0.4224</v>
      </c>
      <c r="C17" s="210">
        <f t="shared" si="0"/>
        <v>0.95220919747520294</v>
      </c>
      <c r="M17" s="144" t="s">
        <v>443</v>
      </c>
      <c r="P17" s="212"/>
    </row>
    <row r="18" spans="1:16">
      <c r="A18" s="144">
        <v>13</v>
      </c>
      <c r="B18" s="144">
        <v>0.41889999999999999</v>
      </c>
      <c r="C18" s="210">
        <f t="shared" si="0"/>
        <v>0.94431920649233547</v>
      </c>
      <c r="M18" s="144" t="s">
        <v>444</v>
      </c>
    </row>
    <row r="19" spans="1:16">
      <c r="A19" s="144">
        <v>14</v>
      </c>
      <c r="B19" s="144">
        <v>0.41520000000000001</v>
      </c>
      <c r="C19" s="210">
        <f t="shared" si="0"/>
        <v>0.93597835888187564</v>
      </c>
      <c r="M19" s="144" t="s">
        <v>445</v>
      </c>
    </row>
    <row r="20" spans="1:16">
      <c r="A20" s="144">
        <v>15</v>
      </c>
      <c r="B20" s="144">
        <v>0.4113</v>
      </c>
      <c r="C20" s="210">
        <f t="shared" si="0"/>
        <v>0.92718665464382333</v>
      </c>
      <c r="M20" s="144" t="s">
        <v>446</v>
      </c>
    </row>
    <row r="21" spans="1:16">
      <c r="A21" s="144">
        <v>16</v>
      </c>
      <c r="B21" s="144">
        <v>0.4073</v>
      </c>
      <c r="C21" s="210">
        <f t="shared" si="0"/>
        <v>0.91816952209197478</v>
      </c>
    </row>
    <row r="22" spans="1:16">
      <c r="A22" s="144">
        <v>17</v>
      </c>
      <c r="B22" s="144">
        <v>0.40300000000000002</v>
      </c>
      <c r="C22" s="210">
        <f t="shared" si="0"/>
        <v>0.90847610459873762</v>
      </c>
    </row>
    <row r="23" spans="1:16">
      <c r="A23" s="144">
        <v>18</v>
      </c>
      <c r="B23" s="144">
        <v>0.39860000000000001</v>
      </c>
      <c r="C23" s="210">
        <f t="shared" si="0"/>
        <v>0.89855725879170423</v>
      </c>
    </row>
    <row r="24" spans="1:16">
      <c r="A24" s="144">
        <v>19</v>
      </c>
      <c r="B24" s="144">
        <v>0.39400000000000002</v>
      </c>
      <c r="C24" s="210">
        <f t="shared" si="0"/>
        <v>0.88818755635707847</v>
      </c>
    </row>
    <row r="25" spans="1:16">
      <c r="A25" s="144">
        <v>20</v>
      </c>
      <c r="B25" s="144">
        <v>0.38929999999999998</v>
      </c>
      <c r="C25" s="210">
        <f t="shared" si="0"/>
        <v>0.87759242560865636</v>
      </c>
    </row>
    <row r="26" spans="1:16">
      <c r="A26" s="144">
        <v>21</v>
      </c>
      <c r="B26" s="144">
        <v>0.38440000000000002</v>
      </c>
      <c r="C26" s="210">
        <f t="shared" si="0"/>
        <v>0.8665464382326421</v>
      </c>
    </row>
    <row r="27" spans="1:16">
      <c r="A27" s="144">
        <v>22</v>
      </c>
      <c r="B27" s="144">
        <v>0.3795</v>
      </c>
      <c r="C27" s="210">
        <f t="shared" si="0"/>
        <v>0.85550045085662763</v>
      </c>
    </row>
    <row r="28" spans="1:16">
      <c r="A28" s="144">
        <v>23</v>
      </c>
      <c r="B28" s="144">
        <v>0.37440000000000001</v>
      </c>
      <c r="C28" s="210">
        <f t="shared" si="0"/>
        <v>0.84400360685302078</v>
      </c>
    </row>
    <row r="29" spans="1:16">
      <c r="A29" s="144">
        <v>24</v>
      </c>
      <c r="B29" s="144">
        <v>0.36930000000000002</v>
      </c>
      <c r="C29" s="210">
        <f t="shared" si="0"/>
        <v>0.83250676284941394</v>
      </c>
    </row>
    <row r="30" spans="1:16">
      <c r="A30" s="144">
        <v>25</v>
      </c>
      <c r="B30" s="144">
        <v>0.36409999999999998</v>
      </c>
      <c r="C30" s="210">
        <f t="shared" si="0"/>
        <v>0.82078449053201075</v>
      </c>
    </row>
    <row r="31" spans="1:16">
      <c r="A31" s="144">
        <v>26</v>
      </c>
      <c r="B31" s="144">
        <v>0.3589</v>
      </c>
      <c r="C31" s="210">
        <f t="shared" si="0"/>
        <v>0.80906221821460778</v>
      </c>
    </row>
    <row r="32" spans="1:16">
      <c r="A32" s="144">
        <v>27</v>
      </c>
      <c r="B32" s="144">
        <v>0.35360000000000003</v>
      </c>
      <c r="C32" s="210">
        <f t="shared" si="0"/>
        <v>0.79711451758340857</v>
      </c>
    </row>
    <row r="33" spans="1:3">
      <c r="A33" s="144">
        <v>28</v>
      </c>
      <c r="B33" s="144">
        <v>0.34820000000000001</v>
      </c>
      <c r="C33" s="210">
        <f t="shared" si="0"/>
        <v>0.78494138863841301</v>
      </c>
    </row>
    <row r="34" spans="1:3">
      <c r="A34" s="144">
        <v>29</v>
      </c>
      <c r="B34" s="144">
        <v>0.34289999999999998</v>
      </c>
      <c r="C34" s="210">
        <f t="shared" si="0"/>
        <v>0.77299368800721369</v>
      </c>
    </row>
    <row r="35" spans="1:3">
      <c r="A35" s="144">
        <v>30</v>
      </c>
      <c r="B35" s="144">
        <v>0.33750000000000002</v>
      </c>
      <c r="C35" s="210">
        <f t="shared" si="0"/>
        <v>0.76082055906221824</v>
      </c>
    </row>
    <row r="36" spans="1:3">
      <c r="A36" s="144">
        <v>31</v>
      </c>
      <c r="B36" s="144">
        <v>0.33210000000000001</v>
      </c>
      <c r="C36" s="210">
        <f t="shared" si="0"/>
        <v>0.74864743011722279</v>
      </c>
    </row>
    <row r="37" spans="1:3">
      <c r="A37" s="144">
        <v>32</v>
      </c>
      <c r="B37" s="144">
        <v>0.32679999999999998</v>
      </c>
      <c r="C37" s="210">
        <f t="shared" si="0"/>
        <v>0.73669972948602336</v>
      </c>
    </row>
    <row r="38" spans="1:3">
      <c r="A38" s="144">
        <v>33</v>
      </c>
      <c r="B38" s="144">
        <v>0.32140000000000002</v>
      </c>
      <c r="C38" s="210">
        <f t="shared" si="0"/>
        <v>0.72452660054102802</v>
      </c>
    </row>
    <row r="39" spans="1:3">
      <c r="A39" s="144">
        <v>34</v>
      </c>
      <c r="B39" s="144">
        <v>0.31609999999999999</v>
      </c>
      <c r="C39" s="210">
        <f t="shared" si="0"/>
        <v>0.7125788999098287</v>
      </c>
    </row>
    <row r="40" spans="1:3">
      <c r="A40" s="144">
        <v>35</v>
      </c>
      <c r="B40" s="144">
        <v>0.31080000000000002</v>
      </c>
      <c r="C40" s="210">
        <f t="shared" si="0"/>
        <v>0.70063119927862949</v>
      </c>
    </row>
    <row r="41" spans="1:3">
      <c r="A41" s="144">
        <v>36</v>
      </c>
      <c r="B41" s="144">
        <v>0.30549999999999999</v>
      </c>
      <c r="C41" s="210">
        <f t="shared" si="0"/>
        <v>0.68868349864743006</v>
      </c>
    </row>
    <row r="42" spans="1:3">
      <c r="A42" s="144">
        <v>37</v>
      </c>
      <c r="B42" s="144">
        <v>0.30030000000000001</v>
      </c>
      <c r="C42" s="210">
        <f t="shared" si="0"/>
        <v>0.67696122633002709</v>
      </c>
    </row>
    <row r="43" spans="1:3">
      <c r="A43" s="144">
        <v>38</v>
      </c>
      <c r="B43" s="144">
        <v>0.29509999999999997</v>
      </c>
      <c r="C43" s="210">
        <f t="shared" si="0"/>
        <v>0.6652389540126239</v>
      </c>
    </row>
    <row r="44" spans="1:3">
      <c r="A44" s="144">
        <v>39</v>
      </c>
      <c r="B44" s="144">
        <v>0.28999999999999998</v>
      </c>
      <c r="C44" s="210">
        <f t="shared" si="0"/>
        <v>0.65374211000901705</v>
      </c>
    </row>
    <row r="45" spans="1:3">
      <c r="A45" s="144">
        <v>40</v>
      </c>
      <c r="B45" s="144">
        <v>0.28489999999999999</v>
      </c>
      <c r="C45" s="210">
        <f t="shared" si="0"/>
        <v>0.64224526600541021</v>
      </c>
    </row>
    <row r="46" spans="1:3">
      <c r="A46" s="144">
        <v>41</v>
      </c>
      <c r="B46" s="144">
        <v>0.27979999999999999</v>
      </c>
      <c r="C46" s="210">
        <f t="shared" si="0"/>
        <v>0.63074842200180337</v>
      </c>
    </row>
    <row r="47" spans="1:3">
      <c r="A47" s="144">
        <v>42</v>
      </c>
      <c r="B47" s="144">
        <v>0.27489999999999998</v>
      </c>
      <c r="C47" s="210">
        <f t="shared" si="0"/>
        <v>0.619702434625789</v>
      </c>
    </row>
    <row r="48" spans="1:3">
      <c r="A48" s="144">
        <v>43</v>
      </c>
      <c r="B48" s="144">
        <v>0.27</v>
      </c>
      <c r="C48" s="210">
        <f t="shared" si="0"/>
        <v>0.60865644724977463</v>
      </c>
    </row>
    <row r="49" spans="1:3">
      <c r="A49" s="144">
        <v>44</v>
      </c>
      <c r="B49" s="144">
        <v>0.26519999999999999</v>
      </c>
      <c r="C49" s="210">
        <f t="shared" si="0"/>
        <v>0.5978358881875564</v>
      </c>
    </row>
    <row r="50" spans="1:3">
      <c r="A50" s="144">
        <v>45</v>
      </c>
      <c r="B50" s="144">
        <v>0.26040000000000002</v>
      </c>
      <c r="C50" s="210">
        <f t="shared" si="0"/>
        <v>0.58701532912533816</v>
      </c>
    </row>
    <row r="51" spans="1:3">
      <c r="A51" s="144">
        <v>46</v>
      </c>
      <c r="B51" s="144">
        <v>0.25569999999999998</v>
      </c>
      <c r="C51" s="210">
        <f t="shared" si="0"/>
        <v>0.57642019837691616</v>
      </c>
    </row>
    <row r="52" spans="1:3">
      <c r="A52" s="144">
        <v>47</v>
      </c>
      <c r="B52" s="144">
        <v>0.25109999999999999</v>
      </c>
      <c r="C52" s="210">
        <f t="shared" si="0"/>
        <v>0.56605049594229029</v>
      </c>
    </row>
    <row r="53" spans="1:3">
      <c r="A53" s="144">
        <v>48</v>
      </c>
      <c r="B53" s="144">
        <v>0.24660000000000001</v>
      </c>
      <c r="C53" s="210">
        <f t="shared" si="0"/>
        <v>0.55590622182146077</v>
      </c>
    </row>
    <row r="54" spans="1:3">
      <c r="A54" s="144">
        <v>49</v>
      </c>
      <c r="B54" s="144">
        <v>0.24210000000000001</v>
      </c>
      <c r="C54" s="210">
        <f t="shared" si="0"/>
        <v>0.54576194770063124</v>
      </c>
    </row>
    <row r="55" spans="1:3">
      <c r="A55" s="144">
        <v>50</v>
      </c>
      <c r="B55" s="144">
        <v>0.23769999999999999</v>
      </c>
      <c r="C55" s="210">
        <f t="shared" si="0"/>
        <v>0.53584310189359785</v>
      </c>
    </row>
    <row r="56" spans="1:3">
      <c r="C56" s="129"/>
    </row>
    <row r="57" spans="1:3">
      <c r="C57" s="129"/>
    </row>
    <row r="58" spans="1:3">
      <c r="C58" s="129"/>
    </row>
    <row r="59" spans="1:3">
      <c r="C59" s="129"/>
    </row>
    <row r="60" spans="1:3">
      <c r="C60" s="129"/>
    </row>
    <row r="61" spans="1:3">
      <c r="C61" s="129"/>
    </row>
    <row r="62" spans="1:3">
      <c r="C62" s="129"/>
    </row>
    <row r="63" spans="1:3">
      <c r="C63" s="129"/>
    </row>
    <row r="64" spans="1:3">
      <c r="C64" s="129"/>
    </row>
    <row r="65" spans="3:3">
      <c r="C65" s="129"/>
    </row>
    <row r="66" spans="3:3">
      <c r="C66" s="129"/>
    </row>
  </sheetData>
  <pageMargins left="0.7" right="0.7" top="0.75" bottom="0.75" header="0.3" footer="0.3"/>
  <pageSetup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3" sqref="B13"/>
    </sheetView>
  </sheetViews>
  <sheetFormatPr defaultColWidth="8.88671875" defaultRowHeight="14.4"/>
  <cols>
    <col min="1" max="1" width="41" customWidth="1"/>
  </cols>
  <sheetData>
    <row r="1" spans="1:3">
      <c r="A1" t="s">
        <v>462</v>
      </c>
    </row>
    <row r="3" spans="1:3">
      <c r="A3" t="s">
        <v>463</v>
      </c>
      <c r="B3">
        <f>Throughput!T5</f>
        <v>1.8</v>
      </c>
      <c r="C3" t="s">
        <v>36</v>
      </c>
    </row>
    <row r="4" spans="1:3">
      <c r="A4" s="145" t="s">
        <v>464</v>
      </c>
      <c r="B4" s="145">
        <f>Throughput!T6</f>
        <v>0.03</v>
      </c>
      <c r="C4" s="145" t="s">
        <v>36</v>
      </c>
    </row>
    <row r="5" spans="1:3">
      <c r="A5" s="145" t="s">
        <v>465</v>
      </c>
      <c r="B5" s="145">
        <f>Throughput!T4</f>
        <v>3.7970000000000002</v>
      </c>
      <c r="C5" s="145" t="s">
        <v>36</v>
      </c>
    </row>
    <row r="6" spans="1:3">
      <c r="A6" s="145"/>
      <c r="B6" s="145"/>
      <c r="C6" s="145"/>
    </row>
    <row r="7" spans="1:3">
      <c r="A7" t="s">
        <v>466</v>
      </c>
      <c r="B7">
        <f>PI()/4*B3^2</f>
        <v>2.5446900494077327</v>
      </c>
      <c r="C7" t="s">
        <v>469</v>
      </c>
    </row>
    <row r="8" spans="1:3">
      <c r="A8" t="s">
        <v>467</v>
      </c>
      <c r="B8">
        <f>2*B4*(B5-B3)</f>
        <v>0.11982</v>
      </c>
      <c r="C8" t="s">
        <v>469</v>
      </c>
    </row>
    <row r="9" spans="1:3">
      <c r="A9" t="s">
        <v>468</v>
      </c>
      <c r="B9" s="144">
        <f>PI()/4*B5^2</f>
        <v>11.323249469917164</v>
      </c>
      <c r="C9" t="s">
        <v>469</v>
      </c>
    </row>
    <row r="10" spans="1:3" ht="15" thickBot="1"/>
    <row r="11" spans="1:3" ht="15" thickBot="1">
      <c r="A11" t="s">
        <v>470</v>
      </c>
      <c r="B11" s="230">
        <f>1-(B7+B8)/B9</f>
        <v>0.76468680156816993</v>
      </c>
    </row>
    <row r="13" spans="1:3">
      <c r="A13" t="s">
        <v>588</v>
      </c>
      <c r="B13">
        <f>B9-B8-B7</f>
        <v>8.6587394205094306</v>
      </c>
      <c r="C13" t="s">
        <v>469</v>
      </c>
    </row>
    <row r="15" spans="1:3">
      <c r="A15" t="s">
        <v>589</v>
      </c>
      <c r="B15">
        <f>0.001*(B5-B3)</f>
        <v>1.9970000000000001E-3</v>
      </c>
    </row>
    <row r="17" spans="1:2">
      <c r="A17" t="s">
        <v>590</v>
      </c>
      <c r="B17">
        <f>B15/B13</f>
        <v>2.3063403377977023E-4</v>
      </c>
    </row>
    <row r="18" spans="1:2">
      <c r="A18" s="144" t="s">
        <v>590</v>
      </c>
      <c r="B18" s="318">
        <f>B17</f>
        <v>2.3063403377977023E-4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B19" sqref="B19"/>
    </sheetView>
  </sheetViews>
  <sheetFormatPr defaultColWidth="8.88671875" defaultRowHeight="14.4"/>
  <cols>
    <col min="1" max="1" width="73.44140625" bestFit="1" customWidth="1"/>
    <col min="16" max="16" width="40.44140625" bestFit="1" customWidth="1"/>
  </cols>
  <sheetData>
    <row r="1" spans="1:16">
      <c r="A1" s="144"/>
      <c r="B1" s="144"/>
      <c r="C1" s="144"/>
      <c r="D1" s="144"/>
      <c r="E1" s="144"/>
      <c r="F1" s="144"/>
      <c r="G1" s="144"/>
      <c r="H1" s="144"/>
      <c r="I1" s="144"/>
      <c r="J1" s="144"/>
      <c r="K1" s="144"/>
      <c r="L1" s="144"/>
      <c r="M1" s="144"/>
      <c r="N1" s="144"/>
      <c r="O1" s="144"/>
      <c r="P1" s="144"/>
    </row>
    <row r="2" spans="1:16">
      <c r="A2" s="65"/>
      <c r="B2" s="519" t="s">
        <v>2</v>
      </c>
      <c r="C2" s="519"/>
      <c r="D2" s="519"/>
      <c r="E2" s="519"/>
      <c r="F2" s="519"/>
      <c r="G2" s="519"/>
      <c r="H2" s="519"/>
      <c r="I2" s="519"/>
      <c r="J2" s="519"/>
      <c r="K2" s="519"/>
      <c r="L2" s="519"/>
      <c r="M2" s="519"/>
      <c r="N2" s="519"/>
      <c r="O2" s="519"/>
      <c r="P2" s="144"/>
    </row>
    <row r="3" spans="1:16" ht="15" thickBot="1">
      <c r="A3" s="145"/>
      <c r="B3" s="237">
        <v>360</v>
      </c>
      <c r="C3" s="237">
        <v>375</v>
      </c>
      <c r="D3" s="237">
        <v>400</v>
      </c>
      <c r="E3" s="237">
        <v>450</v>
      </c>
      <c r="F3" s="237">
        <v>500</v>
      </c>
      <c r="G3" s="237">
        <v>550</v>
      </c>
      <c r="H3" s="237">
        <v>600</v>
      </c>
      <c r="I3" s="237">
        <v>650</v>
      </c>
      <c r="J3" s="237">
        <v>700</v>
      </c>
      <c r="K3" s="237">
        <v>750</v>
      </c>
      <c r="L3" s="237">
        <v>800</v>
      </c>
      <c r="M3" s="237">
        <v>850</v>
      </c>
      <c r="N3" s="237">
        <v>900</v>
      </c>
      <c r="O3" s="251">
        <v>980</v>
      </c>
      <c r="P3" s="252" t="s">
        <v>1</v>
      </c>
    </row>
    <row r="4" spans="1:16" ht="15" thickBot="1">
      <c r="A4" s="124" t="s">
        <v>475</v>
      </c>
      <c r="B4" s="61"/>
      <c r="C4" s="61"/>
      <c r="D4" s="238"/>
      <c r="E4" s="238"/>
      <c r="F4" s="238"/>
      <c r="G4" s="238"/>
      <c r="H4" s="238"/>
      <c r="I4" s="238"/>
      <c r="J4" s="238"/>
      <c r="K4" s="238"/>
      <c r="L4" s="238"/>
      <c r="M4" s="238"/>
      <c r="N4" s="238"/>
      <c r="O4" s="238"/>
      <c r="P4" s="151"/>
    </row>
    <row r="5" spans="1:16" ht="15" thickBot="1">
      <c r="A5" s="9" t="s">
        <v>476</v>
      </c>
      <c r="B5" s="239">
        <v>1.6878652792768273E-17</v>
      </c>
      <c r="C5" s="239">
        <v>1.4991725567814442E-17</v>
      </c>
      <c r="D5" s="239">
        <v>1.2191435274568626E-17</v>
      </c>
      <c r="E5" s="239">
        <v>1.5864102948663831E-17</v>
      </c>
      <c r="F5" s="239">
        <v>1.0341641572401729E-17</v>
      </c>
      <c r="G5" s="239">
        <v>1.020693024356993E-17</v>
      </c>
      <c r="H5" s="239">
        <v>9.5869439446122927E-18</v>
      </c>
      <c r="I5" s="239">
        <v>7.8932177273838793E-18</v>
      </c>
      <c r="J5" s="239">
        <v>8.023202452878967E-18</v>
      </c>
      <c r="K5" s="239">
        <v>7.7281620221300724E-18</v>
      </c>
      <c r="L5" s="239">
        <v>7.7631724644538082E-18</v>
      </c>
      <c r="M5" s="239">
        <v>7.7298005872976489E-18</v>
      </c>
      <c r="N5" s="239">
        <v>5.8582910875741936E-18</v>
      </c>
      <c r="O5" s="239">
        <v>8.00025053108547E-18</v>
      </c>
      <c r="P5" s="151" t="s">
        <v>477</v>
      </c>
    </row>
    <row r="6" spans="1:16" ht="15" thickBot="1">
      <c r="A6" s="8"/>
      <c r="B6" s="240"/>
      <c r="C6" s="240"/>
      <c r="D6" s="144"/>
      <c r="E6" s="144"/>
      <c r="F6" s="144"/>
      <c r="G6" s="144"/>
      <c r="H6" s="144"/>
      <c r="I6" s="144"/>
      <c r="J6" s="144"/>
      <c r="K6" s="144"/>
      <c r="L6" s="144"/>
      <c r="M6" s="144"/>
      <c r="N6" s="144"/>
      <c r="O6" s="144"/>
      <c r="P6" s="151"/>
    </row>
    <row r="7" spans="1:16" ht="15" thickBot="1">
      <c r="A7" s="124" t="s">
        <v>478</v>
      </c>
      <c r="B7" s="61"/>
      <c r="C7" s="61"/>
      <c r="D7" s="238"/>
      <c r="E7" s="238"/>
      <c r="F7" s="238"/>
      <c r="G7" s="238"/>
      <c r="H7" s="238"/>
      <c r="I7" s="238"/>
      <c r="J7" s="238"/>
      <c r="K7" s="238"/>
      <c r="L7" s="238"/>
      <c r="M7" s="238"/>
      <c r="N7" s="238"/>
      <c r="O7" s="238"/>
      <c r="P7" s="151"/>
    </row>
    <row r="8" spans="1:16" ht="15" thickBot="1">
      <c r="A8" s="249" t="s">
        <v>479</v>
      </c>
      <c r="B8" s="248">
        <f t="shared" ref="B8:O8" si="0">B5*0.01</f>
        <v>1.6878652792768273E-19</v>
      </c>
      <c r="C8" s="242">
        <f t="shared" si="0"/>
        <v>1.4991725567814443E-19</v>
      </c>
      <c r="D8" s="241">
        <f t="shared" si="0"/>
        <v>1.2191435274568626E-19</v>
      </c>
      <c r="E8" s="241">
        <f t="shared" si="0"/>
        <v>1.586410294866383E-19</v>
      </c>
      <c r="F8" s="241">
        <f t="shared" si="0"/>
        <v>1.0341641572401729E-19</v>
      </c>
      <c r="G8" s="241">
        <f t="shared" si="0"/>
        <v>1.0206930243569931E-19</v>
      </c>
      <c r="H8" s="241">
        <f t="shared" si="0"/>
        <v>9.5869439446122935E-20</v>
      </c>
      <c r="I8" s="241">
        <f t="shared" si="0"/>
        <v>7.8932177273838799E-20</v>
      </c>
      <c r="J8" s="241">
        <f t="shared" si="0"/>
        <v>8.0232024528789677E-20</v>
      </c>
      <c r="K8" s="241">
        <f t="shared" si="0"/>
        <v>7.7281620221300727E-20</v>
      </c>
      <c r="L8" s="241">
        <f t="shared" si="0"/>
        <v>7.7631724644538089E-20</v>
      </c>
      <c r="M8" s="241">
        <f t="shared" si="0"/>
        <v>7.7298005872976493E-20</v>
      </c>
      <c r="N8" s="241">
        <f t="shared" si="0"/>
        <v>5.8582910875741933E-20</v>
      </c>
      <c r="O8" s="241">
        <f t="shared" si="0"/>
        <v>8.0002505310854705E-20</v>
      </c>
      <c r="P8" s="151"/>
    </row>
    <row r="9" spans="1:16" ht="15" thickBot="1">
      <c r="A9" s="249"/>
      <c r="B9" s="250"/>
      <c r="C9" s="243"/>
      <c r="D9" s="144"/>
      <c r="E9" s="144"/>
      <c r="F9" s="144"/>
      <c r="G9" s="144"/>
      <c r="H9" s="144"/>
      <c r="I9" s="144"/>
      <c r="J9" s="144"/>
      <c r="K9" s="144"/>
      <c r="L9" s="144"/>
      <c r="M9" s="144"/>
      <c r="N9" s="144"/>
      <c r="O9" s="144"/>
      <c r="P9" s="151"/>
    </row>
    <row r="10" spans="1:16" ht="15" thickBot="1">
      <c r="A10" s="138" t="s">
        <v>480</v>
      </c>
      <c r="B10" s="139"/>
      <c r="C10" s="61"/>
      <c r="D10" s="244"/>
      <c r="E10" s="244"/>
      <c r="F10" s="244"/>
      <c r="G10" s="244"/>
      <c r="H10" s="244"/>
      <c r="I10" s="244"/>
      <c r="J10" s="244"/>
      <c r="K10" s="244"/>
      <c r="L10" s="244"/>
      <c r="M10" s="244"/>
      <c r="N10" s="244"/>
      <c r="O10" s="244"/>
      <c r="P10" s="151"/>
    </row>
    <row r="11" spans="1:16">
      <c r="A11" s="245" t="s">
        <v>481</v>
      </c>
      <c r="B11" s="491">
        <v>3.29</v>
      </c>
      <c r="C11" s="491">
        <v>3.29</v>
      </c>
      <c r="D11" s="491">
        <v>3.29</v>
      </c>
      <c r="E11" s="491">
        <v>3.29</v>
      </c>
      <c r="F11" s="491">
        <v>3.29</v>
      </c>
      <c r="G11" s="491">
        <v>3.29</v>
      </c>
      <c r="H11" s="491">
        <v>2.69</v>
      </c>
      <c r="I11" s="491">
        <v>2.69</v>
      </c>
      <c r="J11" s="491">
        <v>2.69</v>
      </c>
      <c r="K11" s="491">
        <v>2.69</v>
      </c>
      <c r="L11" s="491">
        <v>2.69</v>
      </c>
      <c r="M11" s="491">
        <v>2.69</v>
      </c>
      <c r="N11" s="491">
        <v>2.69</v>
      </c>
      <c r="O11" s="491">
        <v>2.69</v>
      </c>
      <c r="P11" s="151" t="s">
        <v>717</v>
      </c>
    </row>
    <row r="12" spans="1:16">
      <c r="A12" s="33" t="s">
        <v>482</v>
      </c>
      <c r="B12" s="492">
        <v>1.89</v>
      </c>
      <c r="C12" s="492">
        <v>1.89</v>
      </c>
      <c r="D12" s="492">
        <v>1.89</v>
      </c>
      <c r="E12" s="492">
        <v>1.89</v>
      </c>
      <c r="F12" s="492">
        <v>1.89</v>
      </c>
      <c r="G12" s="492">
        <v>1.89</v>
      </c>
      <c r="H12" s="492">
        <v>1.1399999999999999</v>
      </c>
      <c r="I12" s="492">
        <v>1.1399999999999999</v>
      </c>
      <c r="J12" s="492">
        <v>1.1399999999999999</v>
      </c>
      <c r="K12" s="492">
        <v>1.1399999999999999</v>
      </c>
      <c r="L12" s="492">
        <v>1.1399999999999999</v>
      </c>
      <c r="M12" s="492">
        <v>1.1399999999999999</v>
      </c>
      <c r="N12" s="492">
        <v>1.1399999999999999</v>
      </c>
      <c r="O12" s="492">
        <v>1.1399999999999999</v>
      </c>
      <c r="P12" s="151" t="s">
        <v>717</v>
      </c>
    </row>
    <row r="13" spans="1:16">
      <c r="A13" s="33" t="s">
        <v>483</v>
      </c>
      <c r="B13" s="243">
        <f>1/2000</f>
        <v>5.0000000000000001E-4</v>
      </c>
      <c r="C13" s="243">
        <f>1/2000</f>
        <v>5.0000000000000001E-4</v>
      </c>
      <c r="D13" s="243">
        <f t="shared" ref="D13:O13" si="1">1/2000</f>
        <v>5.0000000000000001E-4</v>
      </c>
      <c r="E13" s="243">
        <f t="shared" si="1"/>
        <v>5.0000000000000001E-4</v>
      </c>
      <c r="F13" s="243">
        <f t="shared" si="1"/>
        <v>5.0000000000000001E-4</v>
      </c>
      <c r="G13" s="243">
        <f t="shared" si="1"/>
        <v>5.0000000000000001E-4</v>
      </c>
      <c r="H13" s="243">
        <f t="shared" si="1"/>
        <v>5.0000000000000001E-4</v>
      </c>
      <c r="I13" s="243">
        <f t="shared" si="1"/>
        <v>5.0000000000000001E-4</v>
      </c>
      <c r="J13" s="243">
        <f t="shared" si="1"/>
        <v>5.0000000000000001E-4</v>
      </c>
      <c r="K13" s="243">
        <f t="shared" si="1"/>
        <v>5.0000000000000001E-4</v>
      </c>
      <c r="L13" s="243">
        <f t="shared" si="1"/>
        <v>5.0000000000000001E-4</v>
      </c>
      <c r="M13" s="243">
        <f t="shared" si="1"/>
        <v>5.0000000000000001E-4</v>
      </c>
      <c r="N13" s="243">
        <f t="shared" si="1"/>
        <v>5.0000000000000001E-4</v>
      </c>
      <c r="O13" s="243">
        <f t="shared" si="1"/>
        <v>5.0000000000000001E-4</v>
      </c>
      <c r="P13" s="151"/>
    </row>
    <row r="14" spans="1:16">
      <c r="A14" s="33" t="s">
        <v>484</v>
      </c>
      <c r="B14" s="246">
        <v>1.0000000000000001E-5</v>
      </c>
      <c r="C14" s="246">
        <v>1.0000000000000001E-5</v>
      </c>
      <c r="D14" s="246">
        <v>1.0000000000000001E-5</v>
      </c>
      <c r="E14" s="246">
        <v>1.0000000000000001E-5</v>
      </c>
      <c r="F14" s="246">
        <v>1.0000000000000001E-5</v>
      </c>
      <c r="G14" s="246">
        <v>1.0000000000000001E-5</v>
      </c>
      <c r="H14" s="246">
        <v>1.0000000000000001E-5</v>
      </c>
      <c r="I14" s="246">
        <v>1.0000000000000001E-5</v>
      </c>
      <c r="J14" s="246">
        <v>1.0000000000000001E-5</v>
      </c>
      <c r="K14" s="246">
        <v>1.0000000000000001E-5</v>
      </c>
      <c r="L14" s="246">
        <v>1.0000000000000001E-5</v>
      </c>
      <c r="M14" s="246">
        <v>1.0000000000000001E-5</v>
      </c>
      <c r="N14" s="246">
        <v>1.0000000000000001E-5</v>
      </c>
      <c r="O14" s="246">
        <v>1.0000000000000001E-5</v>
      </c>
      <c r="P14" s="151" t="s">
        <v>485</v>
      </c>
    </row>
    <row r="15" spans="1:16">
      <c r="A15" s="33" t="s">
        <v>486</v>
      </c>
      <c r="B15" s="147">
        <v>5.0000000000000001E-3</v>
      </c>
      <c r="C15" s="147">
        <v>5.0000000000000001E-3</v>
      </c>
      <c r="D15" s="147">
        <v>5.0000000000000001E-3</v>
      </c>
      <c r="E15" s="147">
        <v>5.0000000000000001E-3</v>
      </c>
      <c r="F15" s="147">
        <v>5.0000000000000001E-3</v>
      </c>
      <c r="G15" s="147">
        <v>5.0000000000000001E-3</v>
      </c>
      <c r="H15" s="147">
        <v>5.0000000000000001E-3</v>
      </c>
      <c r="I15" s="147">
        <v>5.0000000000000001E-3</v>
      </c>
      <c r="J15" s="147">
        <v>5.0000000000000001E-3</v>
      </c>
      <c r="K15" s="147">
        <v>5.0000000000000001E-3</v>
      </c>
      <c r="L15" s="147">
        <v>5.0000000000000001E-3</v>
      </c>
      <c r="M15" s="147">
        <v>5.0000000000000001E-3</v>
      </c>
      <c r="N15" s="147">
        <v>5.0000000000000001E-3</v>
      </c>
      <c r="O15" s="147">
        <v>5.0000000000000001E-3</v>
      </c>
      <c r="P15" s="151" t="s">
        <v>487</v>
      </c>
    </row>
    <row r="16" spans="1:16" ht="15" thickBot="1">
      <c r="A16" s="247" t="s">
        <v>488</v>
      </c>
      <c r="B16" s="181">
        <v>0.01</v>
      </c>
      <c r="C16" s="181">
        <v>0.01</v>
      </c>
      <c r="D16" s="181">
        <v>0.01</v>
      </c>
      <c r="E16" s="181">
        <v>0.01</v>
      </c>
      <c r="F16" s="181">
        <v>0.01</v>
      </c>
      <c r="G16" s="181">
        <v>0.01</v>
      </c>
      <c r="H16" s="181">
        <v>0.01</v>
      </c>
      <c r="I16" s="181">
        <v>0.01</v>
      </c>
      <c r="J16" s="181">
        <v>0.01</v>
      </c>
      <c r="K16" s="181">
        <v>0.01</v>
      </c>
      <c r="L16" s="181">
        <v>0.01</v>
      </c>
      <c r="M16" s="181">
        <v>0.01</v>
      </c>
      <c r="N16" s="181">
        <v>0.01</v>
      </c>
      <c r="O16" s="181">
        <v>0.01</v>
      </c>
      <c r="P16" s="151"/>
    </row>
    <row r="17" spans="1:16">
      <c r="A17" s="145"/>
      <c r="B17" s="144"/>
      <c r="C17" s="144"/>
      <c r="D17" s="144"/>
      <c r="E17" s="144"/>
      <c r="F17" s="144"/>
      <c r="G17" s="144"/>
      <c r="H17" s="144"/>
      <c r="I17" s="144"/>
      <c r="J17" s="144"/>
      <c r="K17" s="144"/>
      <c r="L17" s="144"/>
      <c r="M17" s="144"/>
      <c r="N17" s="144"/>
      <c r="O17" s="144"/>
      <c r="P17" s="144"/>
    </row>
    <row r="18" spans="1:16">
      <c r="A18" s="216" t="s">
        <v>801</v>
      </c>
      <c r="B18" s="1">
        <f>SQRT(B11^2+(B12/3)^2)</f>
        <v>3.3497761119215115</v>
      </c>
      <c r="C18" s="1">
        <f t="shared" ref="C18:N18" si="2">SQRT(C11^2+(C12/3)^2)</f>
        <v>3.3497761119215115</v>
      </c>
      <c r="D18" s="1">
        <f t="shared" si="2"/>
        <v>3.3497761119215115</v>
      </c>
      <c r="E18" s="1">
        <f t="shared" si="2"/>
        <v>3.3497761119215115</v>
      </c>
      <c r="F18" s="1">
        <f t="shared" si="2"/>
        <v>3.3497761119215115</v>
      </c>
      <c r="G18" s="1">
        <f t="shared" si="2"/>
        <v>3.3497761119215115</v>
      </c>
      <c r="H18" s="1">
        <f t="shared" si="2"/>
        <v>2.7167075661542963</v>
      </c>
      <c r="I18" s="1">
        <f t="shared" si="2"/>
        <v>2.7167075661542963</v>
      </c>
      <c r="J18" s="1">
        <f t="shared" si="2"/>
        <v>2.7167075661542963</v>
      </c>
      <c r="K18" s="1">
        <f t="shared" si="2"/>
        <v>2.7167075661542963</v>
      </c>
      <c r="L18" s="1">
        <f t="shared" si="2"/>
        <v>2.7167075661542963</v>
      </c>
      <c r="M18" s="1">
        <f t="shared" si="2"/>
        <v>2.7167075661542963</v>
      </c>
      <c r="N18" s="1">
        <f t="shared" si="2"/>
        <v>2.7167075661542963</v>
      </c>
    </row>
    <row r="19" spans="1:16">
      <c r="A19" s="216" t="s">
        <v>809</v>
      </c>
    </row>
    <row r="20" spans="1:16">
      <c r="A20" s="216" t="s">
        <v>711</v>
      </c>
    </row>
    <row r="21" spans="1:16" s="326" customFormat="1">
      <c r="A21" s="216" t="s">
        <v>802</v>
      </c>
    </row>
    <row r="22" spans="1:16" s="326" customFormat="1">
      <c r="A22" s="216" t="s">
        <v>803</v>
      </c>
    </row>
    <row r="23" spans="1:16">
      <c r="A23" s="216" t="s">
        <v>712</v>
      </c>
    </row>
    <row r="24" spans="1:16">
      <c r="A24" s="216" t="s">
        <v>804</v>
      </c>
    </row>
    <row r="25" spans="1:16">
      <c r="A25" s="216" t="s">
        <v>805</v>
      </c>
    </row>
    <row r="26" spans="1:16">
      <c r="B26" s="1"/>
    </row>
  </sheetData>
  <mergeCells count="1">
    <mergeCell ref="B2:O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opLeftCell="A3" workbookViewId="0">
      <selection activeCell="L33" sqref="L33"/>
    </sheetView>
  </sheetViews>
  <sheetFormatPr defaultColWidth="8.88671875" defaultRowHeight="14.4"/>
  <cols>
    <col min="1" max="1" width="82.33203125" customWidth="1"/>
    <col min="17" max="17" width="14.6640625" customWidth="1"/>
  </cols>
  <sheetData>
    <row r="1" spans="1:16">
      <c r="A1" t="s">
        <v>454</v>
      </c>
    </row>
    <row r="2" spans="1:16">
      <c r="A2" t="s">
        <v>455</v>
      </c>
    </row>
    <row r="3" spans="1:16" ht="15" thickBot="1">
      <c r="A3" t="s">
        <v>456</v>
      </c>
    </row>
    <row r="4" spans="1:16" ht="15" thickBot="1">
      <c r="B4" s="520" t="s">
        <v>2</v>
      </c>
      <c r="C4" s="521"/>
      <c r="D4" s="521"/>
      <c r="E4" s="521"/>
      <c r="F4" s="521"/>
      <c r="G4" s="521"/>
      <c r="H4" s="521"/>
      <c r="I4" s="521"/>
      <c r="J4" s="521"/>
      <c r="K4" s="521"/>
      <c r="L4" s="521"/>
      <c r="M4" s="521"/>
      <c r="N4" s="521"/>
      <c r="O4" s="522"/>
    </row>
    <row r="5" spans="1:16" ht="15" thickBot="1">
      <c r="B5" s="229">
        <v>360</v>
      </c>
      <c r="C5" s="229">
        <v>375</v>
      </c>
      <c r="D5" s="229">
        <v>400</v>
      </c>
      <c r="E5" s="229">
        <v>450</v>
      </c>
      <c r="F5" s="229">
        <v>500</v>
      </c>
      <c r="G5" s="229">
        <v>550</v>
      </c>
      <c r="H5" s="229">
        <v>600</v>
      </c>
      <c r="I5" s="229">
        <v>650</v>
      </c>
      <c r="J5" s="229">
        <v>700</v>
      </c>
      <c r="K5" s="229">
        <v>750</v>
      </c>
      <c r="L5" s="229">
        <v>800</v>
      </c>
      <c r="M5" s="229">
        <v>850</v>
      </c>
      <c r="N5" s="229">
        <v>900</v>
      </c>
      <c r="O5" s="229">
        <v>980</v>
      </c>
    </row>
    <row r="6" spans="1:16" ht="15" thickBot="1">
      <c r="A6" s="73" t="s">
        <v>191</v>
      </c>
      <c r="B6" s="215">
        <f>Throughput!C97</f>
        <v>0.13270095419255937</v>
      </c>
      <c r="C6" s="215">
        <f>Throughput!D97</f>
        <v>0.20157106787592288</v>
      </c>
      <c r="D6" s="215">
        <f>Throughput!E97</f>
        <v>0.27915437985318425</v>
      </c>
      <c r="E6" s="215">
        <f>Throughput!F97</f>
        <v>0.3475785615539746</v>
      </c>
      <c r="F6" s="215">
        <f>Throughput!G97</f>
        <v>0.36034483741549167</v>
      </c>
      <c r="G6" s="215">
        <f>Throughput!H97</f>
        <v>0.34885827788252266</v>
      </c>
      <c r="H6" s="215">
        <f>Throughput!I97</f>
        <v>0.39893023067135974</v>
      </c>
      <c r="I6" s="215">
        <f>Throughput!J97</f>
        <v>0.42470974517382704</v>
      </c>
      <c r="J6" s="215">
        <f>Throughput!K97</f>
        <v>0.42648681083554651</v>
      </c>
      <c r="K6" s="215">
        <f>Throughput!L97</f>
        <v>0.39561871090908746</v>
      </c>
      <c r="L6" s="215">
        <f>Throughput!M97</f>
        <v>0.48471856263362828</v>
      </c>
      <c r="M6" s="215">
        <f>Throughput!N97</f>
        <v>0.49296501512130791</v>
      </c>
      <c r="N6" s="215">
        <f>Throughput!O97</f>
        <v>0.48850131141677472</v>
      </c>
      <c r="O6" s="215">
        <f>Throughput!P97</f>
        <v>0.28937096305184107</v>
      </c>
      <c r="P6" s="41" t="s">
        <v>459</v>
      </c>
    </row>
    <row r="7" spans="1:16" ht="15" thickBot="1">
      <c r="B7" s="210"/>
      <c r="C7" s="210"/>
      <c r="D7" s="210"/>
      <c r="E7" s="210"/>
      <c r="F7" s="210"/>
      <c r="G7" s="210"/>
      <c r="H7" s="210"/>
      <c r="I7" s="210"/>
      <c r="J7" s="210"/>
      <c r="K7" s="210"/>
      <c r="L7" s="210"/>
      <c r="M7" s="210"/>
      <c r="N7" s="210"/>
      <c r="O7" s="210"/>
      <c r="P7" s="41"/>
    </row>
    <row r="8" spans="1:16">
      <c r="A8" s="219" t="s">
        <v>450</v>
      </c>
      <c r="B8" s="220">
        <f>'Lateral offset throughput est'!D6</f>
        <v>0.44340000000000002</v>
      </c>
      <c r="C8" s="220">
        <f t="shared" ref="C8:O8" si="0">B8</f>
        <v>0.44340000000000002</v>
      </c>
      <c r="D8" s="220">
        <f t="shared" si="0"/>
        <v>0.44340000000000002</v>
      </c>
      <c r="E8" s="220">
        <f t="shared" si="0"/>
        <v>0.44340000000000002</v>
      </c>
      <c r="F8" s="220">
        <f t="shared" si="0"/>
        <v>0.44340000000000002</v>
      </c>
      <c r="G8" s="220">
        <f t="shared" si="0"/>
        <v>0.44340000000000002</v>
      </c>
      <c r="H8" s="220">
        <f t="shared" si="0"/>
        <v>0.44340000000000002</v>
      </c>
      <c r="I8" s="220">
        <f t="shared" si="0"/>
        <v>0.44340000000000002</v>
      </c>
      <c r="J8" s="220">
        <f t="shared" si="0"/>
        <v>0.44340000000000002</v>
      </c>
      <c r="K8" s="220">
        <f t="shared" si="0"/>
        <v>0.44340000000000002</v>
      </c>
      <c r="L8" s="220">
        <f t="shared" si="0"/>
        <v>0.44340000000000002</v>
      </c>
      <c r="M8" s="220">
        <f t="shared" si="0"/>
        <v>0.44340000000000002</v>
      </c>
      <c r="N8" s="220">
        <f t="shared" si="0"/>
        <v>0.44340000000000002</v>
      </c>
      <c r="O8" s="221">
        <f t="shared" si="0"/>
        <v>0.44340000000000002</v>
      </c>
      <c r="P8" s="41" t="s">
        <v>460</v>
      </c>
    </row>
    <row r="9" spans="1:16">
      <c r="A9" s="222" t="s">
        <v>451</v>
      </c>
      <c r="B9" s="217">
        <f>'Lateral offset throughput est'!$Q6+'Lateral offset throughput est'!$Q7*Throughput!C75+'Lateral offset throughput est'!$Q8*Throughput!C75^2+'Lateral offset throughput est'!$Q9*Throughput!C75^3+'Lateral offset throughput est'!$Q10*Throughput!C75^4+'Lateral offset throughput est'!$Q11*Throughput!C75^5</f>
        <v>0.97138542150963103</v>
      </c>
      <c r="C9" s="217">
        <f>'Lateral offset throughput est'!$Q6+'Lateral offset throughput est'!$Q7*Throughput!D75+'Lateral offset throughput est'!$Q8*Throughput!D75^2+'Lateral offset throughput est'!$Q9*Throughput!D75^3+'Lateral offset throughput est'!$Q10*Throughput!D75^4+'Lateral offset throughput est'!$Q11*Throughput!D75^5</f>
        <v>0.97335081978705751</v>
      </c>
      <c r="D9" s="217">
        <f>'Lateral offset throughput est'!$Q6+'Lateral offset throughput est'!$Q7*Throughput!E75+'Lateral offset throughput est'!$Q8*Throughput!E75^2+'Lateral offset throughput est'!$Q9*Throughput!E75^3+'Lateral offset throughput est'!$Q10*Throughput!E75^4+'Lateral offset throughput est'!$Q11*Throughput!E75^5</f>
        <v>0.97584002565794659</v>
      </c>
      <c r="E9" s="217">
        <f>'Lateral offset throughput est'!$Q6+'Lateral offset throughput est'!$Q7*Throughput!F75+'Lateral offset throughput est'!$Q8*Throughput!F75^2+'Lateral offset throughput est'!$Q9*Throughput!F75^3+'Lateral offset throughput est'!$Q10*Throughput!F75^4+'Lateral offset throughput est'!$Q11*Throughput!F75^5</f>
        <v>0.9785609604887654</v>
      </c>
      <c r="F9" s="217">
        <f>'Lateral offset throughput est'!$Q6+'Lateral offset throughput est'!$Q7*Throughput!G75+'Lateral offset throughput est'!$Q8*Throughput!G75^2+'Lateral offset throughput est'!$Q9*Throughput!G75^3+'Lateral offset throughput est'!$Q10*Throughput!G75^4+'Lateral offset throughput est'!$Q11*Throughput!G75^5</f>
        <v>0.98126378409665371</v>
      </c>
      <c r="G9" s="217">
        <f>'Lateral offset throughput est'!$Q6+'Lateral offset throughput est'!$Q7*Throughput!H75+'Lateral offset throughput est'!$Q8*Throughput!H75^2+'Lateral offset throughput est'!$Q9*Throughput!H75^3+'Lateral offset throughput est'!$Q10*Throughput!H75^4+'Lateral offset throughput est'!$Q11*Throughput!H75^5</f>
        <v>0.98101298464645081</v>
      </c>
      <c r="H9" s="217">
        <f>'Lateral offset throughput est'!$Q6+'Lateral offset throughput est'!$Q7*Throughput!I75+'Lateral offset throughput est'!$Q8*Throughput!I75^2+'Lateral offset throughput est'!$Q9*Throughput!I75^3+'Lateral offset throughput est'!$Q10*Throughput!I75^4+'Lateral offset throughput est'!$Q11*Throughput!I75^5</f>
        <v>0.97861399742062138</v>
      </c>
      <c r="I9" s="217">
        <f>'Lateral offset throughput est'!$Q6+'Lateral offset throughput est'!$Q7*Throughput!J75+'Lateral offset throughput est'!$Q8*Throughput!J75^2+'Lateral offset throughput est'!$Q9*Throughput!J75^3+'Lateral offset throughput est'!$Q10*Throughput!J75^4+'Lateral offset throughput est'!$Q11*Throughput!J75^5</f>
        <v>0.97595107776008028</v>
      </c>
      <c r="J9" s="217">
        <f>'Lateral offset throughput est'!$Q6+'Lateral offset throughput est'!$Q7*Throughput!K75+'Lateral offset throughput est'!$Q8*Throughput!K75^2+'Lateral offset throughput est'!$Q9*Throughput!K75^3+'Lateral offset throughput est'!$Q10*Throughput!K75^4+'Lateral offset throughput est'!$Q11*Throughput!K75^5</f>
        <v>0.97394609507982011</v>
      </c>
      <c r="K9" s="217">
        <f>'Lateral offset throughput est'!$Q6+'Lateral offset throughput est'!$Q7*Throughput!L75+'Lateral offset throughput est'!$Q8*Throughput!L75^2+'Lateral offset throughput est'!$Q9*Throughput!L75^3+'Lateral offset throughput est'!$Q10*Throughput!L75^4+'Lateral offset throughput est'!$Q11*Throughput!L75^5</f>
        <v>0.97306071266351779</v>
      </c>
      <c r="L9" s="217">
        <f>'Lateral offset throughput est'!$Q6+'Lateral offset throughput est'!$Q7*Throughput!M75+'Lateral offset throughput est'!$Q8*Throughput!M75^2+'Lateral offset throughput est'!$Q9*Throughput!M75^3+'Lateral offset throughput est'!$Q10*Throughput!M75^4+'Lateral offset throughput est'!$Q11*Throughput!M75^5</f>
        <v>0.97346867322938124</v>
      </c>
      <c r="M9" s="217">
        <f>'Lateral offset throughput est'!$Q6+'Lateral offset throughput est'!$Q7*Throughput!N75+'Lateral offset throughput est'!$Q8*Throughput!N75^2+'Lateral offset throughput est'!$Q9*Throughput!N75^3+'Lateral offset throughput est'!$Q10*Throughput!N75^4+'Lateral offset throughput est'!$Q11*Throughput!N75^5</f>
        <v>0.97442569611096808</v>
      </c>
      <c r="N9" s="217">
        <f>'Lateral offset throughput est'!$Q6+'Lateral offset throughput est'!$Q7*Throughput!O75+'Lateral offset throughput est'!$Q8*Throughput!O75^2+'Lateral offset throughput est'!$Q9*Throughput!O75^3+'Lateral offset throughput est'!$Q10*Throughput!O75^4+'Lateral offset throughput est'!$Q11*Throughput!O75^5</f>
        <v>0.97407748938747596</v>
      </c>
      <c r="O9" s="223">
        <f>'Lateral offset throughput est'!$Q6+'Lateral offset throughput est'!$Q7*Throughput!P75+'Lateral offset throughput est'!$Q8*Throughput!P75^2+'Lateral offset throughput est'!$Q9*Throughput!P75^3+'Lateral offset throughput est'!$Q10*Throughput!P75^4+'Lateral offset throughput est'!$Q11*Throughput!P75^5</f>
        <v>0.97372194699980119</v>
      </c>
      <c r="P9" s="41" t="s">
        <v>461</v>
      </c>
    </row>
    <row r="10" spans="1:16">
      <c r="A10" s="222" t="s">
        <v>452</v>
      </c>
      <c r="B10" s="217">
        <f>'Blur throughput estimate'!$O6+'Blur throughput estimate'!$O7*Throughput!C27+'Blur throughput estimate'!$O8*Throughput!C27^2+'Blur throughput estimate'!$O9*Throughput!C27^3+'Blur throughput estimate'!$O10*Throughput!C27^4+'Blur throughput estimate'!$O11*Throughput!C27^5</f>
        <v>0.92945672623615827</v>
      </c>
      <c r="C10" s="217">
        <f>'Blur throughput estimate'!$O6+'Blur throughput estimate'!$O7*Throughput!D27+'Blur throughput estimate'!$O8*Throughput!D27^2+'Blur throughput estimate'!$O9*Throughput!D27^3+'Blur throughput estimate'!$O10*Throughput!D27^4+'Blur throughput estimate'!$O11*Throughput!D27^5</f>
        <v>0.93188757253036958</v>
      </c>
      <c r="D10" s="217">
        <f>'Blur throughput estimate'!$O6+'Blur throughput estimate'!$O7*Throughput!E27+'Blur throughput estimate'!$O8*Throughput!E27^2+'Blur throughput estimate'!$O9*Throughput!E27^3+'Blur throughput estimate'!$O10*Throughput!E27^4+'Blur throughput estimate'!$O11*Throughput!E27^5</f>
        <v>0.9370293697486991</v>
      </c>
      <c r="E10" s="217">
        <f>'Blur throughput estimate'!$O6+'Blur throughput estimate'!$O7*Throughput!F27+'Blur throughput estimate'!$O8*Throughput!F27^2+'Blur throughput estimate'!$O9*Throughput!F27^3+'Blur throughput estimate'!$O10*Throughput!F27^4+'Blur throughput estimate'!$O11*Throughput!F27^5</f>
        <v>0.94098856920329976</v>
      </c>
      <c r="F10" s="217">
        <f>'Blur throughput estimate'!$O6+'Blur throughput estimate'!$O7*Throughput!G27+'Blur throughput estimate'!$O8*Throughput!G27^2+'Blur throughput estimate'!$O9*Throughput!G27^3+'Blur throughput estimate'!$O10*Throughput!G27^4+'Blur throughput estimate'!$O11*Throughput!G27^5</f>
        <v>0.94573041770986443</v>
      </c>
      <c r="G10" s="217">
        <f>'Blur throughput estimate'!$O6+'Blur throughput estimate'!$O7*Throughput!H27+'Blur throughput estimate'!$O8*Throughput!H27^2+'Blur throughput estimate'!$O9*Throughput!H27^3+'Blur throughput estimate'!$O10*Throughput!H27^4+'Blur throughput estimate'!$O11*Throughput!H27^5</f>
        <v>0.94848737407403649</v>
      </c>
      <c r="H10" s="217">
        <f>'Blur throughput estimate'!$O6+'Blur throughput estimate'!$O7*Throughput!I27+'Blur throughput estimate'!$O8*Throughput!I27^2+'Blur throughput estimate'!$O9*Throughput!I27^3+'Blur throughput estimate'!$O10*Throughput!I27^4+'Blur throughput estimate'!$O11*Throughput!I27^5</f>
        <v>0.94765586097106602</v>
      </c>
      <c r="I10" s="217">
        <f>'Blur throughput estimate'!$O6+'Blur throughput estimate'!$O7*Throughput!J27+'Blur throughput estimate'!$O8*Throughput!J27^2+'Blur throughput estimate'!$O9*Throughput!J27^3+'Blur throughput estimate'!$O10*Throughput!J27^4+'Blur throughput estimate'!$O11*Throughput!J27^5</f>
        <v>0.94437415279317827</v>
      </c>
      <c r="J10" s="217">
        <f>'Blur throughput estimate'!$O6+'Blur throughput estimate'!$O7*Throughput!K27+'Blur throughput estimate'!$O8*Throughput!K27^2+'Blur throughput estimate'!$O9*Throughput!K27^3+'Blur throughput estimate'!$O10*Throughput!K27^4+'Blur throughput estimate'!$O11*Throughput!K27^5</f>
        <v>0.94022262596183104</v>
      </c>
      <c r="K10" s="217">
        <f>'Blur throughput estimate'!$O6+'Blur throughput estimate'!$O7*Throughput!L27+'Blur throughput estimate'!$O8*Throughput!L27^2+'Blur throughput estimate'!$O9*Throughput!L27^3+'Blur throughput estimate'!$O10*Throughput!L27^4+'Blur throughput estimate'!$O11*Throughput!L27^5</f>
        <v>0.93628012678677508</v>
      </c>
      <c r="L10" s="217">
        <f>'Blur throughput estimate'!$O6+'Blur throughput estimate'!$O7*Throughput!M27+'Blur throughput estimate'!$O8*Throughput!M27^2+'Blur throughput estimate'!$O9*Throughput!M27^3+'Blur throughput estimate'!$O10*Throughput!M27^4+'Blur throughput estimate'!$O11*Throughput!M27^5</f>
        <v>0.93311306134488881</v>
      </c>
      <c r="M10" s="217">
        <f>'Blur throughput estimate'!$O6+'Blur throughput estimate'!$O7*Throughput!N27+'Blur throughput estimate'!$O8*Throughput!N27^2+'Blur throughput estimate'!$O9*Throughput!N27^3+'Blur throughput estimate'!$O10*Throughput!N27^4+'Blur throughput estimate'!$O11*Throughput!N27^5</f>
        <v>0.93090940899576458</v>
      </c>
      <c r="N10" s="217">
        <f>'Blur throughput estimate'!$O6+'Blur throughput estimate'!$O7*Throughput!O27+'Blur throughput estimate'!$O8*Throughput!O27^2+'Blur throughput estimate'!$O9*Throughput!O27^3+'Blur throughput estimate'!$O10*Throughput!O27^4+'Blur throughput estimate'!$O11*Throughput!O27^5</f>
        <v>0.92996051179864381</v>
      </c>
      <c r="O10" s="223">
        <f>'Blur throughput estimate'!$O6+'Blur throughput estimate'!$O7*Throughput!P27+'Blur throughput estimate'!$O8*Throughput!P27^2+'Blur throughput estimate'!$O9*Throughput!P27^3+'Blur throughput estimate'!$O10*Throughput!P27^4+'Blur throughput estimate'!$O11*Throughput!P27^5</f>
        <v>0.92900012880810623</v>
      </c>
      <c r="P10" s="41" t="s">
        <v>458</v>
      </c>
    </row>
    <row r="11" spans="1:16">
      <c r="A11" s="224" t="s">
        <v>453</v>
      </c>
      <c r="B11" s="218">
        <v>0.622</v>
      </c>
      <c r="C11" s="218">
        <v>0.66</v>
      </c>
      <c r="D11" s="218">
        <v>0.72</v>
      </c>
      <c r="E11" s="218">
        <v>0.79500000000000004</v>
      </c>
      <c r="F11" s="218">
        <v>0.82899999999999996</v>
      </c>
      <c r="G11" s="218">
        <v>0.84789999999999999</v>
      </c>
      <c r="H11" s="218">
        <v>0.89029999999999998</v>
      </c>
      <c r="I11" s="164">
        <v>0.91620000000000001</v>
      </c>
      <c r="J11" s="164">
        <v>0.93</v>
      </c>
      <c r="K11" s="164">
        <v>0.94499999999999995</v>
      </c>
      <c r="L11" s="164">
        <v>0.96</v>
      </c>
      <c r="M11" s="164">
        <v>0.96</v>
      </c>
      <c r="N11" s="164">
        <v>0.96</v>
      </c>
      <c r="O11" s="225">
        <v>0.95199999999999996</v>
      </c>
      <c r="P11" s="41" t="s">
        <v>457</v>
      </c>
    </row>
    <row r="12" spans="1:16" ht="15" thickBot="1">
      <c r="A12" s="226" t="s">
        <v>471</v>
      </c>
      <c r="B12" s="227">
        <f>Obscuration!B11</f>
        <v>0.76468680156816993</v>
      </c>
      <c r="C12" s="227">
        <f>B12</f>
        <v>0.76468680156816993</v>
      </c>
      <c r="D12" s="227">
        <f t="shared" ref="D12:O12" si="1">C12</f>
        <v>0.76468680156816993</v>
      </c>
      <c r="E12" s="227">
        <f t="shared" si="1"/>
        <v>0.76468680156816993</v>
      </c>
      <c r="F12" s="227">
        <f t="shared" si="1"/>
        <v>0.76468680156816993</v>
      </c>
      <c r="G12" s="227">
        <f t="shared" si="1"/>
        <v>0.76468680156816993</v>
      </c>
      <c r="H12" s="227">
        <f t="shared" si="1"/>
        <v>0.76468680156816993</v>
      </c>
      <c r="I12" s="227">
        <f t="shared" si="1"/>
        <v>0.76468680156816993</v>
      </c>
      <c r="J12" s="227">
        <f t="shared" si="1"/>
        <v>0.76468680156816993</v>
      </c>
      <c r="K12" s="227">
        <f t="shared" si="1"/>
        <v>0.76468680156816993</v>
      </c>
      <c r="L12" s="227">
        <f t="shared" si="1"/>
        <v>0.76468680156816993</v>
      </c>
      <c r="M12" s="227">
        <f t="shared" si="1"/>
        <v>0.76468680156816993</v>
      </c>
      <c r="N12" s="227">
        <f t="shared" si="1"/>
        <v>0.76468680156816993</v>
      </c>
      <c r="O12" s="228">
        <f t="shared" si="1"/>
        <v>0.76468680156816993</v>
      </c>
      <c r="P12" s="216" t="s">
        <v>472</v>
      </c>
    </row>
    <row r="13" spans="1:16" ht="15" thickBot="1"/>
    <row r="14" spans="1:16">
      <c r="A14" s="231" t="s">
        <v>473</v>
      </c>
      <c r="B14" s="233">
        <f>PRODUCT(B6:B12)</f>
        <v>2.5267627713473378E-2</v>
      </c>
      <c r="C14" s="233">
        <f t="shared" ref="C14:O14" si="2">PRODUCT(C6:C12)</f>
        <v>4.0915167588831923E-2</v>
      </c>
      <c r="D14" s="233">
        <f t="shared" si="2"/>
        <v>6.2314348183387887E-2</v>
      </c>
      <c r="E14" s="233">
        <f t="shared" si="2"/>
        <v>8.6272349753430497E-2</v>
      </c>
      <c r="F14" s="233">
        <f t="shared" si="2"/>
        <v>9.3995106893253647E-2</v>
      </c>
      <c r="G14" s="233">
        <f t="shared" si="2"/>
        <v>9.3320973547614247E-2</v>
      </c>
      <c r="H14" s="233">
        <f t="shared" si="2"/>
        <v>0.11167981371892959</v>
      </c>
      <c r="I14" s="233">
        <f t="shared" si="2"/>
        <v>0.12160010133853918</v>
      </c>
      <c r="J14" s="233">
        <f t="shared" si="2"/>
        <v>0.12314972759317273</v>
      </c>
      <c r="K14" s="233">
        <f t="shared" si="2"/>
        <v>0.11548714860839515</v>
      </c>
      <c r="L14" s="233">
        <f t="shared" si="2"/>
        <v>0.14331657362689212</v>
      </c>
      <c r="M14" s="233">
        <f t="shared" si="2"/>
        <v>0.14555353696853277</v>
      </c>
      <c r="N14" s="233">
        <f t="shared" si="2"/>
        <v>0.14403706557159776</v>
      </c>
      <c r="O14" s="234">
        <f t="shared" si="2"/>
        <v>8.4493230312040771E-2</v>
      </c>
    </row>
    <row r="15" spans="1:16" ht="15" thickBot="1">
      <c r="A15" s="232" t="s">
        <v>474</v>
      </c>
      <c r="B15" s="235">
        <f>PRODUCT(B6,B11:B12)</f>
        <v>6.3117243636915621E-2</v>
      </c>
      <c r="C15" s="235">
        <f t="shared" ref="C15:O15" si="3">PRODUCT(C6,C11:C12)</f>
        <v>0.10173156522059518</v>
      </c>
      <c r="D15" s="235">
        <f t="shared" si="3"/>
        <v>0.15369528230904775</v>
      </c>
      <c r="E15" s="235">
        <f t="shared" si="3"/>
        <v>0.21130204713005743</v>
      </c>
      <c r="F15" s="235">
        <f t="shared" si="3"/>
        <v>0.22843173024224439</v>
      </c>
      <c r="G15" s="235">
        <f t="shared" si="3"/>
        <v>0.22619201123388058</v>
      </c>
      <c r="H15" s="235">
        <f t="shared" si="3"/>
        <v>0.27159196411007386</v>
      </c>
      <c r="I15" s="235">
        <f t="shared" si="3"/>
        <v>0.29755421594206094</v>
      </c>
      <c r="J15" s="235">
        <f t="shared" si="3"/>
        <v>0.30329981681862417</v>
      </c>
      <c r="K15" s="235">
        <f t="shared" si="3"/>
        <v>0.28588556431788492</v>
      </c>
      <c r="L15" s="235">
        <f t="shared" si="3"/>
        <v>0.35583157182818864</v>
      </c>
      <c r="M15" s="235">
        <f t="shared" si="3"/>
        <v>0.3618852870701928</v>
      </c>
      <c r="N15" s="235">
        <f t="shared" si="3"/>
        <v>0.35860848517358396</v>
      </c>
      <c r="O15" s="236">
        <f t="shared" si="3"/>
        <v>0.21065680470507836</v>
      </c>
    </row>
    <row r="17" spans="1:17">
      <c r="A17" s="471" t="s">
        <v>724</v>
      </c>
      <c r="C17" s="144"/>
      <c r="D17" s="144"/>
      <c r="E17" s="144"/>
      <c r="F17" s="144"/>
      <c r="G17" s="144"/>
      <c r="H17" s="144"/>
      <c r="I17" s="144"/>
      <c r="J17" s="144"/>
      <c r="K17" s="144"/>
      <c r="L17" s="144"/>
      <c r="M17" s="144"/>
      <c r="N17" s="144"/>
      <c r="O17" s="144"/>
    </row>
    <row r="18" spans="1:17">
      <c r="A18" s="94" t="s">
        <v>585</v>
      </c>
      <c r="B18" s="362">
        <v>2.0876012768050047E-2</v>
      </c>
      <c r="C18" s="362">
        <v>3.5568457234096393E-2</v>
      </c>
      <c r="D18" s="362">
        <v>5.79132512347032E-2</v>
      </c>
      <c r="E18" s="362">
        <v>9.0553435536389726E-2</v>
      </c>
      <c r="F18" s="362">
        <v>0.10043384277305958</v>
      </c>
      <c r="G18" s="362">
        <v>0.1050624817797912</v>
      </c>
      <c r="H18" s="362">
        <v>0.10861370522146065</v>
      </c>
      <c r="I18" s="362">
        <v>0.11522617873499164</v>
      </c>
      <c r="J18" s="362">
        <v>0.11310480050479031</v>
      </c>
      <c r="K18" s="362">
        <v>0.10999507156737118</v>
      </c>
      <c r="L18" s="362">
        <v>0.13300232352036034</v>
      </c>
      <c r="M18" s="362">
        <v>0.13225456759059176</v>
      </c>
      <c r="N18" s="362">
        <v>0.12724105266585409</v>
      </c>
      <c r="O18" s="362">
        <v>7.1898427902341785E-2</v>
      </c>
      <c r="Q18" s="356">
        <v>42234</v>
      </c>
    </row>
    <row r="19" spans="1:17">
      <c r="A19" s="94" t="s">
        <v>586</v>
      </c>
      <c r="B19" s="362">
        <v>2.0876012768050047E-2</v>
      </c>
      <c r="C19" s="362">
        <v>3.5568457234096393E-2</v>
      </c>
      <c r="D19" s="362">
        <v>5.79132512347032E-2</v>
      </c>
      <c r="E19" s="362">
        <v>9.0553435536389726E-2</v>
      </c>
      <c r="F19" s="362">
        <v>0.10043384277305958</v>
      </c>
      <c r="G19" s="362">
        <v>0.1050624817797912</v>
      </c>
      <c r="H19" s="362">
        <v>0.10861370522146065</v>
      </c>
      <c r="I19" s="362">
        <v>0.11522617873499164</v>
      </c>
      <c r="J19" s="362">
        <v>0.11310480050479031</v>
      </c>
      <c r="K19" s="362">
        <v>0.10999507156737118</v>
      </c>
      <c r="L19" s="362">
        <v>0.13300232352036034</v>
      </c>
      <c r="M19" s="362">
        <v>0.13225456759059176</v>
      </c>
      <c r="N19" s="362">
        <v>0.12724105266585409</v>
      </c>
      <c r="O19" s="362">
        <v>7.1898427902341785E-2</v>
      </c>
      <c r="Q19" s="356">
        <v>42398</v>
      </c>
    </row>
    <row r="20" spans="1:17">
      <c r="A20" s="94" t="s">
        <v>591</v>
      </c>
      <c r="B20" s="362">
        <v>1.7853484621974017E-2</v>
      </c>
      <c r="C20" s="362">
        <v>3.1335263298513501E-2</v>
      </c>
      <c r="D20" s="362">
        <v>5.2739341970850992E-2</v>
      </c>
      <c r="E20" s="362">
        <v>8.5193914124587086E-2</v>
      </c>
      <c r="F20" s="362">
        <v>9.626084947178061E-2</v>
      </c>
      <c r="G20" s="362">
        <v>0.10198401730050138</v>
      </c>
      <c r="H20" s="362">
        <v>0.1062660112374922</v>
      </c>
      <c r="I20" s="362">
        <v>0.11315508092170394</v>
      </c>
      <c r="J20" s="362">
        <v>0.11146504945986027</v>
      </c>
      <c r="K20" s="362">
        <v>0.1085256572352194</v>
      </c>
      <c r="L20" s="362">
        <v>0.13129996038570985</v>
      </c>
      <c r="M20" s="362">
        <v>0.13063564320057003</v>
      </c>
      <c r="N20" s="362">
        <v>0.12584918730967556</v>
      </c>
      <c r="O20" s="362">
        <v>7.1260164802742734E-2</v>
      </c>
      <c r="Q20" s="356">
        <v>42476</v>
      </c>
    </row>
    <row r="21" spans="1:17">
      <c r="A21" s="94" t="s">
        <v>593</v>
      </c>
      <c r="B21" s="362">
        <v>2.038840609792681E-2</v>
      </c>
      <c r="C21" s="362">
        <v>3.6545236385349865E-2</v>
      </c>
      <c r="D21" s="362">
        <v>5.9578459338778138E-2</v>
      </c>
      <c r="E21" s="362">
        <v>0.11464043240806117</v>
      </c>
      <c r="F21" s="362">
        <v>0.11256759085219527</v>
      </c>
      <c r="G21" s="362">
        <v>0.11353825544490689</v>
      </c>
      <c r="H21" s="362">
        <v>0.12485489893206889</v>
      </c>
      <c r="I21" s="362">
        <v>0.13495926703395333</v>
      </c>
      <c r="J21" s="362">
        <v>0.13634019817784551</v>
      </c>
      <c r="K21" s="362">
        <v>0.12738676486737183</v>
      </c>
      <c r="L21" s="362">
        <v>0.15583237813519291</v>
      </c>
      <c r="M21" s="362">
        <v>0.15610361935977743</v>
      </c>
      <c r="N21" s="362">
        <v>0.14767204980925835</v>
      </c>
      <c r="O21" s="362">
        <v>8.9045171358660191E-2</v>
      </c>
      <c r="Q21" s="356">
        <v>42762</v>
      </c>
    </row>
    <row r="22" spans="1:17">
      <c r="A22" s="94" t="s">
        <v>625</v>
      </c>
      <c r="B22" s="362">
        <v>2.099119694164767E-2</v>
      </c>
      <c r="C22" s="362">
        <v>3.6176735728176278E-2</v>
      </c>
      <c r="D22" s="362">
        <v>5.8981042807727264E-2</v>
      </c>
      <c r="E22" s="362">
        <v>0.11270980479385749</v>
      </c>
      <c r="F22" s="362">
        <v>0.11315831968744477</v>
      </c>
      <c r="G22" s="362">
        <v>0.11096006304071471</v>
      </c>
      <c r="H22" s="362">
        <v>0.12478075522849541</v>
      </c>
      <c r="I22" s="362">
        <v>0.13311235109021705</v>
      </c>
      <c r="J22" s="362">
        <v>0.13317066646294781</v>
      </c>
      <c r="K22" s="362">
        <v>0.12418787030271049</v>
      </c>
      <c r="L22" s="362">
        <v>0.14961206548112679</v>
      </c>
      <c r="M22" s="362">
        <v>0.14923431185245709</v>
      </c>
      <c r="N22" s="362">
        <v>0.14330438027572934</v>
      </c>
      <c r="O22" s="362">
        <v>8.9092222460163462E-2</v>
      </c>
      <c r="Q22" s="356">
        <v>43067</v>
      </c>
    </row>
    <row r="23" spans="1:17" s="326" customFormat="1">
      <c r="A23" s="94" t="s">
        <v>646</v>
      </c>
      <c r="B23" s="362">
        <v>2.1277390823766701E-2</v>
      </c>
      <c r="C23" s="362">
        <v>3.6506527151730153E-2</v>
      </c>
      <c r="D23" s="362">
        <v>5.8940173299704433E-2</v>
      </c>
      <c r="E23" s="362">
        <v>0.1118574760672254</v>
      </c>
      <c r="F23" s="362">
        <v>0.11290247633861084</v>
      </c>
      <c r="G23" s="362">
        <v>0.11015010801019968</v>
      </c>
      <c r="H23" s="362">
        <v>0.12374529307675233</v>
      </c>
      <c r="I23" s="362">
        <v>0.13222737134537657</v>
      </c>
      <c r="J23" s="362">
        <v>0.13253025461884227</v>
      </c>
      <c r="K23" s="362">
        <v>0.12373540795249219</v>
      </c>
      <c r="L23" s="362">
        <v>0.14912873908106428</v>
      </c>
      <c r="M23" s="362">
        <v>0.14907264302046264</v>
      </c>
      <c r="N23" s="362">
        <v>0.14359306166056443</v>
      </c>
      <c r="O23" s="362">
        <v>8.8906723289186959E-2</v>
      </c>
      <c r="Q23" s="356">
        <v>43258</v>
      </c>
    </row>
    <row r="24" spans="1:17" s="326" customFormat="1">
      <c r="A24" s="94" t="s">
        <v>736</v>
      </c>
      <c r="B24" s="362">
        <v>2.2457151036585674E-2</v>
      </c>
      <c r="C24" s="362">
        <v>3.7030451294934104E-2</v>
      </c>
      <c r="D24" s="362">
        <v>5.6261713921029188E-2</v>
      </c>
      <c r="E24" s="362">
        <v>0.10074373003183623</v>
      </c>
      <c r="F24" s="362">
        <v>9.934245336466424E-2</v>
      </c>
      <c r="G24" s="362">
        <v>9.1918721013765525E-2</v>
      </c>
      <c r="H24" s="362">
        <v>0.11598542093636734</v>
      </c>
      <c r="I24" s="362">
        <v>0.1236480153747947</v>
      </c>
      <c r="J24" s="362">
        <v>0.1247164602323852</v>
      </c>
      <c r="K24" s="362">
        <v>0.11700587864324384</v>
      </c>
      <c r="L24" s="362">
        <v>0.14750763612518056</v>
      </c>
      <c r="M24" s="362">
        <v>0.14972020881067624</v>
      </c>
      <c r="N24" s="362">
        <v>0.14777948376198616</v>
      </c>
      <c r="O24" s="362">
        <v>9.1426182026251648E-2</v>
      </c>
      <c r="Q24" s="356">
        <v>43397</v>
      </c>
    </row>
    <row r="25" spans="1:17" s="326" customFormat="1">
      <c r="A25" s="94" t="s">
        <v>798</v>
      </c>
      <c r="B25" s="362">
        <v>2.1197247082456974E-2</v>
      </c>
      <c r="C25" s="362">
        <v>3.608530007412427E-2</v>
      </c>
      <c r="D25" s="362">
        <v>5.7701126362468581E-2</v>
      </c>
      <c r="E25" s="362">
        <v>0.10660119921183936</v>
      </c>
      <c r="F25" s="362">
        <v>0.10741180309959952</v>
      </c>
      <c r="G25" s="362">
        <v>0.1026633936845693</v>
      </c>
      <c r="H25" s="362">
        <v>0.12114607257121877</v>
      </c>
      <c r="I25" s="362">
        <v>0.12989230183979997</v>
      </c>
      <c r="J25" s="362">
        <v>0.12986513543218517</v>
      </c>
      <c r="K25" s="362">
        <v>0.12135242079933699</v>
      </c>
      <c r="L25" s="362">
        <v>0.14755500108186206</v>
      </c>
      <c r="M25" s="362">
        <v>0.14919306866459078</v>
      </c>
      <c r="N25" s="362">
        <v>0.14697532401842711</v>
      </c>
      <c r="O25" s="362">
        <v>8.8131620784134584E-2</v>
      </c>
      <c r="Q25" s="356">
        <v>43474</v>
      </c>
    </row>
    <row r="26" spans="1:17">
      <c r="A26" s="94" t="s">
        <v>849</v>
      </c>
      <c r="B26" s="362">
        <v>2.5416338729276192E-2</v>
      </c>
      <c r="C26" s="362">
        <v>4.0295327695556153E-2</v>
      </c>
      <c r="D26" s="362">
        <v>6.0226901202979057E-2</v>
      </c>
      <c r="E26" s="362">
        <v>8.6345308754344166E-2</v>
      </c>
      <c r="F26" s="362">
        <v>9.517029713244185E-2</v>
      </c>
      <c r="G26" s="362">
        <v>9.5978460606283303E-2</v>
      </c>
      <c r="H26" s="362">
        <v>0.11170270780796251</v>
      </c>
      <c r="I26" s="362">
        <v>0.12159296696920707</v>
      </c>
      <c r="J26" s="362">
        <v>0.12314023401509153</v>
      </c>
      <c r="K26" s="362">
        <v>0.11545517683015585</v>
      </c>
      <c r="L26" s="362">
        <v>0.14331657362689212</v>
      </c>
      <c r="M26" s="362">
        <v>0.14555353696853277</v>
      </c>
      <c r="N26" s="362">
        <v>0.14403706557159776</v>
      </c>
      <c r="O26" s="362">
        <v>8.4493230312040771E-2</v>
      </c>
      <c r="Q26" s="356">
        <v>43902</v>
      </c>
    </row>
    <row r="27" spans="1:17" s="326" customFormat="1">
      <c r="A27" s="94" t="s">
        <v>873</v>
      </c>
      <c r="B27" s="362">
        <v>2.5267627713473378E-2</v>
      </c>
      <c r="C27" s="362">
        <v>4.0915167588831923E-2</v>
      </c>
      <c r="D27" s="362">
        <v>6.2314348183387887E-2</v>
      </c>
      <c r="E27" s="362">
        <v>8.6272349753430497E-2</v>
      </c>
      <c r="F27" s="362">
        <v>9.3995106893253647E-2</v>
      </c>
      <c r="G27" s="362">
        <v>9.3320973547614247E-2</v>
      </c>
      <c r="H27" s="362">
        <v>0.11167981371892959</v>
      </c>
      <c r="I27" s="362">
        <v>0.12160010133853918</v>
      </c>
      <c r="J27" s="362">
        <v>0.12314972759317273</v>
      </c>
      <c r="K27" s="362">
        <v>0.11548714860839515</v>
      </c>
      <c r="L27" s="362">
        <v>0.14331657362689212</v>
      </c>
      <c r="M27" s="362">
        <v>0.14555353696853277</v>
      </c>
      <c r="N27" s="362">
        <v>0.14403706557159776</v>
      </c>
      <c r="O27" s="362">
        <v>8.4493230312040771E-2</v>
      </c>
      <c r="Q27" s="356">
        <v>43937</v>
      </c>
    </row>
    <row r="28" spans="1:17">
      <c r="A28" s="94"/>
      <c r="B28" s="362"/>
      <c r="C28" s="362"/>
      <c r="D28" s="362"/>
      <c r="E28" s="362"/>
      <c r="F28" s="362"/>
      <c r="G28" s="362"/>
      <c r="H28" s="362"/>
      <c r="I28" s="362"/>
      <c r="J28" s="362"/>
      <c r="K28" s="362"/>
      <c r="L28" s="362"/>
      <c r="M28" s="362"/>
      <c r="N28" s="362"/>
      <c r="O28" s="362"/>
    </row>
    <row r="29" spans="1:17">
      <c r="A29" s="94"/>
      <c r="B29" s="362"/>
      <c r="C29" s="362"/>
      <c r="D29" s="362"/>
      <c r="E29" s="362"/>
      <c r="F29" s="362"/>
      <c r="G29" s="362"/>
      <c r="H29" s="362"/>
      <c r="I29" s="362"/>
      <c r="J29" s="362"/>
      <c r="K29" s="362"/>
      <c r="L29" s="362"/>
      <c r="M29" s="362"/>
      <c r="N29" s="362"/>
      <c r="O29" s="362"/>
    </row>
    <row r="30" spans="1:17">
      <c r="A30" s="94"/>
      <c r="B30" s="362"/>
      <c r="C30" s="362"/>
      <c r="D30" s="362"/>
      <c r="E30" s="362"/>
      <c r="F30" s="362"/>
      <c r="G30" s="362"/>
      <c r="H30" s="362"/>
      <c r="I30" s="362"/>
      <c r="J30" s="362"/>
      <c r="K30" s="362"/>
      <c r="L30" s="362"/>
      <c r="M30" s="362"/>
      <c r="N30" s="362"/>
      <c r="O30" s="362"/>
    </row>
  </sheetData>
  <mergeCells count="1">
    <mergeCell ref="B4:O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7"/>
  <sheetViews>
    <sheetView topLeftCell="A106" zoomScaleNormal="100" zoomScalePageLayoutView="125" workbookViewId="0">
      <selection activeCell="H114" sqref="H114"/>
    </sheetView>
  </sheetViews>
  <sheetFormatPr defaultColWidth="8.88671875" defaultRowHeight="14.4"/>
  <cols>
    <col min="1" max="1" width="46.33203125" style="144" customWidth="1"/>
    <col min="2" max="2" width="52" style="144" bestFit="1" customWidth="1"/>
    <col min="3" max="3" width="12.44140625" style="144" bestFit="1" customWidth="1"/>
    <col min="4" max="4" width="10.88671875" style="144" customWidth="1"/>
    <col min="5" max="6" width="8.88671875" style="144"/>
    <col min="7" max="7" width="12.6640625" style="144" customWidth="1"/>
    <col min="8" max="9" width="8.88671875" style="144"/>
    <col min="10" max="10" width="14.109375" style="144" customWidth="1"/>
    <col min="11" max="16384" width="8.88671875" style="144"/>
  </cols>
  <sheetData>
    <row r="1" spans="1:12">
      <c r="A1" s="144" t="s">
        <v>561</v>
      </c>
    </row>
    <row r="2" spans="1:12">
      <c r="A2" s="144" t="s">
        <v>579</v>
      </c>
    </row>
    <row r="3" spans="1:12">
      <c r="A3" s="39" t="s">
        <v>580</v>
      </c>
    </row>
    <row r="4" spans="1:12">
      <c r="A4" s="253" t="s">
        <v>578</v>
      </c>
      <c r="B4" s="253"/>
      <c r="C4" s="253"/>
      <c r="D4" s="253"/>
      <c r="E4" s="254"/>
      <c r="F4" s="253"/>
      <c r="G4" s="253"/>
      <c r="H4" s="253"/>
      <c r="I4" s="253"/>
      <c r="J4" s="253"/>
      <c r="K4" s="253"/>
      <c r="L4" s="253"/>
    </row>
    <row r="5" spans="1:12" ht="15.6">
      <c r="A5" s="262" t="s">
        <v>559</v>
      </c>
      <c r="B5" s="256"/>
      <c r="C5" s="253"/>
      <c r="D5" s="253"/>
      <c r="E5" s="257" t="s">
        <v>489</v>
      </c>
      <c r="F5" s="258"/>
      <c r="G5" s="259"/>
      <c r="H5" s="260"/>
      <c r="I5" s="260" t="s">
        <v>490</v>
      </c>
      <c r="J5" s="259"/>
      <c r="K5" s="259"/>
      <c r="L5" s="261"/>
    </row>
    <row r="6" spans="1:12">
      <c r="A6" s="262" t="s">
        <v>560</v>
      </c>
      <c r="B6" s="263"/>
      <c r="C6" s="253"/>
      <c r="D6" s="253"/>
      <c r="E6" s="264" t="s">
        <v>491</v>
      </c>
      <c r="F6" s="265"/>
      <c r="G6" s="254"/>
      <c r="H6" s="266"/>
      <c r="I6" s="254"/>
      <c r="J6" s="254"/>
      <c r="K6" s="254"/>
      <c r="L6" s="267"/>
    </row>
    <row r="7" spans="1:12">
      <c r="A7" s="262" t="s">
        <v>755</v>
      </c>
      <c r="B7" s="263"/>
      <c r="C7" s="268" t="s">
        <v>492</v>
      </c>
      <c r="D7" s="253"/>
      <c r="E7" s="269" t="s">
        <v>493</v>
      </c>
      <c r="F7" s="270" t="s">
        <v>494</v>
      </c>
      <c r="G7" s="270" t="s">
        <v>495</v>
      </c>
      <c r="H7" s="270" t="s">
        <v>496</v>
      </c>
      <c r="I7" s="270" t="s">
        <v>497</v>
      </c>
      <c r="J7" s="270" t="s">
        <v>498</v>
      </c>
      <c r="K7" s="270" t="s">
        <v>499</v>
      </c>
      <c r="L7" s="271" t="s">
        <v>500</v>
      </c>
    </row>
    <row r="8" spans="1:12">
      <c r="A8" s="262" t="s">
        <v>562</v>
      </c>
      <c r="B8" s="263"/>
      <c r="C8" s="272" t="s">
        <v>501</v>
      </c>
      <c r="D8" s="253"/>
      <c r="E8" s="273" t="s">
        <v>502</v>
      </c>
      <c r="F8" s="274">
        <v>22</v>
      </c>
      <c r="G8" s="275">
        <v>22.7</v>
      </c>
      <c r="H8" s="274">
        <v>21.8</v>
      </c>
      <c r="I8" s="275">
        <v>20.9</v>
      </c>
      <c r="J8" s="274">
        <v>19.899999999999999</v>
      </c>
      <c r="K8" s="276">
        <v>7.5953754809788742E-18</v>
      </c>
      <c r="L8" s="277">
        <v>9.122698591911281E-18</v>
      </c>
    </row>
    <row r="9" spans="1:12">
      <c r="A9" s="262" t="s">
        <v>563</v>
      </c>
      <c r="B9" s="263"/>
      <c r="C9" s="278" t="s">
        <v>503</v>
      </c>
      <c r="D9" s="253"/>
      <c r="E9" s="279" t="s">
        <v>504</v>
      </c>
      <c r="F9" s="274">
        <v>21.5</v>
      </c>
      <c r="G9" s="275">
        <v>22.4</v>
      </c>
      <c r="H9" s="274">
        <v>21.7</v>
      </c>
      <c r="I9" s="275">
        <v>20.8</v>
      </c>
      <c r="J9" s="274">
        <v>19.899999999999999</v>
      </c>
      <c r="K9" s="276">
        <v>8.3281636064138881E-18</v>
      </c>
      <c r="L9" s="277">
        <v>9.122698591911281E-18</v>
      </c>
    </row>
    <row r="10" spans="1:12">
      <c r="A10" s="290" t="s">
        <v>581</v>
      </c>
      <c r="B10" s="263"/>
      <c r="C10" s="253"/>
      <c r="D10" s="253"/>
      <c r="E10" s="279" t="s">
        <v>505</v>
      </c>
      <c r="F10" s="275">
        <v>19.899999999999999</v>
      </c>
      <c r="G10" s="275">
        <v>21.6</v>
      </c>
      <c r="H10" s="274">
        <v>21.4</v>
      </c>
      <c r="I10" s="275">
        <v>20.6</v>
      </c>
      <c r="J10" s="274">
        <v>19.7</v>
      </c>
      <c r="K10" s="276">
        <v>1.00126549096665E-17</v>
      </c>
      <c r="L10" s="277">
        <v>1.0967896064789274E-17</v>
      </c>
    </row>
    <row r="11" spans="1:12">
      <c r="A11" s="262" t="s">
        <v>582</v>
      </c>
      <c r="B11" s="280"/>
      <c r="C11" s="253"/>
      <c r="D11" s="253"/>
      <c r="E11" s="279" t="s">
        <v>506</v>
      </c>
      <c r="F11" s="275">
        <v>18.5</v>
      </c>
      <c r="G11" s="275">
        <v>20.7</v>
      </c>
      <c r="H11" s="274">
        <v>20.7</v>
      </c>
      <c r="I11" s="275">
        <v>20.3</v>
      </c>
      <c r="J11" s="274">
        <v>19.5</v>
      </c>
      <c r="K11" s="276">
        <v>1.3199249805507743E-17</v>
      </c>
      <c r="L11" s="277">
        <v>1.3186311361276416E-17</v>
      </c>
    </row>
    <row r="12" spans="1:12">
      <c r="A12" s="262" t="s">
        <v>583</v>
      </c>
      <c r="B12" s="280" t="s">
        <v>3</v>
      </c>
      <c r="C12" s="253"/>
      <c r="D12" s="253"/>
      <c r="E12" s="281" t="s">
        <v>507</v>
      </c>
      <c r="F12" s="282">
        <v>17</v>
      </c>
      <c r="G12" s="282">
        <v>19.5</v>
      </c>
      <c r="H12" s="283">
        <v>20</v>
      </c>
      <c r="I12" s="282">
        <v>19.899999999999999</v>
      </c>
      <c r="J12" s="283">
        <v>19.2</v>
      </c>
      <c r="K12" s="284">
        <v>1.9078720612891382E-17</v>
      </c>
      <c r="L12" s="285">
        <v>1.7382943808705588E-17</v>
      </c>
    </row>
    <row r="13" spans="1:12">
      <c r="A13" s="262" t="s">
        <v>564</v>
      </c>
      <c r="B13" s="280"/>
      <c r="C13" s="253"/>
      <c r="D13" s="253"/>
      <c r="E13" s="286" t="s">
        <v>573</v>
      </c>
      <c r="F13" s="287"/>
      <c r="G13" s="287"/>
      <c r="H13" s="287"/>
      <c r="I13" s="287"/>
      <c r="J13" s="287"/>
      <c r="K13" s="287"/>
      <c r="L13" s="288"/>
    </row>
    <row r="14" spans="1:12">
      <c r="A14" s="262" t="s">
        <v>569</v>
      </c>
      <c r="B14" s="280"/>
      <c r="C14" s="253"/>
      <c r="D14" s="253"/>
    </row>
    <row r="15" spans="1:12">
      <c r="A15" s="255"/>
      <c r="B15" s="280"/>
      <c r="C15" s="253"/>
      <c r="D15" s="253"/>
    </row>
    <row r="16" spans="1:12">
      <c r="A16" s="255"/>
      <c r="B16" s="280"/>
      <c r="C16" s="253"/>
      <c r="D16" s="253"/>
    </row>
    <row r="17" spans="1:12">
      <c r="A17" s="255" t="s">
        <v>508</v>
      </c>
      <c r="B17" s="289" t="s">
        <v>509</v>
      </c>
      <c r="C17" s="316">
        <v>1.19</v>
      </c>
      <c r="D17" s="290" t="s">
        <v>571</v>
      </c>
      <c r="E17" s="253"/>
      <c r="F17" s="253"/>
      <c r="G17" s="253"/>
      <c r="H17" s="253"/>
      <c r="I17" s="253"/>
      <c r="J17" s="253"/>
    </row>
    <row r="18" spans="1:12" ht="15" thickBot="1">
      <c r="A18" s="255"/>
      <c r="B18" s="291" t="s">
        <v>510</v>
      </c>
      <c r="C18" s="294">
        <f>0.3727*(1+C17)</f>
        <v>0.81621299999999997</v>
      </c>
      <c r="D18" s="290"/>
      <c r="E18" s="253"/>
      <c r="F18" s="253"/>
      <c r="G18" s="253"/>
      <c r="H18" s="253"/>
      <c r="I18" s="253"/>
      <c r="J18" s="253"/>
      <c r="K18" s="253"/>
      <c r="L18" s="253"/>
    </row>
    <row r="19" spans="1:12" ht="15" thickBot="1">
      <c r="A19" s="255"/>
      <c r="B19" s="289" t="s">
        <v>565</v>
      </c>
      <c r="C19" s="293">
        <v>8.0000000000000006E-17</v>
      </c>
      <c r="D19" s="253" t="s">
        <v>572</v>
      </c>
      <c r="E19" s="253"/>
      <c r="F19" s="253"/>
      <c r="G19" s="253"/>
      <c r="H19" s="253"/>
      <c r="I19" s="253"/>
      <c r="J19" s="253"/>
      <c r="K19" s="253"/>
      <c r="L19" s="253"/>
    </row>
    <row r="20" spans="1:12">
      <c r="A20" s="255"/>
      <c r="B20" s="291" t="s">
        <v>539</v>
      </c>
      <c r="C20" s="312">
        <f>C19*0.43</f>
        <v>3.4400000000000002E-17</v>
      </c>
      <c r="D20" s="253" t="s">
        <v>540</v>
      </c>
      <c r="E20" s="253"/>
      <c r="F20" s="253"/>
      <c r="G20" s="253"/>
      <c r="H20" s="253"/>
      <c r="I20" s="253"/>
      <c r="J20" s="253"/>
      <c r="K20" s="253"/>
      <c r="L20" s="253"/>
    </row>
    <row r="21" spans="1:12">
      <c r="A21" s="255"/>
      <c r="B21" s="291" t="s">
        <v>511</v>
      </c>
      <c r="C21" s="294">
        <f>5034000000000000*C18*C20</f>
        <v>0.14134327872480001</v>
      </c>
      <c r="D21" s="253"/>
      <c r="E21" s="253"/>
      <c r="F21" s="253"/>
      <c r="G21" s="253"/>
      <c r="H21" s="253"/>
      <c r="I21" s="253"/>
      <c r="J21" s="253"/>
      <c r="K21" s="253"/>
      <c r="L21" s="253"/>
    </row>
    <row r="22" spans="1:12">
      <c r="A22" s="255"/>
      <c r="B22" s="291" t="s">
        <v>541</v>
      </c>
      <c r="C22" s="312">
        <f>C19*0.57</f>
        <v>4.5599999999999998E-17</v>
      </c>
      <c r="D22" s="253" t="s">
        <v>540</v>
      </c>
      <c r="E22" s="253"/>
      <c r="F22" s="253"/>
      <c r="G22" s="253"/>
      <c r="H22" s="253"/>
      <c r="I22" s="253"/>
      <c r="J22" s="253"/>
      <c r="K22" s="253"/>
      <c r="L22" s="253"/>
    </row>
    <row r="23" spans="1:12">
      <c r="A23" s="255"/>
      <c r="B23" s="291" t="s">
        <v>511</v>
      </c>
      <c r="C23" s="294">
        <f>5034000000000000*C18*C22</f>
        <v>0.18736202063519999</v>
      </c>
      <c r="D23" s="290" t="s">
        <v>3</v>
      </c>
      <c r="E23" s="253"/>
      <c r="F23" s="253"/>
      <c r="G23" s="253"/>
      <c r="H23" s="253"/>
      <c r="I23" s="253"/>
      <c r="J23" s="253"/>
      <c r="K23" s="253"/>
      <c r="L23" s="253"/>
    </row>
    <row r="24" spans="1:12">
      <c r="A24" s="255" t="s">
        <v>3</v>
      </c>
      <c r="B24" s="295" t="s">
        <v>3</v>
      </c>
      <c r="C24" s="296"/>
      <c r="D24" s="297"/>
      <c r="E24" s="253"/>
      <c r="F24" s="253"/>
      <c r="G24" s="253"/>
      <c r="H24" s="253"/>
      <c r="I24" s="253"/>
      <c r="J24" s="253"/>
      <c r="K24" s="253"/>
      <c r="L24" s="253"/>
    </row>
    <row r="25" spans="1:12">
      <c r="A25" s="255" t="s">
        <v>512</v>
      </c>
      <c r="B25" s="289" t="s">
        <v>513</v>
      </c>
      <c r="C25" s="298">
        <f>LOOKUP(ROUND(1000*C18,0),Noise!$B$3:$O$3,Noise!$B$5:$O$5)</f>
        <v>7.7631724644538082E-18</v>
      </c>
      <c r="D25" s="290" t="s">
        <v>514</v>
      </c>
      <c r="E25" s="253"/>
      <c r="F25" s="253"/>
      <c r="G25" s="253"/>
      <c r="H25" s="253"/>
      <c r="K25" s="253"/>
      <c r="L25" s="253"/>
    </row>
    <row r="26" spans="1:12">
      <c r="A26" s="255"/>
      <c r="B26" s="299" t="s">
        <v>515</v>
      </c>
      <c r="C26" s="300">
        <f>L8</f>
        <v>9.122698591911281E-18</v>
      </c>
      <c r="D26" s="290" t="s">
        <v>516</v>
      </c>
      <c r="E26" s="253"/>
      <c r="F26" s="253"/>
      <c r="G26" s="253"/>
      <c r="H26" s="253"/>
      <c r="K26" s="253"/>
      <c r="L26" s="253"/>
    </row>
    <row r="27" spans="1:12">
      <c r="A27" s="255" t="s">
        <v>3</v>
      </c>
      <c r="B27" s="291" t="s">
        <v>517</v>
      </c>
      <c r="C27" s="292">
        <f>5034000000000000*C18*C25</f>
        <v>3.1897449111394978E-2</v>
      </c>
      <c r="D27" s="290" t="s">
        <v>3</v>
      </c>
      <c r="E27" s="253"/>
      <c r="F27" s="262"/>
      <c r="G27" s="253"/>
      <c r="H27" s="253"/>
    </row>
    <row r="28" spans="1:12">
      <c r="A28" s="255"/>
      <c r="B28" s="299"/>
      <c r="C28" s="299"/>
      <c r="D28" s="290"/>
      <c r="E28" s="253"/>
      <c r="F28" s="262"/>
      <c r="G28" s="253"/>
      <c r="H28" s="253"/>
    </row>
    <row r="29" spans="1:12">
      <c r="A29" s="255" t="s">
        <v>566</v>
      </c>
      <c r="B29" s="289" t="s">
        <v>574</v>
      </c>
      <c r="C29" s="298">
        <v>0.01</v>
      </c>
      <c r="D29" s="290" t="s">
        <v>567</v>
      </c>
      <c r="E29" s="253"/>
      <c r="F29" s="262"/>
      <c r="G29" s="253"/>
      <c r="H29" s="253"/>
    </row>
    <row r="30" spans="1:12">
      <c r="A30" s="255"/>
      <c r="B30" s="291" t="s">
        <v>517</v>
      </c>
      <c r="C30" s="292">
        <f>C27*C29</f>
        <v>3.1897449111394977E-4</v>
      </c>
      <c r="D30" s="290"/>
      <c r="E30" s="253"/>
      <c r="F30" s="262"/>
      <c r="G30" s="253"/>
      <c r="H30" s="253"/>
    </row>
    <row r="31" spans="1:12">
      <c r="A31" s="255"/>
      <c r="B31" s="299"/>
      <c r="C31" s="299"/>
      <c r="D31" s="290"/>
      <c r="E31" s="253"/>
      <c r="F31" s="262"/>
      <c r="G31" s="253"/>
      <c r="H31" s="253"/>
    </row>
    <row r="32" spans="1:12">
      <c r="A32" s="255" t="s">
        <v>518</v>
      </c>
      <c r="B32" s="291" t="s">
        <v>519</v>
      </c>
      <c r="C32" s="292">
        <f>C30+C27</f>
        <v>3.2216423602508926E-2</v>
      </c>
      <c r="D32" s="290"/>
      <c r="E32" s="253"/>
      <c r="F32" s="262"/>
      <c r="G32" s="253"/>
      <c r="H32" s="253"/>
    </row>
    <row r="33" spans="1:10">
      <c r="A33" s="255"/>
      <c r="B33" s="299"/>
      <c r="C33" s="296"/>
      <c r="D33" s="262"/>
      <c r="H33" s="253"/>
    </row>
    <row r="34" spans="1:10">
      <c r="A34" s="255"/>
      <c r="B34" s="301"/>
      <c r="C34" s="302"/>
      <c r="D34" s="253"/>
      <c r="H34" s="303"/>
      <c r="J34" s="176"/>
    </row>
    <row r="35" spans="1:10">
      <c r="A35" s="255" t="s">
        <v>3</v>
      </c>
      <c r="B35" s="299" t="s">
        <v>3</v>
      </c>
      <c r="C35" s="304" t="s">
        <v>3</v>
      </c>
      <c r="D35" s="262" t="s">
        <v>3</v>
      </c>
      <c r="H35" s="303"/>
    </row>
    <row r="36" spans="1:10">
      <c r="A36" s="255" t="s">
        <v>520</v>
      </c>
      <c r="B36" s="291" t="s">
        <v>521</v>
      </c>
      <c r="C36" s="305">
        <f>LOOKUP(ROUND(1000*C18,0),'ESTIMATED overall throughput'!$B$5:$O$5,'ESTIMATED overall throughput'!$B$15:$O$15)*PI()*Throughput!$T$4^2/4*PI()*Throughput!$T$9^2/4</f>
        <v>7.2811046167122528</v>
      </c>
      <c r="D36" s="262" t="s">
        <v>538</v>
      </c>
      <c r="H36" s="303"/>
    </row>
    <row r="37" spans="1:10" ht="16.2">
      <c r="A37" s="255"/>
      <c r="B37" s="313" t="s">
        <v>575</v>
      </c>
      <c r="C37" s="314">
        <f>3.5*1.67</f>
        <v>5.8449999999999998</v>
      </c>
      <c r="D37" s="262"/>
      <c r="H37" s="303"/>
    </row>
    <row r="38" spans="1:10">
      <c r="A38" s="255"/>
      <c r="B38" s="291" t="s">
        <v>522</v>
      </c>
      <c r="C38" s="305">
        <f>LOOKUP(ROUND(1000*C18,0),'ESTIMATED overall throughput'!$B$5:$O$5,'ESTIMATED overall throughput'!$B$14:$O$14)*PI()*Throughput!$T$4^2/4</f>
        <v>1.6228093163510504</v>
      </c>
      <c r="D38" s="262" t="s">
        <v>538</v>
      </c>
      <c r="H38" s="303"/>
    </row>
    <row r="39" spans="1:10" ht="16.2">
      <c r="A39" s="255"/>
      <c r="B39" s="313" t="s">
        <v>576</v>
      </c>
      <c r="C39" s="314">
        <f>3.5*0.4</f>
        <v>1.4000000000000001</v>
      </c>
      <c r="D39" s="253"/>
      <c r="H39" s="303"/>
    </row>
    <row r="40" spans="1:10">
      <c r="A40" s="255"/>
      <c r="B40" s="299"/>
      <c r="C40" s="306"/>
      <c r="D40" s="253"/>
      <c r="E40" s="290"/>
      <c r="F40" s="307"/>
      <c r="G40" s="307"/>
      <c r="H40" s="253"/>
    </row>
    <row r="41" spans="1:10">
      <c r="A41" s="255" t="s">
        <v>536</v>
      </c>
      <c r="B41" s="473"/>
      <c r="C41" s="474"/>
      <c r="D41" s="475"/>
      <c r="E41" s="253"/>
      <c r="F41" s="253"/>
      <c r="G41" s="253"/>
      <c r="H41" s="253"/>
    </row>
    <row r="42" spans="1:10">
      <c r="A42" s="255"/>
      <c r="B42" s="476" t="s">
        <v>731</v>
      </c>
      <c r="C42" s="477">
        <v>0.63</v>
      </c>
      <c r="D42" s="475" t="s">
        <v>524</v>
      </c>
      <c r="E42" s="253"/>
      <c r="F42" s="253"/>
      <c r="G42" s="253"/>
      <c r="H42" s="253"/>
    </row>
    <row r="43" spans="1:10">
      <c r="A43" s="255"/>
      <c r="B43" s="478" t="s">
        <v>732</v>
      </c>
      <c r="C43" s="327">
        <f>C42*H51</f>
        <v>7.0559999999999992</v>
      </c>
      <c r="D43" s="326"/>
      <c r="E43" s="253"/>
      <c r="F43" s="253"/>
      <c r="G43" s="253"/>
      <c r="H43" s="253"/>
    </row>
    <row r="44" spans="1:10">
      <c r="A44" s="255" t="s">
        <v>525</v>
      </c>
      <c r="B44" s="308" t="s">
        <v>526</v>
      </c>
      <c r="C44" s="315">
        <v>1000</v>
      </c>
      <c r="D44" s="290"/>
      <c r="E44" s="253"/>
      <c r="F44" s="253"/>
      <c r="G44" s="253"/>
      <c r="H44" s="253"/>
    </row>
    <row r="45" spans="1:10">
      <c r="A45" s="255"/>
      <c r="B45" s="299"/>
      <c r="C45" s="311"/>
      <c r="D45" s="290"/>
      <c r="E45" s="253"/>
      <c r="F45" s="253"/>
      <c r="G45" s="253"/>
      <c r="H45" s="253"/>
    </row>
    <row r="46" spans="1:10">
      <c r="A46" s="255" t="s">
        <v>528</v>
      </c>
      <c r="B46" s="308" t="s">
        <v>527</v>
      </c>
      <c r="C46" s="310">
        <v>1</v>
      </c>
      <c r="D46" s="309" t="s">
        <v>568</v>
      </c>
    </row>
    <row r="47" spans="1:10">
      <c r="A47" s="255" t="s">
        <v>3</v>
      </c>
      <c r="B47" s="308" t="s">
        <v>570</v>
      </c>
      <c r="C47" s="310">
        <f>LOOKUP(ROUND(1000*C18,0),Noise!$B$3:$O$3,Noise!$B$11:$O$11)</f>
        <v>2.69</v>
      </c>
      <c r="D47" s="290" t="s">
        <v>529</v>
      </c>
    </row>
    <row r="48" spans="1:10">
      <c r="A48" s="255"/>
      <c r="B48" s="479" t="s">
        <v>733</v>
      </c>
      <c r="C48" s="480">
        <f>SQRT(H50*H51*C46)*C47</f>
        <v>18.22859599640082</v>
      </c>
      <c r="D48" s="253"/>
    </row>
    <row r="49" spans="1:9">
      <c r="A49" s="255"/>
      <c r="B49" s="308" t="s">
        <v>537</v>
      </c>
      <c r="C49" s="310">
        <f>LOOKUP(ROUND(1000*C18,0),Noise!$B$3:$O$3,Noise!$B$12:$O$12)</f>
        <v>1.1399999999999999</v>
      </c>
      <c r="D49" s="290" t="s">
        <v>529</v>
      </c>
    </row>
    <row r="50" spans="1:9">
      <c r="A50" s="255"/>
      <c r="B50" s="479" t="s">
        <v>734</v>
      </c>
      <c r="C50" s="480">
        <f>H50*H51*C44*C49/3600</f>
        <v>14.541333333333331</v>
      </c>
      <c r="D50" s="253"/>
      <c r="G50" s="326" t="s">
        <v>726</v>
      </c>
      <c r="H50" s="481">
        <v>4.0999999999999996</v>
      </c>
      <c r="I50" s="326" t="s">
        <v>727</v>
      </c>
    </row>
    <row r="51" spans="1:9">
      <c r="A51" s="255"/>
      <c r="B51" s="299"/>
      <c r="C51" s="311"/>
      <c r="D51" s="309"/>
      <c r="G51" s="326" t="s">
        <v>728</v>
      </c>
      <c r="H51" s="481">
        <f>11.2</f>
        <v>11.2</v>
      </c>
      <c r="I51" s="326" t="s">
        <v>729</v>
      </c>
    </row>
    <row r="52" spans="1:9">
      <c r="A52" s="255" t="s">
        <v>530</v>
      </c>
      <c r="B52" s="479" t="s">
        <v>542</v>
      </c>
      <c r="C52" s="482">
        <f>C21*C38*C44</f>
        <v>229.37318951820868</v>
      </c>
      <c r="D52" s="253"/>
      <c r="G52" s="326"/>
      <c r="H52" s="326"/>
      <c r="I52" s="326" t="s">
        <v>730</v>
      </c>
    </row>
    <row r="53" spans="1:9">
      <c r="A53" s="255"/>
      <c r="B53" s="479" t="s">
        <v>543</v>
      </c>
      <c r="C53" s="482">
        <f>C23*C38*C44</f>
        <v>304.05283261716033</v>
      </c>
      <c r="D53" s="253"/>
    </row>
    <row r="54" spans="1:9">
      <c r="A54" s="255"/>
      <c r="D54" s="253"/>
    </row>
    <row r="55" spans="1:9">
      <c r="A55" s="255" t="s">
        <v>531</v>
      </c>
      <c r="B55" s="479" t="s">
        <v>735</v>
      </c>
      <c r="C55" s="482">
        <f>C32*C36*C43*C44</f>
        <v>1655.1340388183635</v>
      </c>
      <c r="D55" s="253"/>
    </row>
    <row r="56" spans="1:9">
      <c r="A56" s="255"/>
      <c r="B56" s="479" t="s">
        <v>693</v>
      </c>
      <c r="C56" s="483">
        <f>C48^2</f>
        <v>332.28171200000003</v>
      </c>
      <c r="D56" s="253"/>
    </row>
    <row r="57" spans="1:9">
      <c r="A57" s="255"/>
      <c r="B57" s="484" t="s">
        <v>532</v>
      </c>
      <c r="C57" s="483">
        <f>C50</f>
        <v>14.541333333333331</v>
      </c>
      <c r="D57" s="253"/>
    </row>
    <row r="58" spans="1:9">
      <c r="A58" s="255"/>
      <c r="B58" s="484" t="s">
        <v>533</v>
      </c>
      <c r="C58" s="483">
        <f>(C52+C55)*LOOKUP(ROUND(1000*C18,0),Noise!$B$3:$O$3,Noise!$B$13:$O$13)</f>
        <v>0.94225361416828601</v>
      </c>
      <c r="D58" s="253"/>
    </row>
    <row r="59" spans="1:9">
      <c r="A59" s="255"/>
      <c r="B59" s="484" t="s">
        <v>545</v>
      </c>
      <c r="C59" s="483">
        <f>(C52+C55)*LOOKUP(ROUND(1000*C18,0),Noise!$B$3:$O$3,Noise!$B$14:$O$14)</f>
        <v>1.8845072283365724E-2</v>
      </c>
      <c r="D59" s="253"/>
    </row>
    <row r="60" spans="1:9">
      <c r="A60" s="255"/>
      <c r="B60" s="484" t="s">
        <v>546</v>
      </c>
      <c r="C60" s="483">
        <f>(C52+C55)*LOOKUP(ROUND(1000*C18,0),Noise!$B$3:$O$3,Noise!$B$15:$O$15)</f>
        <v>9.4225361416828601</v>
      </c>
      <c r="D60" s="253"/>
    </row>
    <row r="61" spans="1:9">
      <c r="A61" s="255"/>
      <c r="B61" s="484" t="s">
        <v>547</v>
      </c>
      <c r="C61" s="483">
        <f>(C52+C55)*LOOKUP(ROUND(1000*C18,0),Noise!$B$3:$O$3,Noise!$B$16:$O$16)</f>
        <v>18.84507228336572</v>
      </c>
      <c r="D61" s="253"/>
    </row>
    <row r="62" spans="1:9">
      <c r="A62" s="255"/>
      <c r="B62" s="484" t="s">
        <v>544</v>
      </c>
      <c r="C62" s="483">
        <f>C52</f>
        <v>229.37318951820868</v>
      </c>
      <c r="D62" s="253"/>
    </row>
    <row r="63" spans="1:9">
      <c r="A63" s="255"/>
      <c r="B63" s="484" t="s">
        <v>548</v>
      </c>
      <c r="C63" s="483">
        <f>C53</f>
        <v>304.05283261716033</v>
      </c>
      <c r="D63" s="253"/>
    </row>
    <row r="64" spans="1:9">
      <c r="A64" s="255"/>
      <c r="B64" s="485" t="s">
        <v>549</v>
      </c>
      <c r="C64" s="486">
        <f>SUM(C55:C62)</f>
        <v>2260.5589807814058</v>
      </c>
      <c r="D64" s="253"/>
    </row>
    <row r="65" spans="1:6">
      <c r="A65" s="255"/>
      <c r="B65" s="479" t="s">
        <v>550</v>
      </c>
      <c r="C65" s="487">
        <f>SQRT(C64)</f>
        <v>47.545336057087724</v>
      </c>
      <c r="D65" s="253"/>
    </row>
    <row r="66" spans="1:6">
      <c r="A66" s="255"/>
      <c r="B66" s="488" t="s">
        <v>551</v>
      </c>
      <c r="C66" s="489">
        <f>C52/C65</f>
        <v>4.8243047276561493</v>
      </c>
      <c r="D66" s="253" t="s">
        <v>555</v>
      </c>
    </row>
    <row r="67" spans="1:6">
      <c r="A67" s="255"/>
      <c r="B67" s="484" t="s">
        <v>552</v>
      </c>
      <c r="C67" s="487">
        <f>SUM(C55:C61)+C63</f>
        <v>2335.2386238803574</v>
      </c>
      <c r="D67" s="253"/>
    </row>
    <row r="68" spans="1:6">
      <c r="A68" s="255"/>
      <c r="B68" s="479" t="s">
        <v>553</v>
      </c>
      <c r="C68" s="487">
        <f>SQRT(C67)</f>
        <v>48.324306760473632</v>
      </c>
      <c r="D68" s="253"/>
    </row>
    <row r="69" spans="1:6">
      <c r="A69" s="255"/>
      <c r="B69" s="488" t="s">
        <v>554</v>
      </c>
      <c r="C69" s="489">
        <f>C53/C68</f>
        <v>6.2919233197538018</v>
      </c>
      <c r="D69" s="253" t="s">
        <v>556</v>
      </c>
    </row>
    <row r="70" spans="1:6" ht="15" thickBot="1">
      <c r="A70" s="255"/>
      <c r="B70" s="253"/>
      <c r="C70" s="303"/>
      <c r="D70" s="253"/>
    </row>
    <row r="71" spans="1:6" ht="15" thickBot="1">
      <c r="A71" s="255" t="s">
        <v>534</v>
      </c>
      <c r="B71" s="490" t="s">
        <v>535</v>
      </c>
      <c r="C71" s="517">
        <f>SQRT(C69^2+C66^2)</f>
        <v>7.9285695536425216</v>
      </c>
      <c r="D71" s="253" t="s">
        <v>557</v>
      </c>
    </row>
    <row r="72" spans="1:6">
      <c r="A72" s="255"/>
      <c r="B72" s="299"/>
      <c r="C72" s="306"/>
      <c r="D72" s="253"/>
    </row>
    <row r="73" spans="1:6">
      <c r="A73" s="255"/>
      <c r="B73" s="523" t="s">
        <v>753</v>
      </c>
      <c r="C73" s="523"/>
      <c r="D73" s="523"/>
      <c r="E73" s="523"/>
      <c r="F73" s="523"/>
    </row>
    <row r="74" spans="1:6">
      <c r="A74" s="255"/>
      <c r="B74" s="253"/>
      <c r="C74" s="303"/>
      <c r="D74" s="253"/>
    </row>
    <row r="75" spans="1:6">
      <c r="A75" s="255"/>
      <c r="B75" s="253"/>
      <c r="C75" s="303"/>
      <c r="D75" s="253"/>
    </row>
    <row r="76" spans="1:6">
      <c r="A76" s="255"/>
      <c r="B76" s="253"/>
      <c r="C76" s="303"/>
      <c r="D76" s="253"/>
    </row>
    <row r="77" spans="1:6">
      <c r="A77" s="255"/>
      <c r="B77" s="253"/>
      <c r="C77" s="303"/>
      <c r="D77" s="253"/>
    </row>
    <row r="78" spans="1:6">
      <c r="A78" s="255"/>
      <c r="B78" s="253"/>
      <c r="C78" s="303"/>
      <c r="D78" s="253"/>
    </row>
    <row r="79" spans="1:6">
      <c r="A79" s="255"/>
      <c r="B79" s="253"/>
      <c r="C79" s="303"/>
      <c r="D79" s="253"/>
    </row>
    <row r="80" spans="1:6">
      <c r="A80" s="253"/>
      <c r="B80" s="253"/>
      <c r="C80" s="303"/>
      <c r="D80" s="253"/>
    </row>
    <row r="81" spans="1:4">
      <c r="A81" s="253"/>
      <c r="B81" s="253"/>
      <c r="C81" s="303"/>
      <c r="D81" s="253"/>
    </row>
    <row r="103" spans="1:9">
      <c r="A103" s="471" t="s">
        <v>725</v>
      </c>
      <c r="H103" s="144" t="s">
        <v>806</v>
      </c>
      <c r="I103" s="144" t="s">
        <v>807</v>
      </c>
    </row>
    <row r="104" spans="1:9">
      <c r="A104" s="94" t="s">
        <v>585</v>
      </c>
      <c r="B104" s="468" t="s">
        <v>535</v>
      </c>
      <c r="C104" s="469">
        <v>7.628214106912476</v>
      </c>
      <c r="D104" s="497">
        <v>42234</v>
      </c>
      <c r="E104" s="144">
        <v>7</v>
      </c>
      <c r="G104" s="1"/>
      <c r="H104" s="1">
        <v>7.628214106912476</v>
      </c>
      <c r="I104" s="1">
        <v>7.1453518554146003</v>
      </c>
    </row>
    <row r="105" spans="1:9">
      <c r="A105" s="94" t="s">
        <v>586</v>
      </c>
      <c r="B105" s="468" t="s">
        <v>535</v>
      </c>
      <c r="C105" s="469">
        <v>7.628214106912476</v>
      </c>
      <c r="D105" s="497">
        <v>42398</v>
      </c>
      <c r="G105" s="1"/>
      <c r="H105" s="1">
        <v>7.628214106912476</v>
      </c>
      <c r="I105" s="1">
        <v>7.1453518554146003</v>
      </c>
    </row>
    <row r="106" spans="1:9">
      <c r="A106" s="94" t="s">
        <v>591</v>
      </c>
      <c r="B106" s="468" t="s">
        <v>535</v>
      </c>
      <c r="C106" s="469">
        <v>7.5714341182554445</v>
      </c>
      <c r="D106" s="497">
        <v>42476</v>
      </c>
      <c r="G106" s="1"/>
      <c r="H106" s="1">
        <v>7.5714341182554445</v>
      </c>
      <c r="I106" s="1">
        <v>7.0874412592829685</v>
      </c>
    </row>
    <row r="107" spans="1:9">
      <c r="A107" s="94" t="s">
        <v>593</v>
      </c>
      <c r="B107" s="468" t="s">
        <v>535</v>
      </c>
      <c r="C107" s="469">
        <v>8.3549296116057139</v>
      </c>
      <c r="D107" s="497">
        <v>42762</v>
      </c>
      <c r="G107" s="1"/>
      <c r="H107" s="1">
        <v>8.3549296116057139</v>
      </c>
      <c r="I107" s="1">
        <v>7.8872809133277073</v>
      </c>
    </row>
    <row r="108" spans="1:9">
      <c r="A108" s="94" t="s">
        <v>625</v>
      </c>
      <c r="B108" s="468" t="s">
        <v>535</v>
      </c>
      <c r="C108" s="469">
        <v>8.1088082788690468</v>
      </c>
      <c r="D108" s="497">
        <v>43067</v>
      </c>
      <c r="G108" s="1"/>
      <c r="H108" s="1">
        <v>8.1088082788690468</v>
      </c>
      <c r="I108" s="1">
        <v>7.6358775528736684</v>
      </c>
    </row>
    <row r="109" spans="1:9">
      <c r="A109" s="94" t="s">
        <v>646</v>
      </c>
      <c r="B109" s="468" t="s">
        <v>535</v>
      </c>
      <c r="C109" s="469">
        <v>8.1115405251130621</v>
      </c>
      <c r="D109" s="497">
        <v>43258</v>
      </c>
      <c r="G109" s="1"/>
      <c r="H109" s="1">
        <v>8.1115405251130621</v>
      </c>
      <c r="I109" s="1">
        <v>7.6386678245216579</v>
      </c>
    </row>
    <row r="110" spans="1:9">
      <c r="A110" s="94" t="s">
        <v>736</v>
      </c>
      <c r="B110" s="468" t="s">
        <v>535</v>
      </c>
      <c r="C110" s="469">
        <v>8.060897242131901</v>
      </c>
      <c r="D110" s="497">
        <v>43397</v>
      </c>
      <c r="E110" s="144">
        <v>7</v>
      </c>
      <c r="G110" s="1"/>
      <c r="H110" s="1">
        <v>8.060897242131901</v>
      </c>
      <c r="I110" s="1">
        <v>7.5479523458171771</v>
      </c>
    </row>
    <row r="111" spans="1:9" s="326" customFormat="1">
      <c r="A111" s="94" t="s">
        <v>798</v>
      </c>
      <c r="B111" s="468" t="s">
        <v>535</v>
      </c>
      <c r="C111" s="469">
        <v>8.0623811413511071</v>
      </c>
      <c r="D111" s="497">
        <v>43474</v>
      </c>
      <c r="E111" s="326">
        <v>7</v>
      </c>
      <c r="H111" s="505">
        <v>8.0623811413511071</v>
      </c>
      <c r="I111" s="1">
        <v>7.55</v>
      </c>
    </row>
    <row r="112" spans="1:9">
      <c r="A112" s="94" t="s">
        <v>849</v>
      </c>
      <c r="B112" s="468" t="s">
        <v>535</v>
      </c>
      <c r="C112" s="40">
        <v>7.9285695536425216</v>
      </c>
      <c r="D112" s="70">
        <v>43902</v>
      </c>
      <c r="E112" s="144">
        <v>7</v>
      </c>
      <c r="H112" s="1">
        <v>7.9285695536425216</v>
      </c>
      <c r="I112" s="1">
        <v>7.4127075804397879</v>
      </c>
    </row>
    <row r="113" spans="1:9" s="326" customFormat="1">
      <c r="A113" s="94" t="s">
        <v>873</v>
      </c>
      <c r="B113" s="468" t="s">
        <v>535</v>
      </c>
      <c r="C113" s="40">
        <v>7.9285695536425216</v>
      </c>
      <c r="D113" s="70">
        <v>43937</v>
      </c>
      <c r="H113" s="1">
        <v>7.93</v>
      </c>
      <c r="I113" s="1">
        <v>7.41</v>
      </c>
    </row>
    <row r="130" spans="1:1">
      <c r="A130" s="144" t="s">
        <v>752</v>
      </c>
    </row>
    <row r="131" spans="1:1">
      <c r="A131" s="326" t="s">
        <v>737</v>
      </c>
    </row>
    <row r="132" spans="1:1">
      <c r="A132" s="326" t="s">
        <v>738</v>
      </c>
    </row>
    <row r="133" spans="1:1">
      <c r="A133" s="326" t="s">
        <v>739</v>
      </c>
    </row>
    <row r="134" spans="1:1">
      <c r="A134" s="326"/>
    </row>
    <row r="135" spans="1:1">
      <c r="A135" s="326" t="s">
        <v>740</v>
      </c>
    </row>
    <row r="136" spans="1:1">
      <c r="A136" s="326" t="s">
        <v>741</v>
      </c>
    </row>
    <row r="137" spans="1:1">
      <c r="A137" s="326" t="s">
        <v>742</v>
      </c>
    </row>
    <row r="138" spans="1:1">
      <c r="A138" s="326" t="s">
        <v>743</v>
      </c>
    </row>
    <row r="139" spans="1:1">
      <c r="A139" s="326" t="s">
        <v>744</v>
      </c>
    </row>
    <row r="140" spans="1:1">
      <c r="A140" s="326" t="s">
        <v>745</v>
      </c>
    </row>
    <row r="141" spans="1:1">
      <c r="A141" s="326" t="s">
        <v>746</v>
      </c>
    </row>
    <row r="143" spans="1:1">
      <c r="A143" s="326" t="s">
        <v>747</v>
      </c>
    </row>
    <row r="144" spans="1:1">
      <c r="A144" s="326" t="s">
        <v>748</v>
      </c>
    </row>
    <row r="145" spans="1:1">
      <c r="A145" s="326" t="s">
        <v>749</v>
      </c>
    </row>
    <row r="146" spans="1:1">
      <c r="A146" s="326" t="s">
        <v>750</v>
      </c>
    </row>
    <row r="147" spans="1:1">
      <c r="A147" s="326" t="s">
        <v>751</v>
      </c>
    </row>
  </sheetData>
  <mergeCells count="1">
    <mergeCell ref="B73:F73"/>
  </mergeCells>
  <hyperlinks>
    <hyperlink ref="E5" r:id="rId1"/>
  </hyperlinks>
  <pageMargins left="0.7" right="0.7" top="0.75" bottom="0.75" header="0.3" footer="0.3"/>
  <pageSetup orientation="portrait" horizontalDpi="4294967292" verticalDpi="4294967292"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topLeftCell="A64" zoomScaleNormal="100" zoomScalePageLayoutView="120" workbookViewId="0">
      <selection activeCell="I84" sqref="I84"/>
    </sheetView>
  </sheetViews>
  <sheetFormatPr defaultColWidth="8.88671875" defaultRowHeight="14.4"/>
  <cols>
    <col min="1" max="2" width="36" style="378" customWidth="1"/>
    <col min="3" max="8" width="8.88671875" style="378"/>
    <col min="9" max="9" width="10.5546875" style="378" customWidth="1"/>
    <col min="10" max="10" width="10" style="378" customWidth="1"/>
    <col min="11" max="16384" width="8.88671875" style="378"/>
  </cols>
  <sheetData>
    <row r="1" spans="1:12">
      <c r="A1" s="378" t="s">
        <v>648</v>
      </c>
    </row>
    <row r="2" spans="1:12">
      <c r="A2" s="378" t="s">
        <v>649</v>
      </c>
    </row>
    <row r="3" spans="1:12">
      <c r="A3" s="379" t="s">
        <v>650</v>
      </c>
    </row>
    <row r="4" spans="1:12">
      <c r="A4" s="380" t="s">
        <v>578</v>
      </c>
      <c r="B4" s="380"/>
      <c r="C4" s="380"/>
      <c r="D4" s="380"/>
      <c r="E4" s="381"/>
      <c r="F4" s="380"/>
      <c r="G4" s="380"/>
      <c r="H4" s="380"/>
      <c r="I4" s="380"/>
      <c r="J4" s="380"/>
      <c r="K4" s="380"/>
      <c r="L4" s="380"/>
    </row>
    <row r="5" spans="1:12" ht="15.6">
      <c r="A5" s="380" t="s">
        <v>559</v>
      </c>
      <c r="B5" s="382"/>
      <c r="C5" s="380"/>
      <c r="D5" s="380"/>
      <c r="E5" s="383" t="s">
        <v>489</v>
      </c>
      <c r="F5" s="384"/>
      <c r="G5" s="385"/>
      <c r="H5" s="386"/>
      <c r="I5" s="386" t="s">
        <v>651</v>
      </c>
      <c r="J5" s="385"/>
      <c r="K5" s="385"/>
      <c r="L5" s="387"/>
    </row>
    <row r="6" spans="1:12">
      <c r="A6" s="380" t="s">
        <v>581</v>
      </c>
      <c r="B6" s="388"/>
      <c r="C6" s="380"/>
      <c r="D6" s="380"/>
      <c r="E6" s="389" t="s">
        <v>491</v>
      </c>
      <c r="F6" s="390"/>
      <c r="G6" s="381"/>
      <c r="H6" s="391"/>
      <c r="I6" s="381"/>
      <c r="J6" s="381"/>
      <c r="K6" s="381"/>
      <c r="L6" s="392"/>
    </row>
    <row r="7" spans="1:12">
      <c r="A7" s="380"/>
      <c r="B7" s="388"/>
      <c r="C7" s="393" t="s">
        <v>492</v>
      </c>
      <c r="D7" s="380"/>
      <c r="E7" s="394" t="s">
        <v>493</v>
      </c>
      <c r="F7" s="395" t="s">
        <v>494</v>
      </c>
      <c r="G7" s="395" t="s">
        <v>495</v>
      </c>
      <c r="H7" s="395" t="s">
        <v>496</v>
      </c>
      <c r="I7" s="395" t="s">
        <v>497</v>
      </c>
      <c r="J7" s="395" t="s">
        <v>498</v>
      </c>
      <c r="K7" s="395" t="s">
        <v>499</v>
      </c>
      <c r="L7" s="396" t="s">
        <v>500</v>
      </c>
    </row>
    <row r="8" spans="1:12">
      <c r="A8" s="380"/>
      <c r="B8" s="388"/>
      <c r="C8" s="397" t="s">
        <v>501</v>
      </c>
      <c r="D8" s="380"/>
      <c r="E8" s="398" t="s">
        <v>502</v>
      </c>
      <c r="F8" s="399">
        <v>22</v>
      </c>
      <c r="G8" s="400">
        <v>22.7</v>
      </c>
      <c r="H8" s="399">
        <v>21.8</v>
      </c>
      <c r="I8" s="400">
        <v>20.9</v>
      </c>
      <c r="J8" s="399">
        <v>19.899999999999999</v>
      </c>
      <c r="K8" s="401">
        <v>7.5953754809788696E-18</v>
      </c>
      <c r="L8" s="402">
        <v>9.1226985919112795E-18</v>
      </c>
    </row>
    <row r="9" spans="1:12">
      <c r="A9" s="380"/>
      <c r="B9" s="388"/>
      <c r="C9" s="403" t="s">
        <v>503</v>
      </c>
      <c r="D9" s="380"/>
      <c r="E9" s="404" t="s">
        <v>504</v>
      </c>
      <c r="F9" s="399">
        <v>21.5</v>
      </c>
      <c r="G9" s="400">
        <v>22.4</v>
      </c>
      <c r="H9" s="399">
        <v>21.7</v>
      </c>
      <c r="I9" s="400">
        <v>20.8</v>
      </c>
      <c r="J9" s="399">
        <v>19.899999999999999</v>
      </c>
      <c r="K9" s="401">
        <v>8.3281636064138897E-18</v>
      </c>
      <c r="L9" s="402">
        <v>9.1226985919112795E-18</v>
      </c>
    </row>
    <row r="10" spans="1:12">
      <c r="B10" s="388"/>
      <c r="C10" s="380"/>
      <c r="D10" s="380"/>
      <c r="E10" s="404" t="s">
        <v>505</v>
      </c>
      <c r="F10" s="400">
        <v>19.899999999999999</v>
      </c>
      <c r="G10" s="400">
        <v>21.6</v>
      </c>
      <c r="H10" s="399">
        <v>21.4</v>
      </c>
      <c r="I10" s="400">
        <v>20.6</v>
      </c>
      <c r="J10" s="399">
        <v>19.7</v>
      </c>
      <c r="K10" s="401">
        <v>1.00126549096665E-17</v>
      </c>
      <c r="L10" s="402">
        <v>1.0967896064789301E-17</v>
      </c>
    </row>
    <row r="11" spans="1:12">
      <c r="A11" s="380"/>
      <c r="B11" s="405"/>
      <c r="C11" s="380"/>
      <c r="D11" s="380"/>
      <c r="E11" s="404" t="s">
        <v>506</v>
      </c>
      <c r="F11" s="400">
        <v>18.5</v>
      </c>
      <c r="G11" s="400">
        <v>20.7</v>
      </c>
      <c r="H11" s="399">
        <v>20.7</v>
      </c>
      <c r="I11" s="400">
        <v>20.3</v>
      </c>
      <c r="J11" s="399">
        <v>19.5</v>
      </c>
      <c r="K11" s="401">
        <v>1.31992498055077E-17</v>
      </c>
      <c r="L11" s="402">
        <v>1.31863113612764E-17</v>
      </c>
    </row>
    <row r="12" spans="1:12">
      <c r="A12" s="380"/>
      <c r="B12" s="405" t="s">
        <v>3</v>
      </c>
      <c r="C12" s="380"/>
      <c r="D12" s="380"/>
      <c r="E12" s="406" t="s">
        <v>507</v>
      </c>
      <c r="F12" s="407">
        <v>17</v>
      </c>
      <c r="G12" s="407">
        <v>19.5</v>
      </c>
      <c r="H12" s="408">
        <v>20</v>
      </c>
      <c r="I12" s="407">
        <v>19.899999999999999</v>
      </c>
      <c r="J12" s="408">
        <v>19.2</v>
      </c>
      <c r="K12" s="409">
        <v>1.90787206128914E-17</v>
      </c>
      <c r="L12" s="410">
        <v>1.73829438087056E-17</v>
      </c>
    </row>
    <row r="13" spans="1:12">
      <c r="A13" s="380"/>
      <c r="B13" s="405"/>
      <c r="C13" s="380"/>
      <c r="D13" s="380"/>
      <c r="E13" s="411" t="s">
        <v>573</v>
      </c>
      <c r="F13" s="412"/>
      <c r="G13" s="412"/>
      <c r="H13" s="412"/>
      <c r="I13" s="412"/>
      <c r="J13" s="412"/>
      <c r="K13" s="412"/>
      <c r="L13" s="413"/>
    </row>
    <row r="14" spans="1:12">
      <c r="A14" s="380"/>
      <c r="B14" s="405"/>
      <c r="C14" s="380"/>
      <c r="D14" s="380"/>
    </row>
    <row r="15" spans="1:12">
      <c r="A15" s="414"/>
      <c r="B15" s="405"/>
      <c r="C15" s="380"/>
      <c r="D15" s="380"/>
    </row>
    <row r="16" spans="1:12">
      <c r="A16" s="414"/>
      <c r="B16" s="405"/>
      <c r="C16" s="380"/>
      <c r="D16" s="380"/>
      <c r="J16" s="415" t="s">
        <v>652</v>
      </c>
      <c r="K16" s="385"/>
      <c r="L16" s="387"/>
    </row>
    <row r="17" spans="1:13">
      <c r="A17" s="414" t="s">
        <v>653</v>
      </c>
      <c r="B17" s="416" t="s">
        <v>654</v>
      </c>
      <c r="C17" s="417">
        <v>3600</v>
      </c>
      <c r="D17" s="417">
        <v>3800</v>
      </c>
      <c r="E17" s="417">
        <v>4000</v>
      </c>
      <c r="F17" s="417">
        <v>4500</v>
      </c>
      <c r="G17" s="417">
        <v>5000</v>
      </c>
      <c r="H17" s="417">
        <v>5500</v>
      </c>
      <c r="I17" s="380"/>
      <c r="J17" s="418">
        <v>4830</v>
      </c>
      <c r="K17" s="381" t="s">
        <v>655</v>
      </c>
      <c r="L17" s="392"/>
    </row>
    <row r="18" spans="1:13">
      <c r="A18" s="414"/>
      <c r="B18" s="419" t="s">
        <v>656</v>
      </c>
      <c r="C18" s="420">
        <v>23</v>
      </c>
      <c r="D18" s="380" t="s">
        <v>657</v>
      </c>
      <c r="E18" s="380"/>
      <c r="F18" s="380"/>
      <c r="G18" s="380"/>
      <c r="H18" s="380"/>
      <c r="I18" s="380"/>
      <c r="J18" s="418">
        <v>0</v>
      </c>
      <c r="K18" s="381" t="s">
        <v>658</v>
      </c>
      <c r="L18" s="392"/>
    </row>
    <row r="19" spans="1:13">
      <c r="A19" s="414"/>
      <c r="B19" s="421" t="s">
        <v>659</v>
      </c>
      <c r="C19" s="422">
        <f>(3.631E-20)*POWER(10,-0.4*$C$18)</f>
        <v>2.2910061178075714E-29</v>
      </c>
      <c r="D19" s="380"/>
      <c r="E19" s="380"/>
      <c r="F19" s="380"/>
      <c r="G19" s="380"/>
      <c r="H19" s="380"/>
      <c r="I19" s="380"/>
      <c r="J19" s="423">
        <f>(3.631E-20)*POWER(10,-0.4*$J$18)</f>
        <v>3.631E-20</v>
      </c>
      <c r="K19" s="381" t="s">
        <v>660</v>
      </c>
      <c r="L19" s="392"/>
      <c r="M19" s="424"/>
    </row>
    <row r="20" spans="1:13">
      <c r="A20" s="414"/>
      <c r="B20" s="421" t="s">
        <v>661</v>
      </c>
      <c r="C20" s="425">
        <v>3.0900000000000001E-18</v>
      </c>
      <c r="D20" s="425">
        <v>3.0499999999999999E-18</v>
      </c>
      <c r="E20" s="425">
        <v>2.6600000000000001E-18</v>
      </c>
      <c r="F20" s="425">
        <v>2.38E-18</v>
      </c>
      <c r="G20" s="425">
        <v>2.5000000000000002E-18</v>
      </c>
      <c r="H20" s="425">
        <v>2.8800000000000001E-18</v>
      </c>
      <c r="I20" s="380"/>
      <c r="J20" s="426">
        <f>$J$19*(3000000000000000000/POWER(J17,2))</f>
        <v>4.6693157414194413E-9</v>
      </c>
      <c r="K20" s="381" t="s">
        <v>662</v>
      </c>
      <c r="L20" s="392"/>
    </row>
    <row r="21" spans="1:13">
      <c r="A21" s="414"/>
      <c r="B21" s="421" t="s">
        <v>663</v>
      </c>
      <c r="C21" s="425">
        <f t="shared" ref="C21:H21" si="0">C20/(6.626E-27*3000000000000000000/C17)</f>
        <v>5.596136432236645E-7</v>
      </c>
      <c r="D21" s="425">
        <f t="shared" si="0"/>
        <v>5.8305664553778052E-7</v>
      </c>
      <c r="E21" s="425">
        <f t="shared" si="0"/>
        <v>5.3526511721501166E-7</v>
      </c>
      <c r="F21" s="425">
        <f t="shared" si="0"/>
        <v>5.3878659824932088E-7</v>
      </c>
      <c r="G21" s="425">
        <f t="shared" si="0"/>
        <v>6.2883589898380135E-7</v>
      </c>
      <c r="H21" s="425">
        <f t="shared" si="0"/>
        <v>7.96860851192273E-7</v>
      </c>
      <c r="I21" s="380"/>
      <c r="J21" s="427">
        <f>J20/(6.626E-27*3000000000000000000/J17)</f>
        <v>1134.5605710361156</v>
      </c>
      <c r="K21" s="428" t="s">
        <v>664</v>
      </c>
      <c r="L21" s="429"/>
    </row>
    <row r="22" spans="1:13">
      <c r="A22" s="414"/>
      <c r="B22" s="421"/>
      <c r="C22" s="430"/>
      <c r="D22" s="380" t="s">
        <v>3</v>
      </c>
      <c r="E22" s="380"/>
      <c r="F22" s="380"/>
      <c r="G22" s="380"/>
      <c r="H22" s="380"/>
      <c r="I22" s="380"/>
      <c r="J22" s="380"/>
      <c r="K22" s="380"/>
      <c r="L22" s="380"/>
    </row>
    <row r="23" spans="1:13">
      <c r="A23" s="414" t="s">
        <v>3</v>
      </c>
      <c r="B23" s="405" t="s">
        <v>3</v>
      </c>
      <c r="C23" s="430"/>
      <c r="D23" s="414"/>
      <c r="E23" s="380"/>
      <c r="F23" s="380"/>
      <c r="G23" s="380"/>
      <c r="H23" s="380"/>
      <c r="I23" s="380"/>
      <c r="J23" s="380"/>
      <c r="K23" s="380"/>
      <c r="L23" s="380"/>
    </row>
    <row r="24" spans="1:13">
      <c r="A24" s="414" t="s">
        <v>512</v>
      </c>
      <c r="B24" s="431" t="s">
        <v>513</v>
      </c>
      <c r="C24" s="432">
        <f>LOOKUP(ROUND(C17/10,0),Noise!$B$3:$O$3,Noise!$B$5:$O$5)</f>
        <v>1.6878652792768273E-17</v>
      </c>
      <c r="D24" s="432">
        <f>LOOKUP(ROUND(D17/10,0),Noise!$B$3:$O$3,Noise!$B$5:$O$5)</f>
        <v>1.4991725567814442E-17</v>
      </c>
      <c r="E24" s="432">
        <f>LOOKUP(ROUND(E17/10,0),Noise!$B$3:$O$3,Noise!$B$5:$O$5)</f>
        <v>1.2191435274568626E-17</v>
      </c>
      <c r="F24" s="432">
        <f>LOOKUP(ROUND(F17/10,0),Noise!$B$3:$O$3,Noise!$B$5:$O$5)</f>
        <v>1.5864102948663831E-17</v>
      </c>
      <c r="G24" s="432">
        <f>LOOKUP(ROUND(G17/10,0),Noise!$B$3:$O$3,Noise!$B$5:$O$5)</f>
        <v>1.0341641572401729E-17</v>
      </c>
      <c r="H24" s="432">
        <f>LOOKUP(ROUND(H17/10,0),Noise!$B$3:$O$3,Noise!$B$5:$O$5)</f>
        <v>1.020693024356993E-17</v>
      </c>
      <c r="J24" s="380" t="s">
        <v>514</v>
      </c>
      <c r="K24" s="380"/>
      <c r="L24" s="380"/>
    </row>
    <row r="25" spans="1:13">
      <c r="A25" s="414"/>
      <c r="B25" s="421" t="s">
        <v>515</v>
      </c>
      <c r="C25" s="433">
        <f>L8</f>
        <v>9.1226985919112795E-18</v>
      </c>
      <c r="D25" s="380" t="s">
        <v>516</v>
      </c>
      <c r="E25" s="380"/>
      <c r="F25" s="380"/>
      <c r="G25" s="380"/>
      <c r="H25" s="380"/>
      <c r="K25" s="380"/>
      <c r="L25" s="380"/>
    </row>
    <row r="26" spans="1:13">
      <c r="A26" s="414" t="s">
        <v>3</v>
      </c>
      <c r="B26" s="434" t="s">
        <v>665</v>
      </c>
      <c r="C26" s="432">
        <f t="shared" ref="C26:H26" si="1">C24/(6.626E-27*3000000000000000000/C17)</f>
        <v>3.0568040071418551E-6</v>
      </c>
      <c r="D26" s="432">
        <f t="shared" si="1"/>
        <v>2.8659099083255303E-6</v>
      </c>
      <c r="E26" s="432">
        <f t="shared" si="1"/>
        <v>2.4532518914515799E-6</v>
      </c>
      <c r="F26" s="432">
        <f t="shared" si="1"/>
        <v>3.5913302781460532E-6</v>
      </c>
      <c r="G26" s="432">
        <f t="shared" si="1"/>
        <v>2.6012781900597974E-6</v>
      </c>
      <c r="H26" s="432">
        <f t="shared" si="1"/>
        <v>2.8241330284553087E-6</v>
      </c>
    </row>
    <row r="27" spans="1:13">
      <c r="A27" s="414"/>
      <c r="B27" s="421"/>
      <c r="C27" s="433"/>
      <c r="D27" s="380"/>
      <c r="E27" s="380"/>
      <c r="F27" s="380"/>
      <c r="G27" s="380"/>
      <c r="H27" s="380"/>
    </row>
    <row r="28" spans="1:13">
      <c r="A28" s="414" t="s">
        <v>566</v>
      </c>
      <c r="B28" s="416" t="s">
        <v>574</v>
      </c>
      <c r="C28" s="435">
        <v>0.01</v>
      </c>
      <c r="D28" s="380" t="s">
        <v>567</v>
      </c>
      <c r="E28" s="380"/>
      <c r="F28" s="380"/>
      <c r="G28" s="380"/>
      <c r="H28" s="380"/>
    </row>
    <row r="29" spans="1:13">
      <c r="A29" s="414"/>
      <c r="B29" s="434" t="s">
        <v>666</v>
      </c>
      <c r="C29" s="436">
        <f t="shared" ref="C29:H29" si="2">C26*$C$28</f>
        <v>3.0568040071418548E-8</v>
      </c>
      <c r="D29" s="436">
        <f t="shared" si="2"/>
        <v>2.8659099083255302E-8</v>
      </c>
      <c r="E29" s="436">
        <f t="shared" si="2"/>
        <v>2.4532518914515798E-8</v>
      </c>
      <c r="F29" s="436">
        <f t="shared" si="2"/>
        <v>3.5913302781460536E-8</v>
      </c>
      <c r="G29" s="436">
        <f t="shared" si="2"/>
        <v>2.6012781900597973E-8</v>
      </c>
      <c r="H29" s="436">
        <f t="shared" si="2"/>
        <v>2.8241330284553089E-8</v>
      </c>
    </row>
    <row r="30" spans="1:13">
      <c r="A30" s="414"/>
      <c r="B30" s="421"/>
      <c r="C30" s="421"/>
      <c r="D30" s="380"/>
      <c r="E30" s="380"/>
      <c r="F30" s="380"/>
      <c r="G30" s="380"/>
      <c r="H30" s="380"/>
    </row>
    <row r="31" spans="1:13">
      <c r="A31" s="414" t="s">
        <v>518</v>
      </c>
      <c r="B31" s="434" t="s">
        <v>666</v>
      </c>
      <c r="C31" s="436">
        <f t="shared" ref="C31:H31" si="3">C29+C26</f>
        <v>3.0873720472132738E-6</v>
      </c>
      <c r="D31" s="436">
        <f t="shared" si="3"/>
        <v>2.8945690074087858E-6</v>
      </c>
      <c r="E31" s="436">
        <f t="shared" si="3"/>
        <v>2.4777844103660959E-6</v>
      </c>
      <c r="F31" s="436">
        <f t="shared" si="3"/>
        <v>3.6272435809275137E-6</v>
      </c>
      <c r="G31" s="436">
        <f t="shared" si="3"/>
        <v>2.6272909719603954E-6</v>
      </c>
      <c r="H31" s="436">
        <f t="shared" si="3"/>
        <v>2.8523743587398616E-6</v>
      </c>
    </row>
    <row r="32" spans="1:13">
      <c r="A32" s="414"/>
      <c r="B32" s="421" t="s">
        <v>667</v>
      </c>
      <c r="C32" s="430">
        <f>Throughput!$T$10</f>
        <v>1.8070980465942865</v>
      </c>
      <c r="D32" s="380" t="s">
        <v>668</v>
      </c>
      <c r="F32" s="437"/>
      <c r="H32" s="380"/>
    </row>
    <row r="33" spans="1:10">
      <c r="A33" s="414"/>
      <c r="B33" s="421"/>
      <c r="C33" s="430"/>
      <c r="D33" s="380"/>
      <c r="H33" s="380"/>
    </row>
    <row r="34" spans="1:10">
      <c r="A34" s="414" t="s">
        <v>669</v>
      </c>
      <c r="B34" s="421" t="s">
        <v>670</v>
      </c>
      <c r="C34" s="438">
        <v>0.6</v>
      </c>
      <c r="D34" s="380"/>
      <c r="H34" s="380"/>
    </row>
    <row r="35" spans="1:10">
      <c r="A35" s="414"/>
      <c r="B35" s="421" t="s">
        <v>671</v>
      </c>
      <c r="C35" s="439">
        <v>1.69</v>
      </c>
      <c r="D35" s="380"/>
      <c r="H35" s="380"/>
    </row>
    <row r="36" spans="1:10">
      <c r="A36" s="414"/>
      <c r="B36" s="416" t="s">
        <v>672</v>
      </c>
      <c r="C36" s="440">
        <v>3.65</v>
      </c>
      <c r="D36" s="441" t="s">
        <v>673</v>
      </c>
      <c r="H36" s="380"/>
    </row>
    <row r="37" spans="1:10">
      <c r="A37" s="414"/>
      <c r="B37" s="421" t="s">
        <v>674</v>
      </c>
      <c r="C37" s="433">
        <f>(PI()/4)*(Throughput!$T$4^2)*10000</f>
        <v>113232.49469917164</v>
      </c>
      <c r="D37" s="380" t="s">
        <v>675</v>
      </c>
      <c r="H37" s="442"/>
    </row>
    <row r="38" spans="1:10">
      <c r="A38" s="414" t="s">
        <v>3</v>
      </c>
      <c r="B38" s="421" t="s">
        <v>676</v>
      </c>
      <c r="C38" s="439">
        <v>0.51400000000000001</v>
      </c>
      <c r="D38" s="439">
        <v>0.52200000000000002</v>
      </c>
      <c r="E38" s="439">
        <v>0.53</v>
      </c>
      <c r="F38" s="439">
        <v>0.54400000000000004</v>
      </c>
      <c r="G38" s="439">
        <v>0.55800000000000005</v>
      </c>
      <c r="H38" s="439">
        <v>0.56999999999999995</v>
      </c>
      <c r="J38" s="378" t="s">
        <v>677</v>
      </c>
    </row>
    <row r="39" spans="1:10">
      <c r="A39" s="414" t="s">
        <v>520</v>
      </c>
      <c r="B39" s="443" t="s">
        <v>678</v>
      </c>
      <c r="C39" s="444">
        <f t="shared" ref="C39:H39" si="4">C40*C38</f>
        <v>3.2442263229374629E-2</v>
      </c>
      <c r="D39" s="444">
        <f t="shared" si="4"/>
        <v>5.3103877045150683E-2</v>
      </c>
      <c r="E39" s="444">
        <f t="shared" si="4"/>
        <v>8.1458499623795311E-2</v>
      </c>
      <c r="F39" s="444">
        <f t="shared" si="4"/>
        <v>0.11494831363875126</v>
      </c>
      <c r="G39" s="444">
        <f t="shared" si="4"/>
        <v>0.12746490547517239</v>
      </c>
      <c r="H39" s="444">
        <f t="shared" si="4"/>
        <v>0.12892944640331191</v>
      </c>
    </row>
    <row r="40" spans="1:10">
      <c r="A40" s="414"/>
      <c r="B40" s="443" t="s">
        <v>679</v>
      </c>
      <c r="C40" s="444">
        <f>LOOKUP(ROUND(C17/10,0),'ESTIMATED overall throughput'!$B$5:$O$5,'ESTIMATED overall throughput'!$B$15:$O$15)</f>
        <v>6.3117243636915621E-2</v>
      </c>
      <c r="D40" s="444">
        <f>LOOKUP(ROUND(D17/10,0),'ESTIMATED overall throughput'!$B$5:$O$5,'ESTIMATED overall throughput'!$B$15:$O$15)</f>
        <v>0.10173156522059518</v>
      </c>
      <c r="E40" s="444">
        <f>LOOKUP(ROUND(E17/10,0),'ESTIMATED overall throughput'!$B$5:$O$5,'ESTIMATED overall throughput'!$B$15:$O$15)</f>
        <v>0.15369528230904775</v>
      </c>
      <c r="F40" s="444">
        <f>LOOKUP(ROUND(F17/10,0),'ESTIMATED overall throughput'!$B$5:$O$5,'ESTIMATED overall throughput'!$B$15:$O$15)</f>
        <v>0.21130204713005743</v>
      </c>
      <c r="G40" s="444">
        <f>LOOKUP(ROUND(G17/10,0),'ESTIMATED overall throughput'!$B$5:$O$5,'ESTIMATED overall throughput'!$B$15:$O$15)</f>
        <v>0.22843173024224439</v>
      </c>
      <c r="H40" s="444">
        <f>LOOKUP(ROUND(H17/10,0),'ESTIMATED overall throughput'!$B$5:$O$5,'ESTIMATED overall throughput'!$B$15:$O$15)</f>
        <v>0.22619201123388058</v>
      </c>
    </row>
    <row r="41" spans="1:10">
      <c r="A41" s="414"/>
      <c r="B41" s="421"/>
      <c r="C41" s="445"/>
      <c r="D41" s="380"/>
      <c r="E41" s="380"/>
      <c r="F41" s="446"/>
      <c r="G41" s="446"/>
      <c r="H41" s="380"/>
    </row>
    <row r="42" spans="1:10">
      <c r="A42" s="414" t="s">
        <v>536</v>
      </c>
      <c r="B42" s="421" t="s">
        <v>523</v>
      </c>
      <c r="C42" s="430">
        <v>0.84499999999999997</v>
      </c>
      <c r="D42" s="380" t="s">
        <v>577</v>
      </c>
      <c r="E42" s="380"/>
      <c r="F42" s="380"/>
      <c r="G42" s="380"/>
      <c r="H42" s="380"/>
    </row>
    <row r="43" spans="1:10">
      <c r="A43" s="414"/>
      <c r="B43" s="447" t="s">
        <v>680</v>
      </c>
      <c r="C43" s="439">
        <v>1.60571839279783</v>
      </c>
      <c r="D43" s="380" t="s">
        <v>524</v>
      </c>
      <c r="E43" s="380"/>
      <c r="F43" s="380"/>
      <c r="G43" s="380"/>
      <c r="H43" s="380"/>
    </row>
    <row r="44" spans="1:10">
      <c r="A44" s="414"/>
      <c r="B44" s="380"/>
      <c r="C44" s="442"/>
      <c r="E44" s="380"/>
      <c r="F44" s="380"/>
      <c r="G44" s="380"/>
      <c r="H44" s="380"/>
    </row>
    <row r="45" spans="1:10">
      <c r="A45" s="414" t="s">
        <v>525</v>
      </c>
      <c r="B45" s="419" t="s">
        <v>681</v>
      </c>
      <c r="C45" s="448">
        <v>1200</v>
      </c>
      <c r="D45" s="380" t="s">
        <v>682</v>
      </c>
      <c r="E45" s="380"/>
      <c r="F45" s="380"/>
      <c r="G45" s="380"/>
      <c r="H45" s="380"/>
    </row>
    <row r="46" spans="1:10">
      <c r="A46" s="414"/>
      <c r="B46" s="419" t="s">
        <v>683</v>
      </c>
      <c r="C46" s="448">
        <v>4</v>
      </c>
      <c r="D46" s="380" t="s">
        <v>684</v>
      </c>
      <c r="E46" s="380"/>
      <c r="F46" s="380"/>
      <c r="G46" s="380"/>
      <c r="H46" s="380"/>
    </row>
    <row r="47" spans="1:10">
      <c r="A47" s="414"/>
      <c r="B47" s="431" t="s">
        <v>685</v>
      </c>
      <c r="C47" s="449">
        <f>C45*C46</f>
        <v>4800</v>
      </c>
      <c r="D47" s="380"/>
      <c r="E47" s="380"/>
      <c r="F47" s="380"/>
      <c r="G47" s="380"/>
      <c r="H47" s="380"/>
    </row>
    <row r="48" spans="1:10">
      <c r="A48" s="414"/>
      <c r="B48" s="421"/>
      <c r="C48" s="450"/>
      <c r="D48" s="380"/>
      <c r="E48" s="380"/>
      <c r="F48" s="380"/>
      <c r="G48" s="380"/>
      <c r="H48" s="380"/>
    </row>
    <row r="49" spans="1:10">
      <c r="A49" s="414" t="s">
        <v>528</v>
      </c>
      <c r="B49" s="419" t="s">
        <v>686</v>
      </c>
      <c r="C49" s="451">
        <v>1</v>
      </c>
      <c r="D49" s="378" t="s">
        <v>568</v>
      </c>
    </row>
    <row r="50" spans="1:10">
      <c r="A50" s="414" t="s">
        <v>3</v>
      </c>
      <c r="B50" s="419" t="s">
        <v>687</v>
      </c>
      <c r="C50" s="451">
        <f>Noise!D11</f>
        <v>3.29</v>
      </c>
      <c r="D50" s="380" t="s">
        <v>529</v>
      </c>
    </row>
    <row r="51" spans="1:10">
      <c r="A51" s="414"/>
      <c r="B51" s="434" t="s">
        <v>688</v>
      </c>
      <c r="C51" s="444">
        <f>SQRT(C36*C49/C34)*C50</f>
        <v>8.1145923085102272</v>
      </c>
      <c r="D51" s="380"/>
    </row>
    <row r="52" spans="1:10">
      <c r="A52" s="414"/>
      <c r="B52" s="431" t="s">
        <v>537</v>
      </c>
      <c r="C52" s="452">
        <f>LOOKUP(ROUND(C17/10,0),Noise!$B$3:$O$3,Noise!$B$12:$O$12)</f>
        <v>1.89</v>
      </c>
      <c r="D52" s="452">
        <f>LOOKUP(ROUND(D17/10,0),Noise!$B$3:$O$3,Noise!$B$12:$O$12)</f>
        <v>1.89</v>
      </c>
      <c r="E52" s="452">
        <f>LOOKUP(ROUND(E17/10,0),Noise!$B$3:$O$3,Noise!$B$12:$O$12)</f>
        <v>1.89</v>
      </c>
      <c r="F52" s="452">
        <f>LOOKUP(ROUND(F17/10,0),Noise!$B$3:$O$3,Noise!$B$12:$O$12)</f>
        <v>1.89</v>
      </c>
      <c r="G52" s="452">
        <f>LOOKUP(ROUND(G17/10,0),Noise!$B$3:$O$3,Noise!$B$12:$O$12)</f>
        <v>1.89</v>
      </c>
      <c r="H52" s="452">
        <f>LOOKUP(ROUND(H17/10,0),Noise!$B$3:$O$3,Noise!$B$12:$O$12)</f>
        <v>1.89</v>
      </c>
      <c r="J52" s="380" t="s">
        <v>529</v>
      </c>
    </row>
    <row r="53" spans="1:10">
      <c r="A53" s="414"/>
      <c r="B53" s="434" t="s">
        <v>689</v>
      </c>
      <c r="C53" s="444">
        <f>(C36/C34)*C45*C52/3600</f>
        <v>3.8325</v>
      </c>
    </row>
    <row r="54" spans="1:10">
      <c r="A54" s="414"/>
      <c r="B54" s="421"/>
      <c r="C54" s="450"/>
    </row>
    <row r="55" spans="1:10">
      <c r="A55" s="414" t="s">
        <v>690</v>
      </c>
      <c r="B55" s="434" t="s">
        <v>691</v>
      </c>
      <c r="C55" s="453">
        <f t="shared" ref="C55:H55" si="5">C21*$C$47*$C$37*C39</f>
        <v>9.8676048710260797</v>
      </c>
      <c r="D55" s="453">
        <f t="shared" si="5"/>
        <v>16.828650546834279</v>
      </c>
      <c r="E55" s="453">
        <f t="shared" si="5"/>
        <v>23.698325556227054</v>
      </c>
      <c r="F55" s="453">
        <f t="shared" si="5"/>
        <v>33.66136335919807</v>
      </c>
      <c r="G55" s="453">
        <f t="shared" si="5"/>
        <v>43.565255760784417</v>
      </c>
      <c r="H55" s="453">
        <f t="shared" si="5"/>
        <v>55.840194445120112</v>
      </c>
    </row>
    <row r="56" spans="1:10">
      <c r="A56" s="414"/>
      <c r="D56" s="380"/>
    </row>
    <row r="57" spans="1:10">
      <c r="A57" s="414" t="s">
        <v>531</v>
      </c>
      <c r="B57" s="434" t="s">
        <v>692</v>
      </c>
      <c r="C57" s="453">
        <f t="shared" ref="C57:H57" si="6">C31*$C$32*$C$47*$C$37*C40</f>
        <v>191.39519122349023</v>
      </c>
      <c r="D57" s="453">
        <f t="shared" si="6"/>
        <v>289.2235575057062</v>
      </c>
      <c r="E57" s="453">
        <f t="shared" si="6"/>
        <v>374.0400295213405</v>
      </c>
      <c r="F57" s="453">
        <f t="shared" si="6"/>
        <v>752.79106349920085</v>
      </c>
      <c r="G57" s="453">
        <f t="shared" si="6"/>
        <v>589.46582615071395</v>
      </c>
      <c r="H57" s="453">
        <f t="shared" si="6"/>
        <v>633.69140318465384</v>
      </c>
    </row>
    <row r="58" spans="1:10">
      <c r="A58" s="414"/>
      <c r="B58" s="434" t="s">
        <v>693</v>
      </c>
      <c r="C58" s="454">
        <f t="shared" ref="C58:H58" si="7">$C$51^2*$C$46*$C$49</f>
        <v>263.38643333333334</v>
      </c>
      <c r="D58" s="454">
        <f t="shared" si="7"/>
        <v>263.38643333333334</v>
      </c>
      <c r="E58" s="454">
        <f t="shared" si="7"/>
        <v>263.38643333333334</v>
      </c>
      <c r="F58" s="454">
        <f t="shared" si="7"/>
        <v>263.38643333333334</v>
      </c>
      <c r="G58" s="454">
        <f t="shared" si="7"/>
        <v>263.38643333333334</v>
      </c>
      <c r="H58" s="454">
        <f t="shared" si="7"/>
        <v>263.38643333333334</v>
      </c>
    </row>
    <row r="59" spans="1:10">
      <c r="A59" s="414"/>
      <c r="B59" s="455" t="s">
        <v>532</v>
      </c>
      <c r="C59" s="454">
        <f t="shared" ref="C59:H59" si="8">$C$53*$C$46</f>
        <v>15.33</v>
      </c>
      <c r="D59" s="454">
        <f t="shared" si="8"/>
        <v>15.33</v>
      </c>
      <c r="E59" s="454">
        <f t="shared" si="8"/>
        <v>15.33</v>
      </c>
      <c r="F59" s="454">
        <f t="shared" si="8"/>
        <v>15.33</v>
      </c>
      <c r="G59" s="454">
        <f t="shared" si="8"/>
        <v>15.33</v>
      </c>
      <c r="H59" s="454">
        <f t="shared" si="8"/>
        <v>15.33</v>
      </c>
    </row>
    <row r="60" spans="1:10">
      <c r="A60" s="414"/>
      <c r="B60" s="455" t="s">
        <v>533</v>
      </c>
      <c r="C60" s="454">
        <f>(C55+C57)*LOOKUP(ROUND(C17/10,0),Noise!$B$3:$O$3,Noise!$B$13:$O$13)</f>
        <v>0.10063139804725817</v>
      </c>
      <c r="D60" s="454">
        <f>(D55+D57)*LOOKUP(ROUND(D17/10,0),Noise!$B$3:$O$3,Noise!$B$13:$O$13)</f>
        <v>0.15302610402627026</v>
      </c>
      <c r="E60" s="454">
        <f>(E55+E57)*LOOKUP(ROUND(E17/10,0),Noise!$B$3:$O$3,Noise!$B$13:$O$13)</f>
        <v>0.1988691775387838</v>
      </c>
      <c r="F60" s="454">
        <f>(F55+F57)*LOOKUP(ROUND(F17/10,0),Noise!$B$3:$O$3,Noise!$B$13:$O$13)</f>
        <v>0.39322621342919944</v>
      </c>
      <c r="G60" s="454">
        <f>(G55+G57)*LOOKUP(ROUND(G17/10,0),Noise!$B$3:$O$3,Noise!$B$13:$O$13)</f>
        <v>0.31651554095574919</v>
      </c>
      <c r="H60" s="454">
        <f>(H55+H57)*LOOKUP(ROUND(H17/10,0),Noise!$B$3:$O$3,Noise!$B$13:$O$13)</f>
        <v>0.344765798814887</v>
      </c>
    </row>
    <row r="61" spans="1:10">
      <c r="A61" s="414"/>
      <c r="B61" s="455" t="s">
        <v>545</v>
      </c>
      <c r="C61" s="454">
        <f>(C55+C57)*LOOKUP(ROUND(C17/10,0),Noise!$B$3:$O$3,Noise!$B$14:$O$14)</f>
        <v>2.0126279609451632E-3</v>
      </c>
      <c r="D61" s="454">
        <f>(D55+D57)*LOOKUP(ROUND(D17/10,0),Noise!$B$3:$O$3,Noise!$B$14:$O$14)</f>
        <v>3.0605220805254053E-3</v>
      </c>
      <c r="E61" s="454">
        <f>(E55+E57)*LOOKUP(ROUND(E17/10,0),Noise!$B$3:$O$3,Noise!$B$14:$O$14)</f>
        <v>3.9773835507756761E-3</v>
      </c>
      <c r="F61" s="454">
        <f>(F55+F57)*LOOKUP(ROUND(F17/10,0),Noise!$B$3:$O$3,Noise!$B$14:$O$14)</f>
        <v>7.8645242685839896E-3</v>
      </c>
      <c r="G61" s="454">
        <f>(G55+G57)*LOOKUP(ROUND(G17/10,0),Noise!$B$3:$O$3,Noise!$B$14:$O$14)</f>
        <v>6.3303108191149846E-3</v>
      </c>
      <c r="H61" s="454">
        <f>(H55+H57)*LOOKUP(ROUND(H17/10,0),Noise!$B$3:$O$3,Noise!$B$14:$O$14)</f>
        <v>6.8953159762977405E-3</v>
      </c>
    </row>
    <row r="62" spans="1:10">
      <c r="A62" s="414"/>
      <c r="B62" s="455" t="s">
        <v>546</v>
      </c>
      <c r="C62" s="454">
        <f>(C55+C57)*LOOKUP(ROUND(C17/10,0),Noise!$B$3:$O$3,Noise!$B$15:$O$15)</f>
        <v>1.0063139804725816</v>
      </c>
      <c r="D62" s="454">
        <f>(D55+D57)*LOOKUP(ROUND(D17/10,0),Noise!$B$3:$O$3,Noise!$B$15:$O$15)</f>
        <v>1.5302610402627026</v>
      </c>
      <c r="E62" s="454">
        <f>(E55+E57)*LOOKUP(ROUND(E17/10,0),Noise!$B$3:$O$3,Noise!$B$15:$O$15)</f>
        <v>1.9886917753878379</v>
      </c>
      <c r="F62" s="454">
        <f>(F55+F57)*LOOKUP(ROUND(F17/10,0),Noise!$B$3:$O$3,Noise!$B$15:$O$15)</f>
        <v>3.9322621342919946</v>
      </c>
      <c r="G62" s="454">
        <f>(G55+G57)*LOOKUP(ROUND(G17/10,0),Noise!$B$3:$O$3,Noise!$B$15:$O$15)</f>
        <v>3.1651554095574923</v>
      </c>
      <c r="H62" s="454">
        <f>(H55+H57)*LOOKUP(ROUND(H17/10,0),Noise!$B$3:$O$3,Noise!$B$15:$O$15)</f>
        <v>3.4476579881488698</v>
      </c>
    </row>
    <row r="63" spans="1:10">
      <c r="A63" s="414"/>
      <c r="B63" s="455" t="s">
        <v>547</v>
      </c>
      <c r="C63" s="454">
        <f>(C55+C57)*LOOKUP(ROUND(C17/10,0),Noise!$B$3:$O$3,Noise!$B$16:$O$16)</f>
        <v>2.0126279609451632</v>
      </c>
      <c r="D63" s="454">
        <f>(D55+D57)*LOOKUP(ROUND(D17/10,0),Noise!$B$3:$O$3,Noise!$B$16:$O$16)</f>
        <v>3.0605220805254052</v>
      </c>
      <c r="E63" s="454">
        <f>(E55+E57)*LOOKUP(ROUND(E17/10,0),Noise!$B$3:$O$3,Noise!$B$16:$O$16)</f>
        <v>3.9773835507756758</v>
      </c>
      <c r="F63" s="454">
        <f>(F55+F57)*LOOKUP(ROUND(F17/10,0),Noise!$B$3:$O$3,Noise!$B$16:$O$16)</f>
        <v>7.8645242685839891</v>
      </c>
      <c r="G63" s="454">
        <f>(G55+G57)*LOOKUP(ROUND(G17/10,0),Noise!$B$3:$O$3,Noise!$B$16:$O$16)</f>
        <v>6.3303108191149846</v>
      </c>
      <c r="H63" s="454">
        <f>(H55+H57)*LOOKUP(ROUND(H17/10,0),Noise!$B$3:$O$3,Noise!$B$16:$O$16)</f>
        <v>6.8953159762977396</v>
      </c>
    </row>
    <row r="64" spans="1:10">
      <c r="A64" s="414"/>
      <c r="B64" s="455" t="s">
        <v>694</v>
      </c>
      <c r="C64" s="454">
        <f t="shared" ref="C64:H64" si="9">C55</f>
        <v>9.8676048710260797</v>
      </c>
      <c r="D64" s="454">
        <f t="shared" si="9"/>
        <v>16.828650546834279</v>
      </c>
      <c r="E64" s="454">
        <f t="shared" si="9"/>
        <v>23.698325556227054</v>
      </c>
      <c r="F64" s="454">
        <f t="shared" si="9"/>
        <v>33.66136335919807</v>
      </c>
      <c r="G64" s="454">
        <f t="shared" si="9"/>
        <v>43.565255760784417</v>
      </c>
      <c r="H64" s="454">
        <f t="shared" si="9"/>
        <v>55.840194445120112</v>
      </c>
    </row>
    <row r="65" spans="1:10">
      <c r="A65" s="414"/>
      <c r="B65" s="456"/>
      <c r="C65" s="457"/>
      <c r="D65" s="457"/>
      <c r="E65" s="457"/>
      <c r="F65" s="457"/>
      <c r="G65" s="457"/>
      <c r="H65" s="457"/>
    </row>
    <row r="66" spans="1:10">
      <c r="A66" s="414"/>
      <c r="B66" s="458" t="s">
        <v>695</v>
      </c>
      <c r="C66" s="459">
        <f t="shared" ref="C66:H66" si="10">SUM(C57:C64)</f>
        <v>483.1008153952755</v>
      </c>
      <c r="D66" s="459">
        <f t="shared" si="10"/>
        <v>589.51551113276878</v>
      </c>
      <c r="E66" s="459">
        <f t="shared" si="10"/>
        <v>682.62371029815404</v>
      </c>
      <c r="F66" s="459">
        <f t="shared" si="10"/>
        <v>1077.366737332306</v>
      </c>
      <c r="G66" s="459">
        <f t="shared" si="10"/>
        <v>921.56582732527909</v>
      </c>
      <c r="H66" s="459">
        <f t="shared" si="10"/>
        <v>978.94266604234519</v>
      </c>
    </row>
    <row r="67" spans="1:10">
      <c r="A67" s="414"/>
      <c r="B67" s="434" t="s">
        <v>696</v>
      </c>
      <c r="C67" s="460">
        <f t="shared" ref="C67:H67" si="11">SQRT(C66)</f>
        <v>21.979554485823307</v>
      </c>
      <c r="D67" s="460">
        <f t="shared" si="11"/>
        <v>24.279940509251023</v>
      </c>
      <c r="E67" s="460">
        <f t="shared" si="11"/>
        <v>26.127068536254772</v>
      </c>
      <c r="F67" s="460">
        <f t="shared" si="11"/>
        <v>32.823265183895188</v>
      </c>
      <c r="G67" s="460">
        <f t="shared" si="11"/>
        <v>30.357302701743432</v>
      </c>
      <c r="H67" s="460">
        <f t="shared" si="11"/>
        <v>31.28805948029288</v>
      </c>
    </row>
    <row r="68" spans="1:10">
      <c r="A68" s="414"/>
      <c r="B68" s="461" t="s">
        <v>799</v>
      </c>
      <c r="C68" s="462">
        <f t="shared" ref="C68:H68" si="12">C55/C67</f>
        <v>0.44894471711838524</v>
      </c>
      <c r="D68" s="462">
        <f t="shared" si="12"/>
        <v>0.69310921665653624</v>
      </c>
      <c r="E68" s="462">
        <f t="shared" si="12"/>
        <v>0.90704112186724983</v>
      </c>
      <c r="F68" s="462">
        <f t="shared" si="12"/>
        <v>1.0255336624984555</v>
      </c>
      <c r="G68" s="462">
        <f t="shared" si="12"/>
        <v>1.435083221615814</v>
      </c>
      <c r="H68" s="463">
        <f t="shared" si="12"/>
        <v>1.7847126147369945</v>
      </c>
      <c r="J68" s="464" t="s">
        <v>697</v>
      </c>
    </row>
    <row r="69" spans="1:10">
      <c r="A69" s="414"/>
      <c r="B69" s="499"/>
      <c r="C69" s="500"/>
      <c r="D69" s="500"/>
      <c r="E69" s="500"/>
      <c r="F69" s="500"/>
      <c r="G69" s="500"/>
      <c r="H69" s="500"/>
      <c r="J69" s="464"/>
    </row>
    <row r="70" spans="1:10">
      <c r="A70" s="414" t="s">
        <v>800</v>
      </c>
      <c r="B70" s="499" t="s">
        <v>799</v>
      </c>
      <c r="C70" s="500">
        <v>0.26</v>
      </c>
      <c r="D70" s="500">
        <v>0.51</v>
      </c>
      <c r="E70" s="500">
        <v>0.6</v>
      </c>
      <c r="F70" s="500">
        <v>0.94</v>
      </c>
      <c r="G70" s="500">
        <v>1.22</v>
      </c>
      <c r="H70" s="500">
        <v>1.63</v>
      </c>
      <c r="J70" s="464"/>
    </row>
    <row r="72" spans="1:10">
      <c r="A72" s="472" t="s">
        <v>725</v>
      </c>
      <c r="B72" s="498" t="s">
        <v>603</v>
      </c>
      <c r="C72" s="498">
        <v>3600</v>
      </c>
      <c r="D72" s="498">
        <v>3800</v>
      </c>
      <c r="E72" s="498">
        <v>4000</v>
      </c>
      <c r="F72" s="498">
        <v>4500</v>
      </c>
      <c r="G72" s="498">
        <v>5000</v>
      </c>
      <c r="H72" s="498">
        <v>5500</v>
      </c>
      <c r="I72" s="498"/>
    </row>
    <row r="73" spans="1:10">
      <c r="A73" s="94" t="s">
        <v>585</v>
      </c>
      <c r="B73" s="378" t="s">
        <v>799</v>
      </c>
      <c r="C73" s="467">
        <v>0.37924453658427532</v>
      </c>
      <c r="D73" s="467">
        <v>0.61675915986504526</v>
      </c>
      <c r="E73" s="467">
        <v>0.8528103254916215</v>
      </c>
      <c r="F73" s="467">
        <v>1.0528186782839355</v>
      </c>
      <c r="G73" s="467">
        <v>1.4900463123492094</v>
      </c>
      <c r="H73" s="467">
        <v>1.9159956111079099</v>
      </c>
      <c r="I73" s="356">
        <v>42234</v>
      </c>
    </row>
    <row r="74" spans="1:10">
      <c r="A74" s="94" t="s">
        <v>586</v>
      </c>
      <c r="B74" s="378" t="s">
        <v>799</v>
      </c>
      <c r="C74" s="467">
        <v>0.37924453658427532</v>
      </c>
      <c r="D74" s="467">
        <v>0.61675915986504526</v>
      </c>
      <c r="E74" s="467">
        <v>0.8528103254916215</v>
      </c>
      <c r="F74" s="467">
        <v>1.0528186782839355</v>
      </c>
      <c r="G74" s="467">
        <v>1.4900463123492094</v>
      </c>
      <c r="H74" s="467">
        <v>1.9159956111079099</v>
      </c>
      <c r="I74" s="356">
        <v>42398</v>
      </c>
    </row>
    <row r="75" spans="1:10">
      <c r="A75" s="94" t="s">
        <v>591</v>
      </c>
      <c r="B75" s="378" t="s">
        <v>799</v>
      </c>
      <c r="C75" s="467">
        <v>0.33319949227855433</v>
      </c>
      <c r="D75" s="467">
        <v>0.55944977423101994</v>
      </c>
      <c r="E75" s="467">
        <v>0.79674977000352709</v>
      </c>
      <c r="F75" s="467">
        <v>1.0128898776665576</v>
      </c>
      <c r="G75" s="467">
        <v>1.4493143781639821</v>
      </c>
      <c r="H75" s="467">
        <v>1.8799713266186984</v>
      </c>
      <c r="I75" s="356">
        <v>42476</v>
      </c>
    </row>
    <row r="76" spans="1:10">
      <c r="A76" s="94" t="s">
        <v>593</v>
      </c>
      <c r="B76" s="378" t="s">
        <v>799</v>
      </c>
      <c r="C76" s="467">
        <v>0.37196484051957113</v>
      </c>
      <c r="D76" s="467">
        <v>0.62959079037834398</v>
      </c>
      <c r="E76" s="467">
        <v>0.87037185893654079</v>
      </c>
      <c r="F76" s="467">
        <v>1.2185435142898864</v>
      </c>
      <c r="G76" s="467">
        <v>1.6037857939873204</v>
      </c>
      <c r="H76" s="467">
        <v>2.0124336796400235</v>
      </c>
      <c r="I76" s="356">
        <v>42762</v>
      </c>
    </row>
    <row r="77" spans="1:10">
      <c r="A77" s="94" t="s">
        <v>625</v>
      </c>
      <c r="B77" s="378" t="s">
        <v>799</v>
      </c>
      <c r="C77" s="467">
        <v>0.37736252781157043</v>
      </c>
      <c r="D77" s="467">
        <v>0.61927693781587156</v>
      </c>
      <c r="E77" s="467">
        <v>0.85687387959321493</v>
      </c>
      <c r="F77" s="467">
        <v>1.1973744475424499</v>
      </c>
      <c r="G77" s="467">
        <v>1.5970845404140088</v>
      </c>
      <c r="H77" s="467">
        <v>1.9687499901177641</v>
      </c>
      <c r="I77" s="356">
        <v>43067</v>
      </c>
    </row>
    <row r="78" spans="1:10">
      <c r="A78" s="94" t="s">
        <v>646</v>
      </c>
      <c r="B78" s="378" t="s">
        <v>799</v>
      </c>
      <c r="C78" s="467">
        <v>0.38275929385488017</v>
      </c>
      <c r="D78" s="467">
        <v>0.62537751896406324</v>
      </c>
      <c r="E78" s="467">
        <v>0.85881718637289495</v>
      </c>
      <c r="F78" s="467">
        <v>1.1946418645902896</v>
      </c>
      <c r="G78" s="467">
        <v>1.5987341811511921</v>
      </c>
      <c r="H78" s="467">
        <v>1.9644731394428596</v>
      </c>
      <c r="I78" s="356">
        <v>43258</v>
      </c>
    </row>
    <row r="79" spans="1:10">
      <c r="A79" s="94" t="s">
        <v>736</v>
      </c>
      <c r="B79" s="378" t="s">
        <v>799</v>
      </c>
      <c r="C79" s="467">
        <v>0.40874233701970197</v>
      </c>
      <c r="D79" s="467">
        <v>0.64361688602043432</v>
      </c>
      <c r="E79" s="467">
        <v>0.84353820911693878</v>
      </c>
      <c r="F79" s="467">
        <v>1.1293962780279871</v>
      </c>
      <c r="G79" s="467">
        <v>1.4874967716619218</v>
      </c>
      <c r="H79" s="467">
        <v>1.767419080621554</v>
      </c>
      <c r="I79" s="356">
        <v>43397</v>
      </c>
    </row>
    <row r="80" spans="1:10">
      <c r="A80" s="94" t="s">
        <v>798</v>
      </c>
      <c r="B80" s="378" t="s">
        <v>799</v>
      </c>
      <c r="C80" s="467">
        <v>0.39015339310456815</v>
      </c>
      <c r="D80" s="467">
        <v>0.63124895653411928</v>
      </c>
      <c r="E80" s="467">
        <v>0.85891426258119252</v>
      </c>
      <c r="F80" s="467">
        <v>1.1691796809719968</v>
      </c>
      <c r="G80" s="467">
        <v>1.5639132034175021</v>
      </c>
      <c r="H80" s="467">
        <v>1.8966477714826167</v>
      </c>
      <c r="I80" s="356">
        <v>43474</v>
      </c>
    </row>
    <row r="81" spans="1:9">
      <c r="A81" s="510" t="s">
        <v>849</v>
      </c>
      <c r="B81" s="378" t="s">
        <v>799</v>
      </c>
      <c r="C81" s="467">
        <v>0.45102578857571995</v>
      </c>
      <c r="D81" s="467">
        <v>0.6853514463324869</v>
      </c>
      <c r="E81" s="467">
        <v>0.88547593661874135</v>
      </c>
      <c r="F81" s="467">
        <v>1.0260793624605231</v>
      </c>
      <c r="G81" s="467">
        <v>1.4467305437530009</v>
      </c>
      <c r="H81" s="467">
        <v>1.8171222728085357</v>
      </c>
      <c r="I81" s="511">
        <v>43902</v>
      </c>
    </row>
    <row r="82" spans="1:9">
      <c r="A82" s="510" t="s">
        <v>873</v>
      </c>
      <c r="B82" s="378" t="s">
        <v>799</v>
      </c>
      <c r="C82" s="467">
        <v>0.44894471711838524</v>
      </c>
      <c r="D82" s="467">
        <v>0.69310921665653624</v>
      </c>
      <c r="E82" s="467">
        <v>0.90704112186724983</v>
      </c>
      <c r="F82" s="467">
        <v>1.0255336624984555</v>
      </c>
      <c r="G82" s="467">
        <v>1.435083221615814</v>
      </c>
      <c r="H82" s="467">
        <v>1.7847126147369945</v>
      </c>
      <c r="I82" s="511">
        <v>43937</v>
      </c>
    </row>
  </sheetData>
  <hyperlinks>
    <hyperlink ref="E5" r:id="rId1"/>
  </hyperlinks>
  <pageMargins left="0.75" right="0.75" top="1" bottom="1" header="0.51180555555555496" footer="0.51180555555555496"/>
  <pageSetup firstPageNumber="0" orientation="portrait" horizontalDpi="4294967292" verticalDpi="4294967292"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activeCell="B19" sqref="B19"/>
    </sheetView>
  </sheetViews>
  <sheetFormatPr defaultColWidth="8.88671875" defaultRowHeight="14.4"/>
  <cols>
    <col min="1" max="1" width="31.44140625" bestFit="1" customWidth="1"/>
    <col min="2" max="2" width="9.33203125" customWidth="1"/>
    <col min="18" max="18" width="28.44140625" customWidth="1"/>
  </cols>
  <sheetData>
    <row r="1" spans="1:18">
      <c r="A1" s="86"/>
      <c r="B1" s="116">
        <v>350</v>
      </c>
      <c r="C1" s="116">
        <v>360</v>
      </c>
      <c r="D1" s="116">
        <v>375</v>
      </c>
      <c r="E1" s="116">
        <v>400</v>
      </c>
      <c r="F1" s="116">
        <v>450</v>
      </c>
      <c r="G1" s="116">
        <v>500</v>
      </c>
      <c r="H1" s="116">
        <v>550</v>
      </c>
      <c r="I1" s="116">
        <v>600</v>
      </c>
      <c r="J1" s="116">
        <v>650</v>
      </c>
      <c r="K1" s="116">
        <v>700</v>
      </c>
      <c r="L1" s="116">
        <v>750</v>
      </c>
      <c r="M1" s="116">
        <v>800</v>
      </c>
      <c r="N1" s="116">
        <v>850</v>
      </c>
      <c r="O1" s="116">
        <v>900</v>
      </c>
      <c r="P1" s="116">
        <v>980</v>
      </c>
      <c r="Q1" s="116">
        <v>995</v>
      </c>
      <c r="R1" s="86"/>
    </row>
    <row r="2" spans="1:18">
      <c r="A2" s="162" t="s">
        <v>141</v>
      </c>
      <c r="B2" s="86"/>
      <c r="C2" s="86"/>
      <c r="D2" s="86"/>
      <c r="E2" s="86"/>
      <c r="F2" s="86"/>
      <c r="G2" s="86"/>
      <c r="H2" s="86"/>
      <c r="I2" s="86"/>
      <c r="J2" s="86"/>
      <c r="K2" s="86"/>
      <c r="L2" s="86"/>
      <c r="M2" s="86"/>
      <c r="N2" s="86"/>
      <c r="O2" s="86"/>
      <c r="P2" s="86"/>
      <c r="Q2" s="86"/>
      <c r="R2" s="86"/>
    </row>
    <row r="3" spans="1:18">
      <c r="A3" t="s">
        <v>605</v>
      </c>
      <c r="B3" s="163">
        <v>91.912472179512065</v>
      </c>
      <c r="C3" s="218">
        <v>98.418288332992446</v>
      </c>
      <c r="D3" s="218">
        <v>98.785092247453449</v>
      </c>
      <c r="E3" s="218">
        <v>98.867414924556897</v>
      </c>
      <c r="F3" s="218">
        <v>98.977379601025049</v>
      </c>
      <c r="G3" s="218">
        <v>99.274916549870895</v>
      </c>
      <c r="H3" s="218">
        <v>98.974976739786641</v>
      </c>
      <c r="I3" s="218">
        <v>99.145791429700452</v>
      </c>
      <c r="J3" s="218">
        <v>99.195318497985483</v>
      </c>
      <c r="K3" s="218">
        <v>99.097657240147129</v>
      </c>
      <c r="L3" s="218">
        <v>99.236490509830915</v>
      </c>
      <c r="M3" s="218">
        <v>98.731650604334874</v>
      </c>
      <c r="N3" s="218">
        <v>98.32244195481961</v>
      </c>
      <c r="O3" s="218">
        <v>98.602733512359649</v>
      </c>
      <c r="P3" s="218">
        <v>99.211405382477182</v>
      </c>
      <c r="Q3" s="218">
        <v>99.243270800800204</v>
      </c>
      <c r="R3" s="162"/>
    </row>
    <row r="4" spans="1:18" s="326" customFormat="1">
      <c r="A4" s="162" t="s">
        <v>606</v>
      </c>
      <c r="B4" s="163">
        <v>99.11109383928553</v>
      </c>
      <c r="C4" s="218">
        <v>99.134767107783418</v>
      </c>
      <c r="D4" s="218">
        <v>99.251037239512684</v>
      </c>
      <c r="E4" s="218">
        <v>99.262843379932576</v>
      </c>
      <c r="F4" s="218">
        <v>99.255678634389966</v>
      </c>
      <c r="G4" s="218">
        <v>99.220366563551011</v>
      </c>
      <c r="H4" s="218">
        <v>99.375906267398506</v>
      </c>
      <c r="I4" s="218">
        <v>99.039221677945719</v>
      </c>
      <c r="J4" s="218">
        <v>99.041633931595257</v>
      </c>
      <c r="K4" s="218">
        <v>99.246671289969584</v>
      </c>
      <c r="L4" s="218">
        <v>99.295317716305973</v>
      </c>
      <c r="M4" s="218">
        <v>99.288320340146981</v>
      </c>
      <c r="N4" s="218">
        <v>98.896213940209378</v>
      </c>
      <c r="O4" s="218">
        <v>98.483899368854296</v>
      </c>
      <c r="P4" s="218">
        <v>99.028521649368756</v>
      </c>
      <c r="Q4" s="218">
        <v>99.203425460100576</v>
      </c>
      <c r="R4" s="162"/>
    </row>
    <row r="5" spans="1:18" s="326" customFormat="1">
      <c r="A5" s="162" t="s">
        <v>608</v>
      </c>
      <c r="B5" s="163">
        <v>99.040734574099318</v>
      </c>
      <c r="C5" s="218">
        <v>99.438187849585617</v>
      </c>
      <c r="D5" s="218">
        <v>99.66909272964854</v>
      </c>
      <c r="E5" s="218">
        <v>99.261021265570065</v>
      </c>
      <c r="F5" s="218">
        <v>99.123143706256855</v>
      </c>
      <c r="G5" s="218">
        <v>99.138090318053059</v>
      </c>
      <c r="H5" s="218">
        <v>99.097880089801762</v>
      </c>
      <c r="I5" s="218">
        <v>99.12488720194203</v>
      </c>
      <c r="J5" s="218">
        <v>99.340543151716005</v>
      </c>
      <c r="K5" s="218">
        <v>99.34834494950465</v>
      </c>
      <c r="L5" s="218">
        <v>99.301130847563812</v>
      </c>
      <c r="M5" s="218">
        <v>99.32714718851048</v>
      </c>
      <c r="N5" s="218">
        <v>99.483705211689937</v>
      </c>
      <c r="O5" s="218">
        <v>99.487832247863835</v>
      </c>
      <c r="P5" s="218">
        <v>99.34393214846051</v>
      </c>
      <c r="Q5" s="218">
        <v>99.374917331953114</v>
      </c>
      <c r="R5" s="162"/>
    </row>
    <row r="6" spans="1:18" s="326" customFormat="1">
      <c r="A6" s="337" t="s">
        <v>607</v>
      </c>
      <c r="B6" s="163">
        <v>99.49114702671713</v>
      </c>
      <c r="C6" s="218">
        <v>99.60472307181422</v>
      </c>
      <c r="D6" s="218">
        <v>99.736370799261906</v>
      </c>
      <c r="E6" s="218">
        <v>99.383414822991128</v>
      </c>
      <c r="F6" s="218">
        <v>99.19570001267266</v>
      </c>
      <c r="G6" s="218">
        <v>99.310835719393964</v>
      </c>
      <c r="H6" s="218">
        <v>99.192291248541437</v>
      </c>
      <c r="I6" s="218">
        <v>99.307250190054518</v>
      </c>
      <c r="J6" s="218">
        <v>99.331658942600967</v>
      </c>
      <c r="K6" s="218">
        <v>99.32788681751623</v>
      </c>
      <c r="L6" s="218">
        <v>99.110255164489374</v>
      </c>
      <c r="M6" s="218">
        <v>99.004898835129282</v>
      </c>
      <c r="N6" s="218">
        <v>99.219754989992225</v>
      </c>
      <c r="O6" s="218">
        <v>99.365094221436465</v>
      </c>
      <c r="P6" s="218">
        <v>99.284340077757037</v>
      </c>
      <c r="Q6" s="218">
        <v>99.29500961876461</v>
      </c>
      <c r="R6" s="162"/>
    </row>
    <row r="7" spans="1:18" s="326" customFormat="1">
      <c r="A7" s="337" t="s">
        <v>632</v>
      </c>
      <c r="B7" s="163">
        <v>99.000848635894926</v>
      </c>
      <c r="C7" s="218">
        <v>98.860912520239353</v>
      </c>
      <c r="D7" s="218">
        <v>98.970970365178161</v>
      </c>
      <c r="E7" s="218">
        <v>99.094379097898241</v>
      </c>
      <c r="F7" s="218">
        <v>98.855935153903928</v>
      </c>
      <c r="G7" s="218">
        <v>98.945201852606203</v>
      </c>
      <c r="H7" s="218">
        <v>99.257407941628031</v>
      </c>
      <c r="I7" s="218">
        <v>99.160962702425081</v>
      </c>
      <c r="J7" s="218">
        <v>99.342457082479541</v>
      </c>
      <c r="K7" s="218">
        <v>99.104344293896006</v>
      </c>
      <c r="L7" s="218">
        <v>98.829451534232689</v>
      </c>
      <c r="M7" s="218">
        <v>99.018537049029447</v>
      </c>
      <c r="N7" s="218">
        <v>99.188834165875022</v>
      </c>
      <c r="O7" s="218">
        <v>99.265963543210319</v>
      </c>
      <c r="P7" s="218">
        <v>99.579661317313025</v>
      </c>
      <c r="Q7" s="218">
        <v>99.563683554559162</v>
      </c>
      <c r="R7" s="162"/>
    </row>
    <row r="8" spans="1:18" s="326" customFormat="1">
      <c r="A8" s="337" t="s">
        <v>633</v>
      </c>
      <c r="B8" s="163">
        <v>98.769670390067034</v>
      </c>
      <c r="C8" s="218">
        <v>99.239644123062334</v>
      </c>
      <c r="D8" s="218">
        <v>99.291203432388002</v>
      </c>
      <c r="E8" s="218">
        <v>99.323006942366305</v>
      </c>
      <c r="F8" s="218">
        <v>99.151140253212702</v>
      </c>
      <c r="G8" s="218">
        <v>99.329937321285556</v>
      </c>
      <c r="H8" s="218">
        <v>99.110773010655777</v>
      </c>
      <c r="I8" s="218">
        <v>99.396517454704878</v>
      </c>
      <c r="J8" s="218">
        <v>99.347424909446318</v>
      </c>
      <c r="K8" s="218">
        <v>99.392339879607192</v>
      </c>
      <c r="L8" s="218">
        <v>99.066904654708509</v>
      </c>
      <c r="M8" s="218">
        <v>98.939685150940676</v>
      </c>
      <c r="N8" s="218">
        <v>99.23572752580337</v>
      </c>
      <c r="O8" s="218">
        <v>99.428860967747866</v>
      </c>
      <c r="P8" s="218">
        <v>99.383929970487671</v>
      </c>
      <c r="Q8" s="218">
        <v>99.392543955270781</v>
      </c>
      <c r="R8" s="162"/>
    </row>
    <row r="9" spans="1:18" s="326" customFormat="1">
      <c r="A9" s="337" t="s">
        <v>634</v>
      </c>
      <c r="B9" s="163">
        <v>97.76877951760973</v>
      </c>
      <c r="C9" s="218">
        <v>98.619651376354312</v>
      </c>
      <c r="D9" s="218">
        <v>99.139978095371561</v>
      </c>
      <c r="E9" s="218">
        <v>99.079837232050082</v>
      </c>
      <c r="F9" s="218">
        <v>99.121899104068731</v>
      </c>
      <c r="G9" s="218">
        <v>99.028470823022815</v>
      </c>
      <c r="H9" s="218">
        <v>99.041388679986667</v>
      </c>
      <c r="I9" s="218">
        <v>99.086624721332456</v>
      </c>
      <c r="J9" s="218">
        <v>99.190776381337415</v>
      </c>
      <c r="K9" s="218">
        <v>99.556541331389255</v>
      </c>
      <c r="L9" s="218">
        <v>99.822496227797643</v>
      </c>
      <c r="M9" s="218">
        <v>99.714041579063959</v>
      </c>
      <c r="N9" s="218">
        <v>99.183268945919764</v>
      </c>
      <c r="O9" s="218">
        <v>98.756658219100885</v>
      </c>
      <c r="P9" s="218">
        <v>99.191654713250315</v>
      </c>
      <c r="Q9" s="218">
        <v>99.333429187107228</v>
      </c>
      <c r="R9" s="162"/>
    </row>
    <row r="10" spans="1:18" s="326" customFormat="1">
      <c r="A10" s="367" t="s">
        <v>635</v>
      </c>
      <c r="B10" s="163">
        <v>99.020894300642937</v>
      </c>
      <c r="C10" s="218">
        <v>99.001043290943329</v>
      </c>
      <c r="D10" s="218">
        <v>98.722610553750513</v>
      </c>
      <c r="E10" s="218">
        <v>98.793180339606394</v>
      </c>
      <c r="F10" s="218">
        <v>99.12415564067075</v>
      </c>
      <c r="G10" s="218">
        <v>99.392781320142291</v>
      </c>
      <c r="H10" s="218">
        <v>99.071329085217968</v>
      </c>
      <c r="I10" s="218">
        <v>99.628388114325659</v>
      </c>
      <c r="J10" s="218">
        <v>99.108419026787871</v>
      </c>
      <c r="K10" s="218">
        <v>99.238256177344027</v>
      </c>
      <c r="L10" s="218">
        <v>98.835536756418293</v>
      </c>
      <c r="M10" s="218">
        <v>98.027164036673895</v>
      </c>
      <c r="N10" s="218">
        <v>98.124389353135044</v>
      </c>
      <c r="O10" s="218">
        <v>98.841975976230032</v>
      </c>
      <c r="P10" s="218">
        <v>99.426399920154807</v>
      </c>
      <c r="Q10" s="218">
        <v>99.415910681364707</v>
      </c>
      <c r="R10" s="162"/>
    </row>
    <row r="11" spans="1:18" s="326" customFormat="1">
      <c r="A11" s="162" t="s">
        <v>610</v>
      </c>
      <c r="B11" s="163">
        <v>99.049582528837419</v>
      </c>
      <c r="C11" s="218">
        <v>99.857525466706491</v>
      </c>
      <c r="D11" s="218">
        <v>99.307370314709516</v>
      </c>
      <c r="E11" s="218">
        <v>99.508760437387764</v>
      </c>
      <c r="F11" s="218">
        <v>99.490260534717848</v>
      </c>
      <c r="G11" s="218">
        <v>99.327930444180822</v>
      </c>
      <c r="H11" s="218">
        <v>99.44941430811366</v>
      </c>
      <c r="I11" s="218">
        <v>99.605247004129609</v>
      </c>
      <c r="J11" s="218">
        <v>99.644721441530976</v>
      </c>
      <c r="K11" s="218">
        <v>99.203911787710339</v>
      </c>
      <c r="L11" s="218">
        <v>98.584629299571432</v>
      </c>
      <c r="M11" s="218">
        <v>98.810007321817039</v>
      </c>
      <c r="N11" s="218">
        <v>99.411058536559125</v>
      </c>
      <c r="O11" s="218">
        <v>99.641785282608879</v>
      </c>
      <c r="P11" s="218">
        <v>99.686682912897325</v>
      </c>
      <c r="Q11" s="218">
        <v>99.724756912762672</v>
      </c>
      <c r="R11" s="162"/>
    </row>
    <row r="12" spans="1:18" s="326" customFormat="1">
      <c r="A12" s="326" t="s">
        <v>609</v>
      </c>
      <c r="B12" s="163">
        <v>98.956047613939035</v>
      </c>
      <c r="C12" s="218">
        <v>99.146956164339386</v>
      </c>
      <c r="D12" s="218">
        <v>99.070516334405028</v>
      </c>
      <c r="E12" s="218">
        <v>99.20119192375877</v>
      </c>
      <c r="F12" s="218">
        <v>99.421600589957876</v>
      </c>
      <c r="G12" s="218">
        <v>99.303685239261895</v>
      </c>
      <c r="H12" s="218">
        <v>99.213746965077462</v>
      </c>
      <c r="I12" s="218">
        <v>99.514404519863916</v>
      </c>
      <c r="J12" s="218">
        <v>99.192158120081018</v>
      </c>
      <c r="K12" s="218">
        <v>99.246519994954582</v>
      </c>
      <c r="L12" s="218">
        <v>99.161760565641799</v>
      </c>
      <c r="M12" s="218">
        <v>98.850709816843391</v>
      </c>
      <c r="N12" s="218">
        <v>98.867880040963726</v>
      </c>
      <c r="O12" s="218">
        <v>99.071307124909353</v>
      </c>
      <c r="P12" s="218">
        <v>99.277629617192531</v>
      </c>
      <c r="Q12" s="218">
        <v>99.320289494394387</v>
      </c>
      <c r="R12" s="162"/>
    </row>
    <row r="13" spans="1:18" s="326" customFormat="1">
      <c r="A13" s="337" t="s">
        <v>612</v>
      </c>
      <c r="B13" s="163">
        <v>97.435873933698105</v>
      </c>
      <c r="C13" s="218">
        <v>97.49897070434838</v>
      </c>
      <c r="D13" s="218">
        <v>97.237340397687348</v>
      </c>
      <c r="E13" s="218">
        <v>97.81801513377242</v>
      </c>
      <c r="F13" s="218">
        <v>98.500702167501373</v>
      </c>
      <c r="G13" s="218">
        <v>99.15533352896243</v>
      </c>
      <c r="H13" s="218">
        <v>99.012842529667509</v>
      </c>
      <c r="I13" s="218">
        <v>99.368255256359802</v>
      </c>
      <c r="J13" s="218">
        <v>99.341568959380851</v>
      </c>
      <c r="K13" s="218">
        <v>99.524113189166059</v>
      </c>
      <c r="L13" s="218">
        <v>99.842373618082064</v>
      </c>
      <c r="M13" s="218">
        <v>99.81838648450713</v>
      </c>
      <c r="N13" s="218">
        <v>99.806480406024093</v>
      </c>
      <c r="O13" s="218">
        <v>99.812264702049404</v>
      </c>
      <c r="P13" s="218">
        <v>97.259295863532685</v>
      </c>
      <c r="Q13" s="218">
        <v>96.140470098668658</v>
      </c>
      <c r="R13" s="162"/>
    </row>
    <row r="14" spans="1:18" s="326" customFormat="1">
      <c r="A14" s="162" t="s">
        <v>611</v>
      </c>
      <c r="B14" s="163">
        <v>97.952619677369398</v>
      </c>
      <c r="C14" s="218">
        <v>98.300197116486572</v>
      </c>
      <c r="D14" s="218">
        <v>98.736330033851416</v>
      </c>
      <c r="E14" s="218">
        <v>99.088922047189428</v>
      </c>
      <c r="F14" s="218">
        <v>99.433093118583926</v>
      </c>
      <c r="G14" s="218">
        <v>99.392865786828807</v>
      </c>
      <c r="H14" s="218">
        <v>99.508068056214185</v>
      </c>
      <c r="I14" s="218">
        <v>99.208724231674793</v>
      </c>
      <c r="J14" s="218">
        <v>99.470758797990271</v>
      </c>
      <c r="K14" s="218">
        <v>99.418945409144868</v>
      </c>
      <c r="L14" s="218">
        <v>99.461629737739244</v>
      </c>
      <c r="M14" s="218">
        <v>99.601656827591597</v>
      </c>
      <c r="N14" s="218">
        <v>99.321209257101188</v>
      </c>
      <c r="O14" s="218">
        <v>99.053559417272268</v>
      </c>
      <c r="P14" s="218">
        <v>99.657004360168756</v>
      </c>
      <c r="Q14" s="218">
        <v>99.767605143761401</v>
      </c>
      <c r="R14" s="162"/>
    </row>
    <row r="15" spans="1:18" s="326" customFormat="1">
      <c r="A15" s="162"/>
      <c r="B15" s="163"/>
      <c r="C15" s="218"/>
      <c r="D15" s="218"/>
      <c r="E15" s="218"/>
      <c r="F15" s="218"/>
      <c r="G15" s="218"/>
      <c r="H15" s="218"/>
      <c r="I15" s="218"/>
      <c r="J15" s="218"/>
      <c r="K15" s="218"/>
      <c r="L15" s="218"/>
      <c r="M15" s="218"/>
      <c r="N15" s="218"/>
      <c r="O15" s="218"/>
      <c r="P15" s="218"/>
      <c r="Q15" s="218"/>
      <c r="R15" s="162"/>
    </row>
    <row r="16" spans="1:18" s="326" customFormat="1">
      <c r="A16" s="162" t="s">
        <v>707</v>
      </c>
      <c r="B16" s="465">
        <v>2.5999999999999999E-3</v>
      </c>
      <c r="C16" s="466">
        <f>B16</f>
        <v>2.5999999999999999E-3</v>
      </c>
      <c r="D16" s="466">
        <f t="shared" ref="D16:Q16" si="0">C16</f>
        <v>2.5999999999999999E-3</v>
      </c>
      <c r="E16" s="466">
        <f t="shared" si="0"/>
        <v>2.5999999999999999E-3</v>
      </c>
      <c r="F16" s="466">
        <f t="shared" si="0"/>
        <v>2.5999999999999999E-3</v>
      </c>
      <c r="G16" s="466">
        <f t="shared" si="0"/>
        <v>2.5999999999999999E-3</v>
      </c>
      <c r="H16" s="466">
        <f t="shared" si="0"/>
        <v>2.5999999999999999E-3</v>
      </c>
      <c r="I16" s="466">
        <f t="shared" si="0"/>
        <v>2.5999999999999999E-3</v>
      </c>
      <c r="J16" s="466">
        <f t="shared" si="0"/>
        <v>2.5999999999999999E-3</v>
      </c>
      <c r="K16" s="466">
        <f t="shared" si="0"/>
        <v>2.5999999999999999E-3</v>
      </c>
      <c r="L16" s="466">
        <f t="shared" si="0"/>
        <v>2.5999999999999999E-3</v>
      </c>
      <c r="M16" s="466">
        <f t="shared" si="0"/>
        <v>2.5999999999999999E-3</v>
      </c>
      <c r="N16" s="466">
        <f t="shared" si="0"/>
        <v>2.5999999999999999E-3</v>
      </c>
      <c r="O16" s="466">
        <f t="shared" si="0"/>
        <v>2.5999999999999999E-3</v>
      </c>
      <c r="P16" s="466">
        <f t="shared" si="0"/>
        <v>2.5999999999999999E-3</v>
      </c>
      <c r="Q16" s="466">
        <f t="shared" si="0"/>
        <v>2.5999999999999999E-3</v>
      </c>
      <c r="R16" s="162" t="s">
        <v>708</v>
      </c>
    </row>
    <row r="17" spans="1:18">
      <c r="A17" s="86"/>
      <c r="B17" s="30"/>
      <c r="C17" s="165"/>
      <c r="D17" s="165"/>
      <c r="E17" s="165"/>
      <c r="F17" s="165"/>
      <c r="G17" s="165"/>
      <c r="H17" s="165"/>
      <c r="I17" s="165"/>
      <c r="J17" s="165"/>
      <c r="K17" s="165"/>
      <c r="L17" s="165"/>
      <c r="M17" s="165"/>
      <c r="N17" s="165"/>
      <c r="O17" s="165"/>
      <c r="P17" s="165"/>
      <c r="Q17" s="165"/>
      <c r="R17" s="162"/>
    </row>
    <row r="18" spans="1:18">
      <c r="A18" s="166" t="s">
        <v>245</v>
      </c>
      <c r="B18" s="167">
        <f>(1-B16)*B3*B4*B5*B6*B7*B8*B9*B10*B11*B12*B13*B14*10^-24</f>
        <v>0.79283691283462876</v>
      </c>
      <c r="C18" s="167">
        <f t="shared" ref="C18:Q18" si="1">(1-C16)*C3*C4*C5*C6*C7*C8*C9*C10*C11*C12*C13*C14*10^-24</f>
        <v>0.87605616080347071</v>
      </c>
      <c r="D18" s="167">
        <f t="shared" si="1"/>
        <v>0.883140714262726</v>
      </c>
      <c r="E18" s="167">
        <f t="shared" si="1"/>
        <v>0.89009261112099458</v>
      </c>
      <c r="F18" s="167">
        <f t="shared" si="1"/>
        <v>0.89889665464148083</v>
      </c>
      <c r="G18" s="167">
        <f t="shared" si="1"/>
        <v>0.90958809814389918</v>
      </c>
      <c r="H18" s="167">
        <f t="shared" si="1"/>
        <v>0.90487912397883774</v>
      </c>
      <c r="I18" s="167">
        <f t="shared" si="1"/>
        <v>0.91662197615494567</v>
      </c>
      <c r="J18" s="167">
        <f t="shared" si="1"/>
        <v>0.91627109805521512</v>
      </c>
      <c r="K18" s="167">
        <f t="shared" si="1"/>
        <v>0.91773357172304937</v>
      </c>
      <c r="L18" s="167">
        <f t="shared" si="1"/>
        <v>0.90703230280599412</v>
      </c>
      <c r="M18" s="167">
        <f t="shared" si="1"/>
        <v>0.89412078561881292</v>
      </c>
      <c r="N18" s="167">
        <f t="shared" si="1"/>
        <v>0.89348790178530102</v>
      </c>
      <c r="O18" s="167">
        <f t="shared" si="1"/>
        <v>0.90030858531209523</v>
      </c>
      <c r="P18" s="167">
        <f t="shared" si="1"/>
        <v>0.90490818229325343</v>
      </c>
      <c r="Q18" s="167">
        <f t="shared" si="1"/>
        <v>0.899589011272663</v>
      </c>
      <c r="R18" s="86"/>
    </row>
    <row r="20" spans="1:18" s="326" customFormat="1">
      <c r="B20" s="326" t="s">
        <v>698</v>
      </c>
    </row>
    <row r="21" spans="1:18" s="326" customFormat="1">
      <c r="B21" s="326" t="s">
        <v>706</v>
      </c>
    </row>
    <row r="22" spans="1:18" s="326" customFormat="1">
      <c r="B22" s="326" t="s">
        <v>701</v>
      </c>
    </row>
    <row r="23" spans="1:18" s="326" customFormat="1">
      <c r="B23" s="326" t="s">
        <v>702</v>
      </c>
    </row>
    <row r="24" spans="1:18" s="326" customFormat="1">
      <c r="C24" s="326" t="s">
        <v>699</v>
      </c>
    </row>
    <row r="25" spans="1:18" s="326" customFormat="1">
      <c r="B25" s="326" t="s">
        <v>703</v>
      </c>
    </row>
    <row r="26" spans="1:18" s="326" customFormat="1">
      <c r="C26" s="326" t="s">
        <v>700</v>
      </c>
    </row>
    <row r="27" spans="1:18">
      <c r="B27" s="326" t="s">
        <v>638</v>
      </c>
      <c r="C27" s="326"/>
    </row>
    <row r="28" spans="1:18">
      <c r="B28" s="326" t="s">
        <v>704</v>
      </c>
      <c r="C28" s="326"/>
    </row>
    <row r="29" spans="1:18">
      <c r="B29" s="326" t="s">
        <v>705</v>
      </c>
      <c r="C29" s="326"/>
    </row>
    <row r="30" spans="1:18">
      <c r="B30" s="326"/>
      <c r="C30" s="326" t="s">
        <v>636</v>
      </c>
    </row>
    <row r="31" spans="1:18">
      <c r="B31" s="326"/>
      <c r="C31" s="326"/>
    </row>
    <row r="32" spans="1:18">
      <c r="B32" s="368" t="s">
        <v>637</v>
      </c>
      <c r="C32" s="32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6"/>
  <sheetViews>
    <sheetView zoomScaleNormal="100" workbookViewId="0">
      <pane ySplit="2" topLeftCell="A201" activePane="bottomLeft" state="frozen"/>
      <selection pane="bottomLeft" activeCell="R209" sqref="R209"/>
    </sheetView>
  </sheetViews>
  <sheetFormatPr defaultColWidth="9.109375" defaultRowHeight="14.4"/>
  <cols>
    <col min="1" max="1" width="25.33203125" style="326" bestFit="1" customWidth="1"/>
    <col min="2" max="17" width="9.109375" style="326"/>
    <col min="18" max="18" width="68" style="326" bestFit="1" customWidth="1"/>
    <col min="19" max="16384" width="9.109375" style="326"/>
  </cols>
  <sheetData>
    <row r="1" spans="1:31">
      <c r="B1" s="76"/>
      <c r="C1" s="518" t="s">
        <v>2</v>
      </c>
      <c r="D1" s="518"/>
      <c r="E1" s="518"/>
      <c r="F1" s="518"/>
      <c r="G1" s="518"/>
      <c r="H1" s="518"/>
      <c r="I1" s="518"/>
      <c r="J1" s="518"/>
      <c r="K1" s="518"/>
      <c r="L1" s="518"/>
      <c r="M1" s="518"/>
      <c r="N1" s="518"/>
      <c r="O1" s="518"/>
      <c r="P1" s="518"/>
      <c r="Q1" s="115"/>
    </row>
    <row r="2" spans="1:31" ht="15" thickBot="1">
      <c r="B2" s="237">
        <v>350</v>
      </c>
      <c r="C2" s="237">
        <v>360</v>
      </c>
      <c r="D2" s="237">
        <v>375</v>
      </c>
      <c r="E2" s="237">
        <v>400</v>
      </c>
      <c r="F2" s="237">
        <v>450</v>
      </c>
      <c r="G2" s="237">
        <v>500</v>
      </c>
      <c r="H2" s="237">
        <v>550</v>
      </c>
      <c r="I2" s="237">
        <v>600</v>
      </c>
      <c r="J2" s="237">
        <v>650</v>
      </c>
      <c r="K2" s="237">
        <v>700</v>
      </c>
      <c r="L2" s="237">
        <v>750</v>
      </c>
      <c r="M2" s="237">
        <v>800</v>
      </c>
      <c r="N2" s="237">
        <v>850</v>
      </c>
      <c r="O2" s="237">
        <v>900</v>
      </c>
      <c r="P2" s="237">
        <v>980</v>
      </c>
      <c r="Q2" s="237">
        <v>995</v>
      </c>
      <c r="R2" s="39" t="s">
        <v>328</v>
      </c>
      <c r="T2" s="326" t="s">
        <v>757</v>
      </c>
      <c r="U2" s="326" t="str">
        <f>A7</f>
        <v>SM1</v>
      </c>
      <c r="V2" s="326" t="str">
        <f>A27</f>
        <v>SM2</v>
      </c>
      <c r="W2" s="326" t="str">
        <f>A47</f>
        <v>SM3</v>
      </c>
      <c r="X2" s="326" t="str">
        <f>A67</f>
        <v>SM4</v>
      </c>
      <c r="Y2" s="326" t="str">
        <f>A87</f>
        <v>SM5</v>
      </c>
      <c r="Z2" s="326" t="s">
        <v>758</v>
      </c>
      <c r="AA2" s="326" t="s">
        <v>759</v>
      </c>
      <c r="AB2" s="326" t="s">
        <v>760</v>
      </c>
      <c r="AC2" s="326" t="s">
        <v>761</v>
      </c>
      <c r="AD2" s="326" t="s">
        <v>762</v>
      </c>
      <c r="AE2" s="326" t="s">
        <v>763</v>
      </c>
    </row>
    <row r="3" spans="1:31" ht="15" thickBot="1">
      <c r="A3" s="124" t="s">
        <v>763</v>
      </c>
      <c r="B3" s="61">
        <f>AVERAGE(B8,B28,B48,B68,B88,B108,B128,B148,B168,B188)</f>
        <v>0.44487991903936919</v>
      </c>
      <c r="C3" s="61">
        <f t="shared" ref="C3:Q3" si="0">AVERAGE(C8,C28,C48,C68,C88,C108,C128,C148,C168,C188)</f>
        <v>0.49974037102515395</v>
      </c>
      <c r="D3" s="61">
        <f t="shared" si="0"/>
        <v>0.58542506791688453</v>
      </c>
      <c r="E3" s="61">
        <f t="shared" si="0"/>
        <v>0.68289094754492718</v>
      </c>
      <c r="F3" s="61">
        <f t="shared" si="0"/>
        <v>0.70424233455720942</v>
      </c>
      <c r="G3" s="61">
        <f t="shared" si="0"/>
        <v>0.65229441863731674</v>
      </c>
      <c r="H3" s="61">
        <f t="shared" si="0"/>
        <v>0.59173383361896403</v>
      </c>
      <c r="I3" s="61">
        <f t="shared" si="0"/>
        <v>0.65205019821434029</v>
      </c>
      <c r="J3" s="61">
        <f t="shared" si="0"/>
        <v>0.68986540008523634</v>
      </c>
      <c r="K3" s="61">
        <f t="shared" si="0"/>
        <v>0.68243344472763279</v>
      </c>
      <c r="L3" s="61">
        <f t="shared" si="0"/>
        <v>0.63957216527724703</v>
      </c>
      <c r="M3" s="61">
        <f t="shared" si="0"/>
        <v>0.79589034522401092</v>
      </c>
      <c r="N3" s="61">
        <f t="shared" si="0"/>
        <v>0.80781687081303455</v>
      </c>
      <c r="O3" s="61">
        <f t="shared" si="0"/>
        <v>0.77922442353776544</v>
      </c>
      <c r="P3" s="61">
        <f t="shared" si="0"/>
        <v>0.44940944169448765</v>
      </c>
      <c r="Q3" s="494">
        <f t="shared" si="0"/>
        <v>0.33007216904380182</v>
      </c>
      <c r="T3" s="326">
        <v>350</v>
      </c>
      <c r="U3" s="213">
        <f>B8</f>
        <v>0.21023857261625645</v>
      </c>
      <c r="V3" s="213">
        <f>B28</f>
        <v>0.46074810101972569</v>
      </c>
      <c r="W3" s="213">
        <f>B48</f>
        <v>0.4630263761036324</v>
      </c>
      <c r="X3" s="213">
        <f>B68</f>
        <v>0.52989943670788864</v>
      </c>
      <c r="Y3" s="213">
        <f>B88</f>
        <v>0.57376941048613894</v>
      </c>
      <c r="Z3" s="213">
        <f>B108</f>
        <v>0.37437111053799721</v>
      </c>
      <c r="AA3" s="213">
        <f>B128</f>
        <v>0.44465739411061356</v>
      </c>
      <c r="AB3" s="213">
        <f>B148</f>
        <v>0.47414954871014686</v>
      </c>
      <c r="AC3" s="213">
        <f>B168</f>
        <v>0.4386170833379236</v>
      </c>
      <c r="AD3" s="213">
        <f>B188</f>
        <v>0.47932215676336842</v>
      </c>
      <c r="AE3" s="213">
        <f>AVERAGE(U3:AD3)</f>
        <v>0.44487991903936919</v>
      </c>
    </row>
    <row r="4" spans="1:31" ht="15" thickBot="1">
      <c r="A4" s="124" t="s">
        <v>764</v>
      </c>
      <c r="B4" s="61">
        <f>MIN(B8,B28,B48,B68,B88,B108,B128,B148,B168,B188)</f>
        <v>0.21023857261625645</v>
      </c>
      <c r="C4" s="61">
        <f t="shared" ref="C4:Q4" si="1">MIN(C8,C28,C48,C68,C88,C108,C128,C148,C168,C188)</f>
        <v>0.40925091981988404</v>
      </c>
      <c r="D4" s="61">
        <f t="shared" si="1"/>
        <v>0.51012978677930942</v>
      </c>
      <c r="E4" s="61">
        <f t="shared" si="1"/>
        <v>0.63572121379435975</v>
      </c>
      <c r="F4" s="61">
        <f t="shared" si="1"/>
        <v>0.67568753309468643</v>
      </c>
      <c r="G4" s="61">
        <f t="shared" si="1"/>
        <v>0.59949442900445049</v>
      </c>
      <c r="H4" s="61">
        <f t="shared" si="1"/>
        <v>0.53641726040543014</v>
      </c>
      <c r="I4" s="61">
        <f t="shared" si="1"/>
        <v>0.63024324335725235</v>
      </c>
      <c r="J4" s="61">
        <f t="shared" si="1"/>
        <v>0.66410205860840044</v>
      </c>
      <c r="K4" s="61">
        <f t="shared" si="1"/>
        <v>0.65480606242809969</v>
      </c>
      <c r="L4" s="61">
        <f t="shared" si="1"/>
        <v>0.60277446933355905</v>
      </c>
      <c r="M4" s="61">
        <f t="shared" si="1"/>
        <v>0.73760001181757739</v>
      </c>
      <c r="N4" s="61">
        <f t="shared" si="1"/>
        <v>0.78198304311903111</v>
      </c>
      <c r="O4" s="61">
        <f t="shared" si="1"/>
        <v>0.75082206341046154</v>
      </c>
      <c r="P4" s="61">
        <f t="shared" si="1"/>
        <v>0.41184345080732759</v>
      </c>
      <c r="Q4" s="494">
        <f t="shared" si="1"/>
        <v>0.29216528954414611</v>
      </c>
      <c r="T4" s="326">
        <v>360</v>
      </c>
      <c r="U4" s="213">
        <f>C8</f>
        <v>0.40925091981988404</v>
      </c>
      <c r="V4" s="213">
        <f>C28</f>
        <v>0.52721178241397515</v>
      </c>
      <c r="W4" s="213">
        <f>C48</f>
        <v>0.54225709698884439</v>
      </c>
      <c r="X4" s="213">
        <f>C68</f>
        <v>0.58815815855615028</v>
      </c>
      <c r="Y4" s="213">
        <f>C88</f>
        <v>0.60364436685381417</v>
      </c>
      <c r="Z4" s="213">
        <f>C108</f>
        <v>0.41403598282883758</v>
      </c>
      <c r="AA4" s="213">
        <f>C128</f>
        <v>0.46349065030397113</v>
      </c>
      <c r="AB4" s="213">
        <f>C148</f>
        <v>0.50073760741193174</v>
      </c>
      <c r="AC4" s="213">
        <f>C168</f>
        <v>0.46078605466962974</v>
      </c>
      <c r="AD4" s="213">
        <f>C188</f>
        <v>0.48783109040450129</v>
      </c>
      <c r="AE4" s="213">
        <f t="shared" ref="AE4:AE18" si="2">AVERAGE(U4:AD4)</f>
        <v>0.49974037102515395</v>
      </c>
    </row>
    <row r="5" spans="1:31" ht="15" thickBot="1">
      <c r="A5" s="124" t="s">
        <v>765</v>
      </c>
      <c r="B5" s="61">
        <f>MAX(B8,B28,B48,B68,B88,B108,B128,B148,B168,B188)</f>
        <v>0.57376941048613894</v>
      </c>
      <c r="C5" s="61">
        <f t="shared" ref="C5:Q5" si="3">MAX(C8,C28,C48,C68,C88,C108,C128,C148,C168,C188)</f>
        <v>0.60364436685381417</v>
      </c>
      <c r="D5" s="61">
        <f t="shared" si="3"/>
        <v>0.66738197569831703</v>
      </c>
      <c r="E5" s="61">
        <f t="shared" si="3"/>
        <v>0.71598172014878603</v>
      </c>
      <c r="F5" s="61">
        <f t="shared" si="3"/>
        <v>0.73733116169636415</v>
      </c>
      <c r="G5" s="61">
        <f t="shared" si="3"/>
        <v>0.69639474819336722</v>
      </c>
      <c r="H5" s="61">
        <f t="shared" si="3"/>
        <v>0.65855175971448221</v>
      </c>
      <c r="I5" s="61">
        <f t="shared" si="3"/>
        <v>0.697349038426472</v>
      </c>
      <c r="J5" s="61">
        <f t="shared" si="3"/>
        <v>0.77451779789026554</v>
      </c>
      <c r="K5" s="61">
        <f t="shared" si="3"/>
        <v>0.78276665917420463</v>
      </c>
      <c r="L5" s="61">
        <f t="shared" si="3"/>
        <v>0.74403371850844779</v>
      </c>
      <c r="M5" s="61">
        <f t="shared" si="3"/>
        <v>0.84416394680219675</v>
      </c>
      <c r="N5" s="61">
        <f t="shared" si="3"/>
        <v>0.86236992830785375</v>
      </c>
      <c r="O5" s="61">
        <f t="shared" si="3"/>
        <v>0.82786344868286699</v>
      </c>
      <c r="P5" s="61">
        <f t="shared" si="3"/>
        <v>0.51390947367596818</v>
      </c>
      <c r="Q5" s="494">
        <f t="shared" si="3"/>
        <v>0.4073727796046267</v>
      </c>
      <c r="T5" s="326">
        <v>375</v>
      </c>
      <c r="U5" s="213">
        <f>D8</f>
        <v>0.5255162413964457</v>
      </c>
      <c r="V5" s="213">
        <f>D28</f>
        <v>0.60300104094284501</v>
      </c>
      <c r="W5" s="213">
        <f>D48</f>
        <v>0.62318251531573876</v>
      </c>
      <c r="X5" s="213">
        <f>D68</f>
        <v>0.65032505087557269</v>
      </c>
      <c r="Y5" s="213">
        <f>D88</f>
        <v>0.66738197569831703</v>
      </c>
      <c r="Z5" s="213">
        <f>D108</f>
        <v>0.51012978677930942</v>
      </c>
      <c r="AA5" s="213">
        <f>D128</f>
        <v>0.55056176073257002</v>
      </c>
      <c r="AB5" s="213">
        <f>D148</f>
        <v>0.5982074518924837</v>
      </c>
      <c r="AC5" s="213">
        <f>D168</f>
        <v>0.54741372182629777</v>
      </c>
      <c r="AD5" s="213">
        <f>D188</f>
        <v>0.57853113370926479</v>
      </c>
      <c r="AE5" s="213">
        <f t="shared" si="2"/>
        <v>0.58542506791688453</v>
      </c>
    </row>
    <row r="6" spans="1:31" ht="15" thickBot="1">
      <c r="A6" s="73" t="s">
        <v>766</v>
      </c>
      <c r="B6" s="495">
        <f>COUNT(B8,B28,B48,B68,B88,B108,B128,B148,B168,B188)</f>
        <v>10</v>
      </c>
      <c r="C6" s="495">
        <f t="shared" ref="C6:Q6" si="4">COUNT(C8,C28,C48,C68,C88,C108,C128,C148,C168,C188)</f>
        <v>10</v>
      </c>
      <c r="D6" s="495">
        <f t="shared" si="4"/>
        <v>10</v>
      </c>
      <c r="E6" s="495">
        <f t="shared" si="4"/>
        <v>10</v>
      </c>
      <c r="F6" s="495">
        <f t="shared" si="4"/>
        <v>10</v>
      </c>
      <c r="G6" s="495">
        <f t="shared" si="4"/>
        <v>10</v>
      </c>
      <c r="H6" s="495">
        <f t="shared" si="4"/>
        <v>10</v>
      </c>
      <c r="I6" s="495">
        <f t="shared" si="4"/>
        <v>10</v>
      </c>
      <c r="J6" s="495">
        <f t="shared" si="4"/>
        <v>10</v>
      </c>
      <c r="K6" s="495">
        <f t="shared" si="4"/>
        <v>10</v>
      </c>
      <c r="L6" s="495">
        <f t="shared" si="4"/>
        <v>10</v>
      </c>
      <c r="M6" s="495">
        <f t="shared" si="4"/>
        <v>10</v>
      </c>
      <c r="N6" s="495">
        <f t="shared" si="4"/>
        <v>10</v>
      </c>
      <c r="O6" s="495">
        <f t="shared" si="4"/>
        <v>10</v>
      </c>
      <c r="P6" s="495">
        <f t="shared" si="4"/>
        <v>10</v>
      </c>
      <c r="Q6" s="496">
        <f t="shared" si="4"/>
        <v>10</v>
      </c>
      <c r="T6" s="326">
        <v>400</v>
      </c>
      <c r="U6" s="213">
        <f>E8</f>
        <v>0.65431061946163305</v>
      </c>
      <c r="V6" s="213">
        <f>E28</f>
        <v>0.68338762598373815</v>
      </c>
      <c r="W6" s="213">
        <f>E48</f>
        <v>0.71598172014878603</v>
      </c>
      <c r="X6" s="213">
        <f>E68</f>
        <v>0.71000973352508379</v>
      </c>
      <c r="Y6" s="213">
        <f>E88</f>
        <v>0.71533537003691217</v>
      </c>
      <c r="Z6" s="213">
        <f>E108</f>
        <v>0.63572121379435975</v>
      </c>
      <c r="AA6" s="213">
        <f>E128</f>
        <v>0.65004882342881176</v>
      </c>
      <c r="AB6" s="213">
        <f>E148</f>
        <v>0.71127053307310872</v>
      </c>
      <c r="AC6" s="213">
        <f>E168</f>
        <v>0.66568816518160923</v>
      </c>
      <c r="AD6" s="213">
        <f>E188</f>
        <v>0.68715567081522888</v>
      </c>
      <c r="AE6" s="213">
        <f t="shared" si="2"/>
        <v>0.68289094754492718</v>
      </c>
    </row>
    <row r="7" spans="1:31" ht="15" thickBot="1">
      <c r="A7" s="524" t="s">
        <v>767</v>
      </c>
      <c r="B7" s="524"/>
      <c r="C7" s="524"/>
      <c r="D7" s="524"/>
      <c r="E7" s="524"/>
      <c r="F7" s="524"/>
      <c r="G7" s="524"/>
      <c r="H7" s="524"/>
      <c r="I7" s="524"/>
      <c r="J7" s="524"/>
      <c r="K7" s="524"/>
      <c r="L7" s="524"/>
      <c r="M7" s="524"/>
      <c r="N7" s="524"/>
      <c r="O7" s="524"/>
      <c r="P7" s="524"/>
      <c r="Q7" s="524"/>
      <c r="T7" s="326">
        <v>450</v>
      </c>
      <c r="U7" s="213">
        <f>F8</f>
        <v>0.72975764073360316</v>
      </c>
      <c r="V7" s="213">
        <f>F28</f>
        <v>0.67568753309468643</v>
      </c>
      <c r="W7" s="213">
        <f>F48</f>
        <v>0.70533434398380945</v>
      </c>
      <c r="X7" s="213">
        <f>F68</f>
        <v>0.69670194889986237</v>
      </c>
      <c r="Y7" s="213">
        <f>F88</f>
        <v>0.70500102716196411</v>
      </c>
      <c r="Z7" s="213">
        <f>F108</f>
        <v>0.68808686134205399</v>
      </c>
      <c r="AA7" s="213">
        <f>F128</f>
        <v>0.7005313727633995</v>
      </c>
      <c r="AB7" s="213">
        <f>F148</f>
        <v>0.73733116169636415</v>
      </c>
      <c r="AC7" s="213">
        <f>F168</f>
        <v>0.68312029911111771</v>
      </c>
      <c r="AD7" s="213">
        <f>F188</f>
        <v>0.72087115678523339</v>
      </c>
      <c r="AE7" s="213">
        <f t="shared" si="2"/>
        <v>0.70424233455720942</v>
      </c>
    </row>
    <row r="8" spans="1:31" ht="15" thickBot="1">
      <c r="A8" s="124" t="s">
        <v>161</v>
      </c>
      <c r="B8" s="127">
        <f>IF(AND(ISNUMBER(B9),ISNUMBER(B10),ISNUMBER(B11)),SUM(B9:B11),"")</f>
        <v>0.21023857261625645</v>
      </c>
      <c r="C8" s="127">
        <f t="shared" ref="C8:Q8" si="5">IF(AND(ISNUMBER(C9),ISNUMBER(C10),ISNUMBER(C11)),SUM(C9:C11),"")</f>
        <v>0.40925091981988404</v>
      </c>
      <c r="D8" s="127">
        <f t="shared" si="5"/>
        <v>0.5255162413964457</v>
      </c>
      <c r="E8" s="127">
        <f t="shared" si="5"/>
        <v>0.65431061946163305</v>
      </c>
      <c r="F8" s="127">
        <f t="shared" si="5"/>
        <v>0.72975764073360316</v>
      </c>
      <c r="G8" s="127">
        <f t="shared" si="5"/>
        <v>0.68749745751791103</v>
      </c>
      <c r="H8" s="127">
        <f t="shared" si="5"/>
        <v>0.62765284426301426</v>
      </c>
      <c r="I8" s="127">
        <f t="shared" si="5"/>
        <v>0.69262510431377289</v>
      </c>
      <c r="J8" s="127">
        <f t="shared" si="5"/>
        <v>0.77451779789026554</v>
      </c>
      <c r="K8" s="127">
        <f t="shared" si="5"/>
        <v>0.78276665917420463</v>
      </c>
      <c r="L8" s="127">
        <f t="shared" si="5"/>
        <v>0.74403371850844779</v>
      </c>
      <c r="M8" s="127">
        <f t="shared" si="5"/>
        <v>0.84416394680219675</v>
      </c>
      <c r="N8" s="127">
        <f t="shared" si="5"/>
        <v>0.86236992830785375</v>
      </c>
      <c r="O8" s="127">
        <f t="shared" si="5"/>
        <v>0.82786344868286699</v>
      </c>
      <c r="P8" s="127">
        <f t="shared" si="5"/>
        <v>0.51390947367596818</v>
      </c>
      <c r="Q8" s="127">
        <f t="shared" si="5"/>
        <v>0.4073727796046267</v>
      </c>
      <c r="R8" s="349"/>
      <c r="T8" s="326">
        <v>500</v>
      </c>
      <c r="U8" s="213">
        <f>G8</f>
        <v>0.68749745751791103</v>
      </c>
      <c r="V8" s="213">
        <f>G28</f>
        <v>0.59949442900445049</v>
      </c>
      <c r="W8" s="213">
        <f>G48</f>
        <v>0.62292842091880307</v>
      </c>
      <c r="X8" s="213">
        <f>G68</f>
        <v>0.6319819579113457</v>
      </c>
      <c r="Y8" s="213">
        <f>G88</f>
        <v>0.63049470985210099</v>
      </c>
      <c r="Z8" s="213">
        <f>G108</f>
        <v>0.65167513076841921</v>
      </c>
      <c r="AA8" s="213">
        <f>G128</f>
        <v>0.66723280818062058</v>
      </c>
      <c r="AB8" s="213">
        <f>G148</f>
        <v>0.67418272283470448</v>
      </c>
      <c r="AC8" s="213">
        <f>G168</f>
        <v>0.66106180119144442</v>
      </c>
      <c r="AD8" s="213">
        <f>G188</f>
        <v>0.69639474819336722</v>
      </c>
      <c r="AE8" s="213">
        <f t="shared" si="2"/>
        <v>0.65229441863731674</v>
      </c>
    </row>
    <row r="9" spans="1:31">
      <c r="A9" s="123" t="s">
        <v>162</v>
      </c>
      <c r="B9" s="180">
        <f>IF(AND(ISNUMBER(B12), ISNUMBER(B13),ISNUMBER(B15),ISNUMBER(B17),ISNUMBER(B20),ISNUMBER(B23)),B12*B13*B15*B17*B20*B23,"")</f>
        <v>0.21023857261625645</v>
      </c>
      <c r="C9" s="180">
        <f t="shared" ref="C9:Q9" si="6">IF(AND(ISNUMBER(C12), ISNUMBER(C13),ISNUMBER(C15),ISNUMBER(C17),ISNUMBER(C20),ISNUMBER(C23)),C12*C13*C15*C17*C20*C23,"")</f>
        <v>0.40925091981988404</v>
      </c>
      <c r="D9" s="180">
        <f t="shared" si="6"/>
        <v>0.5255162413964457</v>
      </c>
      <c r="E9" s="180">
        <f t="shared" si="6"/>
        <v>0.65431061946163305</v>
      </c>
      <c r="F9" s="180">
        <f t="shared" si="6"/>
        <v>0.72975764073360316</v>
      </c>
      <c r="G9" s="180">
        <f t="shared" si="6"/>
        <v>0.68749745751791103</v>
      </c>
      <c r="H9" s="180">
        <f t="shared" si="6"/>
        <v>0.62751298134177902</v>
      </c>
      <c r="I9" s="180">
        <f t="shared" si="6"/>
        <v>9.08316982295382E-3</v>
      </c>
      <c r="J9" s="180">
        <f t="shared" si="6"/>
        <v>0</v>
      </c>
      <c r="K9" s="180">
        <f t="shared" si="6"/>
        <v>0</v>
      </c>
      <c r="L9" s="180">
        <f t="shared" si="6"/>
        <v>0</v>
      </c>
      <c r="M9" s="180">
        <f t="shared" si="6"/>
        <v>0</v>
      </c>
      <c r="N9" s="180">
        <f t="shared" si="6"/>
        <v>0</v>
      </c>
      <c r="O9" s="180">
        <f t="shared" si="6"/>
        <v>0</v>
      </c>
      <c r="P9" s="180">
        <f t="shared" si="6"/>
        <v>0</v>
      </c>
      <c r="Q9" s="180">
        <f t="shared" si="6"/>
        <v>0</v>
      </c>
      <c r="R9" s="349"/>
      <c r="T9" s="326">
        <v>550</v>
      </c>
      <c r="U9" s="213">
        <f>H8</f>
        <v>0.62765284426301426</v>
      </c>
      <c r="V9" s="213">
        <f>H28</f>
        <v>0.53742804532260058</v>
      </c>
      <c r="W9" s="213">
        <f>H48</f>
        <v>0.56660274655337328</v>
      </c>
      <c r="X9" s="213">
        <f>H68</f>
        <v>0.53641726040543014</v>
      </c>
      <c r="Y9" s="213">
        <f>H88</f>
        <v>0.54300210605042698</v>
      </c>
      <c r="Z9" s="213">
        <f>H108</f>
        <v>0.61391656172032205</v>
      </c>
      <c r="AA9" s="213">
        <f>H128</f>
        <v>0.61397920333762934</v>
      </c>
      <c r="AB9" s="213">
        <f>H148</f>
        <v>0.59849642710365081</v>
      </c>
      <c r="AC9" s="213">
        <f>H168</f>
        <v>0.62129138171871012</v>
      </c>
      <c r="AD9" s="213">
        <f>H188</f>
        <v>0.65855175971448221</v>
      </c>
      <c r="AE9" s="213">
        <f t="shared" si="2"/>
        <v>0.59173383361896403</v>
      </c>
    </row>
    <row r="10" spans="1:31">
      <c r="A10" s="123" t="s">
        <v>163</v>
      </c>
      <c r="B10" s="180">
        <f>IF(AND(ISNUMBER(B12),ISNUMBER(B13), ISNUMBER(B16), ISNUMBER(B18), ISNUMBER(B21), ISNUMBER(B24)),B12*B13*B16*B18*B21*B24,"")</f>
        <v>0</v>
      </c>
      <c r="C10" s="180">
        <f t="shared" ref="C10:Q10" si="7">IF(AND(ISNUMBER(C12),ISNUMBER(C13), ISNUMBER(C16), ISNUMBER(C18), ISNUMBER(C21), ISNUMBER(C24)),C12*C13*C16*C18*C21*C24,"")</f>
        <v>0</v>
      </c>
      <c r="D10" s="180">
        <f t="shared" si="7"/>
        <v>0</v>
      </c>
      <c r="E10" s="180">
        <f t="shared" si="7"/>
        <v>0</v>
      </c>
      <c r="F10" s="180">
        <f t="shared" si="7"/>
        <v>0</v>
      </c>
      <c r="G10" s="180">
        <f t="shared" si="7"/>
        <v>0</v>
      </c>
      <c r="H10" s="180">
        <f t="shared" si="7"/>
        <v>1.3986292123522535E-4</v>
      </c>
      <c r="I10" s="180">
        <f t="shared" si="7"/>
        <v>0.68354193449081901</v>
      </c>
      <c r="J10" s="180">
        <f t="shared" si="7"/>
        <v>0.77451779789026554</v>
      </c>
      <c r="K10" s="180">
        <f t="shared" si="7"/>
        <v>0.78276665917420463</v>
      </c>
      <c r="L10" s="180">
        <f t="shared" si="7"/>
        <v>0.68868981200411039</v>
      </c>
      <c r="M10" s="180">
        <f t="shared" si="7"/>
        <v>0</v>
      </c>
      <c r="N10" s="180">
        <f t="shared" si="7"/>
        <v>0</v>
      </c>
      <c r="O10" s="180">
        <f t="shared" si="7"/>
        <v>0</v>
      </c>
      <c r="P10" s="180">
        <f t="shared" si="7"/>
        <v>0</v>
      </c>
      <c r="Q10" s="180">
        <f t="shared" si="7"/>
        <v>0</v>
      </c>
      <c r="R10" s="349"/>
      <c r="T10" s="326">
        <v>600</v>
      </c>
      <c r="U10" s="213">
        <f>I8</f>
        <v>0.69262510431377289</v>
      </c>
      <c r="V10" s="213">
        <f>I28</f>
        <v>0.6392842850288345</v>
      </c>
      <c r="W10" s="213">
        <f>I48</f>
        <v>0.64662669309754495</v>
      </c>
      <c r="X10" s="213">
        <f>I68</f>
        <v>0.63024324335725235</v>
      </c>
      <c r="Y10" s="213">
        <f>I88</f>
        <v>0.63341207627873308</v>
      </c>
      <c r="Z10" s="213">
        <f>I108</f>
        <v>0.64349802999280414</v>
      </c>
      <c r="AA10" s="213">
        <f>I128</f>
        <v>0.697349038426472</v>
      </c>
      <c r="AB10" s="213">
        <f>I148</f>
        <v>0.64208447725034912</v>
      </c>
      <c r="AC10" s="213">
        <f>I168</f>
        <v>0.64949374199745602</v>
      </c>
      <c r="AD10" s="213">
        <f>I188</f>
        <v>0.64588529240018366</v>
      </c>
      <c r="AE10" s="213">
        <f t="shared" si="2"/>
        <v>0.65205019821434029</v>
      </c>
    </row>
    <row r="11" spans="1:31">
      <c r="A11" s="192" t="s">
        <v>164</v>
      </c>
      <c r="B11" s="16">
        <f>IF(AND(ISNUMBER(B12),ISNUMBER(B14),ISNUMBER(B19),ISNUMBER(B22),ISNUMBER(B24)),B12*B14*B19*B22*B24,"")</f>
        <v>0</v>
      </c>
      <c r="C11" s="16">
        <f t="shared" ref="C11:Q11" si="8">IF(AND(ISNUMBER(C12),ISNUMBER(C14),ISNUMBER(C19),ISNUMBER(C22),ISNUMBER(C24)),C12*C14*C19*C22*C24,"")</f>
        <v>0</v>
      </c>
      <c r="D11" s="16">
        <f t="shared" si="8"/>
        <v>0</v>
      </c>
      <c r="E11" s="16">
        <f t="shared" si="8"/>
        <v>0</v>
      </c>
      <c r="F11" s="16">
        <f t="shared" si="8"/>
        <v>0</v>
      </c>
      <c r="G11" s="16">
        <f t="shared" si="8"/>
        <v>0</v>
      </c>
      <c r="H11" s="16">
        <f t="shared" si="8"/>
        <v>0</v>
      </c>
      <c r="I11" s="16">
        <f t="shared" si="8"/>
        <v>0</v>
      </c>
      <c r="J11" s="16">
        <f t="shared" si="8"/>
        <v>0</v>
      </c>
      <c r="K11" s="16">
        <f t="shared" si="8"/>
        <v>0</v>
      </c>
      <c r="L11" s="16">
        <f t="shared" si="8"/>
        <v>5.5343906504337376E-2</v>
      </c>
      <c r="M11" s="16">
        <f t="shared" si="8"/>
        <v>0.84416394680219675</v>
      </c>
      <c r="N11" s="16">
        <f t="shared" si="8"/>
        <v>0.86236992830785375</v>
      </c>
      <c r="O11" s="16">
        <f t="shared" si="8"/>
        <v>0.82786344868286699</v>
      </c>
      <c r="P11" s="16">
        <f t="shared" si="8"/>
        <v>0.51390947367596818</v>
      </c>
      <c r="Q11" s="16">
        <f t="shared" si="8"/>
        <v>0.4073727796046267</v>
      </c>
      <c r="R11" s="349"/>
      <c r="T11" s="326">
        <v>650</v>
      </c>
      <c r="U11" s="213">
        <f>J8</f>
        <v>0.77451779789026554</v>
      </c>
      <c r="V11" s="213">
        <f>J28</f>
        <v>0.67082178642483092</v>
      </c>
      <c r="W11" s="213">
        <f>J48</f>
        <v>0.67398310034141307</v>
      </c>
      <c r="X11" s="213">
        <f>J68</f>
        <v>0.66410205860840044</v>
      </c>
      <c r="Y11" s="213">
        <f>J88</f>
        <v>0.66580354444413858</v>
      </c>
      <c r="Z11" s="213">
        <f>J108</f>
        <v>0.68882644412014049</v>
      </c>
      <c r="AA11" s="213">
        <f>J128</f>
        <v>0.72021370669465012</v>
      </c>
      <c r="AB11" s="213">
        <f>J148</f>
        <v>0.67061422950255756</v>
      </c>
      <c r="AC11" s="213">
        <f>J168</f>
        <v>0.6925182837922077</v>
      </c>
      <c r="AD11" s="213">
        <f>J188</f>
        <v>0.67725304903375749</v>
      </c>
      <c r="AE11" s="213">
        <f t="shared" si="2"/>
        <v>0.68986540008523634</v>
      </c>
    </row>
    <row r="12" spans="1:31">
      <c r="A12" s="148" t="s">
        <v>165</v>
      </c>
      <c r="B12" s="16">
        <v>0.57775299999999996</v>
      </c>
      <c r="C12" s="16">
        <v>0.99254299999999995</v>
      </c>
      <c r="D12" s="16">
        <v>0.99628000000000005</v>
      </c>
      <c r="E12" s="16">
        <v>0.996286</v>
      </c>
      <c r="F12" s="16">
        <v>0.99330099999999999</v>
      </c>
      <c r="G12" s="16">
        <v>0.99202900000000005</v>
      </c>
      <c r="H12" s="16">
        <v>0.98450300000000002</v>
      </c>
      <c r="I12" s="16">
        <v>0.98752700000000004</v>
      </c>
      <c r="J12" s="16">
        <v>0.98783600000000005</v>
      </c>
      <c r="K12" s="16">
        <v>0.98769099999999999</v>
      </c>
      <c r="L12" s="16">
        <v>0.98522299999999996</v>
      </c>
      <c r="M12" s="16">
        <v>0.98180099999999992</v>
      </c>
      <c r="N12" s="16">
        <v>0.98411100000000007</v>
      </c>
      <c r="O12" s="16">
        <v>0.98618799999999995</v>
      </c>
      <c r="P12" s="16">
        <v>0.98297400000000001</v>
      </c>
      <c r="Q12" s="16">
        <v>0.98564499999999999</v>
      </c>
      <c r="R12" s="349" t="s">
        <v>837</v>
      </c>
      <c r="T12" s="326">
        <v>700</v>
      </c>
      <c r="U12" s="213">
        <f>K8</f>
        <v>0.78276665917420463</v>
      </c>
      <c r="V12" s="213">
        <f>K28</f>
        <v>0.66274223308307423</v>
      </c>
      <c r="W12" s="213">
        <f>K48</f>
        <v>0.65817829935026528</v>
      </c>
      <c r="X12" s="213">
        <f>K68</f>
        <v>0.65532096575956034</v>
      </c>
      <c r="Y12" s="213">
        <f>K88</f>
        <v>0.6564799245237305</v>
      </c>
      <c r="Z12" s="213">
        <f>K108</f>
        <v>0.67214446887194645</v>
      </c>
      <c r="AA12" s="213">
        <f>K128</f>
        <v>0.71059431399740358</v>
      </c>
      <c r="AB12" s="213">
        <f>K148</f>
        <v>0.65480606242809969</v>
      </c>
      <c r="AC12" s="213">
        <f>K168</f>
        <v>0.69172747117465316</v>
      </c>
      <c r="AD12" s="213">
        <f>K188</f>
        <v>0.67957404891338846</v>
      </c>
      <c r="AE12" s="213">
        <f t="shared" si="2"/>
        <v>0.68243344472763279</v>
      </c>
    </row>
    <row r="13" spans="1:31">
      <c r="A13" s="148" t="s">
        <v>166</v>
      </c>
      <c r="B13" s="16">
        <v>0.96350103870719772</v>
      </c>
      <c r="C13" s="16">
        <v>0.96376520799999998</v>
      </c>
      <c r="D13" s="16">
        <v>0.96673006399999994</v>
      </c>
      <c r="E13" s="16">
        <v>0.97100787200000005</v>
      </c>
      <c r="F13" s="16">
        <v>0.97115591999999995</v>
      </c>
      <c r="G13" s="16">
        <v>0.96541224199999998</v>
      </c>
      <c r="H13" s="16">
        <v>0.96974556799999989</v>
      </c>
      <c r="I13" s="16">
        <v>0.95154150799999992</v>
      </c>
      <c r="J13" s="16">
        <v>0.96426584400000004</v>
      </c>
      <c r="K13" s="16">
        <v>0.97098644399999989</v>
      </c>
      <c r="L13" s="16">
        <v>0.90454731651811093</v>
      </c>
      <c r="M13" s="16">
        <v>1.2917188E-2</v>
      </c>
      <c r="N13" s="16">
        <v>6.9806579999999998E-3</v>
      </c>
      <c r="O13" s="16">
        <v>4.9128560000000002E-3</v>
      </c>
      <c r="P13" s="16">
        <v>2.4457140000000003E-3</v>
      </c>
      <c r="Q13" s="16">
        <v>4.09567E-3</v>
      </c>
      <c r="R13" s="349" t="s">
        <v>835</v>
      </c>
      <c r="T13" s="326">
        <v>750</v>
      </c>
      <c r="U13" s="213">
        <f>L8</f>
        <v>0.74403371850844779</v>
      </c>
      <c r="V13" s="213">
        <f>L28</f>
        <v>0.62851232378690891</v>
      </c>
      <c r="W13" s="213">
        <f>L48</f>
        <v>0.60277446933355905</v>
      </c>
      <c r="X13" s="213">
        <f>L68</f>
        <v>0.60706741643732953</v>
      </c>
      <c r="Y13" s="213">
        <f>L88</f>
        <v>0.61079578656525801</v>
      </c>
      <c r="Z13" s="213">
        <f>L108</f>
        <v>0.64086846087871485</v>
      </c>
      <c r="AA13" s="213">
        <f>L128</f>
        <v>0.66394559328489811</v>
      </c>
      <c r="AB13" s="213">
        <f>L148</f>
        <v>0.62112083516233496</v>
      </c>
      <c r="AC13" s="213">
        <f>L168</f>
        <v>0.64599259745054927</v>
      </c>
      <c r="AD13" s="213">
        <f>L188</f>
        <v>0.63061045136446892</v>
      </c>
      <c r="AE13" s="213">
        <f t="shared" si="2"/>
        <v>0.63957216527724703</v>
      </c>
    </row>
    <row r="14" spans="1:31">
      <c r="A14" s="148" t="s">
        <v>167</v>
      </c>
      <c r="B14" s="16">
        <v>7.3034257148698019E-3</v>
      </c>
      <c r="C14" s="16">
        <v>5.8274506468105041E-3</v>
      </c>
      <c r="D14" s="16">
        <v>3.0810711269038818E-3</v>
      </c>
      <c r="E14" s="16">
        <v>1.5221134603313915E-4</v>
      </c>
      <c r="F14" s="16">
        <v>5.293382398925163E-5</v>
      </c>
      <c r="G14" s="16">
        <v>5.4637463672322934E-3</v>
      </c>
      <c r="H14" s="16">
        <v>1.7118413096161931E-3</v>
      </c>
      <c r="I14" s="16">
        <v>1.5518093417037184E-2</v>
      </c>
      <c r="J14" s="16">
        <v>2.433128328389913E-3</v>
      </c>
      <c r="K14" s="16">
        <v>2.9978139097325729E-4</v>
      </c>
      <c r="L14" s="16">
        <v>6.8468348140337545E-2</v>
      </c>
      <c r="M14" s="16">
        <v>0.95000283515115891</v>
      </c>
      <c r="N14" s="16">
        <v>0.95044142135098797</v>
      </c>
      <c r="O14" s="16">
        <v>0.95437125970687808</v>
      </c>
      <c r="P14" s="16">
        <v>0.95756871023338508</v>
      </c>
      <c r="Q14" s="16">
        <v>0.95388133557927623</v>
      </c>
      <c r="R14" s="349" t="s">
        <v>836</v>
      </c>
      <c r="T14" s="326">
        <v>800</v>
      </c>
      <c r="U14" s="213">
        <f>M8</f>
        <v>0.84416394680219675</v>
      </c>
      <c r="V14" s="213">
        <f>M28</f>
        <v>0.80281567702034595</v>
      </c>
      <c r="W14" s="213">
        <f>M48</f>
        <v>0.73760001181757739</v>
      </c>
      <c r="X14" s="213">
        <f>M68</f>
        <v>0.82498677920237906</v>
      </c>
      <c r="Y14" s="213">
        <f>M88</f>
        <v>0.82498677920237906</v>
      </c>
      <c r="Z14" s="213">
        <f>M108</f>
        <v>0.79176622718517986</v>
      </c>
      <c r="AA14" s="213">
        <f>M128</f>
        <v>0.7933775659555673</v>
      </c>
      <c r="AB14" s="213">
        <f>M148</f>
        <v>0.80093833154660121</v>
      </c>
      <c r="AC14" s="213">
        <f>M168</f>
        <v>0.76047787931098298</v>
      </c>
      <c r="AD14" s="213">
        <f>M188</f>
        <v>0.77779025419689984</v>
      </c>
      <c r="AE14" s="213">
        <f t="shared" si="2"/>
        <v>0.79589034522401092</v>
      </c>
    </row>
    <row r="15" spans="1:31">
      <c r="A15" s="148" t="s">
        <v>168</v>
      </c>
      <c r="B15" s="16">
        <v>0.990846</v>
      </c>
      <c r="C15" s="16">
        <v>0.99685900000000005</v>
      </c>
      <c r="D15" s="16">
        <v>0.99561900000000003</v>
      </c>
      <c r="E15" s="16">
        <v>0.993757</v>
      </c>
      <c r="F15" s="16">
        <v>0.99663500000000005</v>
      </c>
      <c r="G15" s="16">
        <v>0.99578299999999997</v>
      </c>
      <c r="H15" s="16">
        <v>0.99754299999999996</v>
      </c>
      <c r="I15" s="16">
        <v>1.9059E-2</v>
      </c>
      <c r="J15" s="16">
        <v>2.885E-3</v>
      </c>
      <c r="K15" s="16">
        <v>2.3909999999999999E-3</v>
      </c>
      <c r="L15" s="16">
        <v>6.5789999999999998E-3</v>
      </c>
      <c r="M15" s="16">
        <v>1.1497E-2</v>
      </c>
      <c r="N15" s="16">
        <v>0.37515199999999999</v>
      </c>
      <c r="O15" s="16">
        <v>0.86092500000000005</v>
      </c>
      <c r="P15" s="16">
        <v>0.66133600000000003</v>
      </c>
      <c r="Q15" s="16">
        <v>0.92452500000000004</v>
      </c>
      <c r="R15" s="349" t="s">
        <v>811</v>
      </c>
      <c r="T15" s="326">
        <v>850</v>
      </c>
      <c r="U15" s="213">
        <f>N8</f>
        <v>0.86236992830785375</v>
      </c>
      <c r="V15" s="213">
        <f>N28</f>
        <v>0.79448623267241547</v>
      </c>
      <c r="W15" s="213">
        <f>N48</f>
        <v>0.79777901015816199</v>
      </c>
      <c r="X15" s="213">
        <f>N68</f>
        <v>0.81513598905485507</v>
      </c>
      <c r="Y15" s="213">
        <f>N88</f>
        <v>0.81513598905485507</v>
      </c>
      <c r="Z15" s="213">
        <f>N108</f>
        <v>0.81349405205732461</v>
      </c>
      <c r="AA15" s="213">
        <f>N128</f>
        <v>0.79407271772581933</v>
      </c>
      <c r="AB15" s="213">
        <f>N148</f>
        <v>0.80476243067282749</v>
      </c>
      <c r="AC15" s="213">
        <f>N168</f>
        <v>0.7989493153072017</v>
      </c>
      <c r="AD15" s="213">
        <f>N188</f>
        <v>0.78198304311903111</v>
      </c>
      <c r="AE15" s="213">
        <f t="shared" si="2"/>
        <v>0.80781687081303455</v>
      </c>
    </row>
    <row r="16" spans="1:31">
      <c r="A16" s="148" t="s">
        <v>169</v>
      </c>
      <c r="B16" s="16">
        <v>1.8979346121382442E-3</v>
      </c>
      <c r="C16" s="16">
        <v>8.3214498415663731E-4</v>
      </c>
      <c r="D16" s="16">
        <v>8.7476703779958565E-4</v>
      </c>
      <c r="E16" s="16">
        <v>3.3269607584681784E-3</v>
      </c>
      <c r="F16" s="16">
        <v>4.2624018879687422E-4</v>
      </c>
      <c r="G16" s="16">
        <v>2.1803263497132347E-3</v>
      </c>
      <c r="H16" s="16">
        <v>2.3678762800000001E-4</v>
      </c>
      <c r="I16" s="16">
        <v>0.97537293578999995</v>
      </c>
      <c r="J16" s="16">
        <v>0.99229054579000009</v>
      </c>
      <c r="K16" s="16">
        <v>0.993059453727</v>
      </c>
      <c r="L16" s="16">
        <v>0.99000121044900002</v>
      </c>
      <c r="M16" s="16">
        <v>0.97798382684000007</v>
      </c>
      <c r="N16" s="16">
        <v>0.53847419256232887</v>
      </c>
      <c r="O16" s="16">
        <v>0.13107741811102591</v>
      </c>
      <c r="P16" s="16">
        <v>0.26916084054141931</v>
      </c>
      <c r="Q16" s="16">
        <v>7.0798686743781869E-2</v>
      </c>
      <c r="R16" s="349" t="s">
        <v>811</v>
      </c>
      <c r="T16" s="326">
        <v>900</v>
      </c>
      <c r="U16" s="213">
        <f>O8</f>
        <v>0.82786344868286699</v>
      </c>
      <c r="V16" s="213">
        <f>O28</f>
        <v>0.75082206341046154</v>
      </c>
      <c r="W16" s="213">
        <f>O48</f>
        <v>0.79475757410257497</v>
      </c>
      <c r="X16" s="213">
        <f>O68</f>
        <v>0.76463199436803342</v>
      </c>
      <c r="Y16" s="213">
        <f>O88</f>
        <v>0.76463199436803342</v>
      </c>
      <c r="Z16" s="213">
        <f>O108</f>
        <v>0.78728610824491352</v>
      </c>
      <c r="AA16" s="213">
        <f>O128</f>
        <v>0.77279945084563739</v>
      </c>
      <c r="AB16" s="213">
        <f>O148</f>
        <v>0.78694963867385304</v>
      </c>
      <c r="AC16" s="213">
        <f>O168</f>
        <v>0.78929618471287744</v>
      </c>
      <c r="AD16" s="213">
        <f>O188</f>
        <v>0.7532057779684026</v>
      </c>
      <c r="AE16" s="213">
        <f t="shared" si="2"/>
        <v>0.77922442353776544</v>
      </c>
    </row>
    <row r="17" spans="1:31">
      <c r="A17" s="148" t="s">
        <v>170</v>
      </c>
      <c r="B17" s="16">
        <v>0.58467943476100004</v>
      </c>
      <c r="C17" s="16">
        <v>0.66</v>
      </c>
      <c r="D17" s="16">
        <v>0.73761819565499998</v>
      </c>
      <c r="E17" s="16">
        <v>0.80500000000000005</v>
      </c>
      <c r="F17" s="16">
        <v>0.84956710542500002</v>
      </c>
      <c r="G17" s="16">
        <v>0.82399999999999995</v>
      </c>
      <c r="H17" s="16">
        <v>0.75</v>
      </c>
      <c r="I17" s="16">
        <v>0.59720660111900004</v>
      </c>
      <c r="J17" s="16">
        <v>0</v>
      </c>
      <c r="K17" s="16">
        <v>0</v>
      </c>
      <c r="L17" s="16">
        <v>0</v>
      </c>
      <c r="M17" s="16">
        <v>0</v>
      </c>
      <c r="N17" s="16">
        <v>0</v>
      </c>
      <c r="O17" s="16">
        <v>0</v>
      </c>
      <c r="P17" s="16">
        <v>0</v>
      </c>
      <c r="Q17" s="16">
        <v>0</v>
      </c>
      <c r="R17" s="349" t="s">
        <v>850</v>
      </c>
      <c r="T17" s="326">
        <v>980</v>
      </c>
      <c r="U17" s="213">
        <f>P8</f>
        <v>0.51390947367596818</v>
      </c>
      <c r="V17" s="213">
        <f>P28</f>
        <v>0.41184345080732759</v>
      </c>
      <c r="W17" s="213">
        <f>P48</f>
        <v>0.48596135698440934</v>
      </c>
      <c r="X17" s="213">
        <f>P68</f>
        <v>0.42960681652357041</v>
      </c>
      <c r="Y17" s="213">
        <f>P88</f>
        <v>0.42960681652357041</v>
      </c>
      <c r="Z17" s="213">
        <f>P108</f>
        <v>0.4645173411492311</v>
      </c>
      <c r="AA17" s="213">
        <f>P128</f>
        <v>0.42901526101820237</v>
      </c>
      <c r="AB17" s="213">
        <f>P148</f>
        <v>0.44195647070101096</v>
      </c>
      <c r="AC17" s="213">
        <f>P168</f>
        <v>0.46382501906557305</v>
      </c>
      <c r="AD17" s="213">
        <f>P188</f>
        <v>0.42385241049601335</v>
      </c>
      <c r="AE17" s="213">
        <f t="shared" si="2"/>
        <v>0.44940944169448765</v>
      </c>
    </row>
    <row r="18" spans="1:31">
      <c r="A18" s="148" t="s">
        <v>171</v>
      </c>
      <c r="B18" s="16">
        <v>0</v>
      </c>
      <c r="C18" s="16">
        <v>0</v>
      </c>
      <c r="D18" s="16">
        <v>0</v>
      </c>
      <c r="E18" s="16">
        <v>0</v>
      </c>
      <c r="F18" s="16">
        <v>0</v>
      </c>
      <c r="G18" s="16">
        <v>0</v>
      </c>
      <c r="H18" s="16">
        <v>0.74399999999999999</v>
      </c>
      <c r="I18" s="16">
        <v>0.877</v>
      </c>
      <c r="J18" s="16">
        <v>0.93100000000000005</v>
      </c>
      <c r="K18" s="16">
        <v>0.90600000000000003</v>
      </c>
      <c r="L18" s="16">
        <v>0.84699999999999998</v>
      </c>
      <c r="M18" s="16">
        <v>0</v>
      </c>
      <c r="N18" s="16">
        <v>0</v>
      </c>
      <c r="O18" s="16">
        <v>0</v>
      </c>
      <c r="P18" s="16">
        <v>0</v>
      </c>
      <c r="Q18" s="16">
        <v>0</v>
      </c>
      <c r="R18" s="349" t="s">
        <v>768</v>
      </c>
      <c r="T18" s="326">
        <v>995</v>
      </c>
      <c r="U18" s="213">
        <f>Q8</f>
        <v>0.4073727796046267</v>
      </c>
      <c r="V18" s="213">
        <f>Q28</f>
        <v>0.29216528954414611</v>
      </c>
      <c r="W18" s="213">
        <f>Q48</f>
        <v>0.36104262595202041</v>
      </c>
      <c r="X18" s="213">
        <f>Q68</f>
        <v>0.31473761358108659</v>
      </c>
      <c r="Y18" s="213">
        <f>Q88</f>
        <v>0.31473761358108659</v>
      </c>
      <c r="Z18" s="213">
        <f>Q108</f>
        <v>0.34267492938343569</v>
      </c>
      <c r="AA18" s="213">
        <f>Q128</f>
        <v>0.30448555295679974</v>
      </c>
      <c r="AB18" s="213">
        <f>Q148</f>
        <v>0.31125153864715382</v>
      </c>
      <c r="AC18" s="213">
        <f>Q168</f>
        <v>0.34219157792805799</v>
      </c>
      <c r="AD18" s="213">
        <f>Q188</f>
        <v>0.31006216925960417</v>
      </c>
      <c r="AE18" s="213">
        <f t="shared" si="2"/>
        <v>0.33007216904380182</v>
      </c>
    </row>
    <row r="19" spans="1:31">
      <c r="A19" s="148" t="s">
        <v>172</v>
      </c>
      <c r="B19" s="16">
        <v>0</v>
      </c>
      <c r="C19" s="16">
        <v>0</v>
      </c>
      <c r="D19" s="16">
        <v>0</v>
      </c>
      <c r="E19" s="16">
        <v>0</v>
      </c>
      <c r="F19" s="16">
        <v>0</v>
      </c>
      <c r="G19" s="16">
        <v>0</v>
      </c>
      <c r="H19" s="16">
        <v>0</v>
      </c>
      <c r="I19" s="16">
        <v>0</v>
      </c>
      <c r="J19" s="16">
        <v>0</v>
      </c>
      <c r="K19" s="16">
        <v>0</v>
      </c>
      <c r="L19" s="16">
        <v>0.89300000000000002</v>
      </c>
      <c r="M19" s="16">
        <v>0.96699999999999997</v>
      </c>
      <c r="N19" s="16">
        <v>0.99199999999999999</v>
      </c>
      <c r="O19" s="16">
        <v>0.97</v>
      </c>
      <c r="P19" s="16">
        <v>0.89404571428599999</v>
      </c>
      <c r="Q19" s="16">
        <v>0.90487410714299998</v>
      </c>
      <c r="R19" s="349" t="s">
        <v>768</v>
      </c>
    </row>
    <row r="20" spans="1:31">
      <c r="A20" s="148" t="s">
        <v>173</v>
      </c>
      <c r="B20" s="16">
        <v>0.87178333568790489</v>
      </c>
      <c r="C20" s="16">
        <v>0.88207617711760078</v>
      </c>
      <c r="D20" s="16">
        <v>0.89712315842583257</v>
      </c>
      <c r="E20" s="16">
        <v>0.8982</v>
      </c>
      <c r="F20" s="16">
        <v>0.91309121212121214</v>
      </c>
      <c r="G20" s="16">
        <v>0.9076324760463943</v>
      </c>
      <c r="H20" s="16">
        <v>0.92946120080726546</v>
      </c>
      <c r="I20" s="16">
        <v>0.92139620829120317</v>
      </c>
      <c r="J20" s="16">
        <v>0</v>
      </c>
      <c r="K20" s="16">
        <v>0</v>
      </c>
      <c r="L20" s="16">
        <v>0</v>
      </c>
      <c r="M20" s="16">
        <v>0</v>
      </c>
      <c r="N20" s="16">
        <v>0</v>
      </c>
      <c r="O20" s="16">
        <v>0</v>
      </c>
      <c r="P20" s="16">
        <v>0</v>
      </c>
      <c r="Q20" s="16">
        <v>0</v>
      </c>
      <c r="R20" s="349" t="s">
        <v>616</v>
      </c>
    </row>
    <row r="21" spans="1:31">
      <c r="A21" s="148" t="s">
        <v>174</v>
      </c>
      <c r="B21" s="16">
        <v>0</v>
      </c>
      <c r="C21" s="16">
        <v>0</v>
      </c>
      <c r="D21" s="16">
        <v>0</v>
      </c>
      <c r="E21" s="16">
        <v>0</v>
      </c>
      <c r="F21" s="16">
        <v>0</v>
      </c>
      <c r="G21" s="16">
        <v>0</v>
      </c>
      <c r="H21" s="16">
        <v>0.93300000000000005</v>
      </c>
      <c r="I21" s="16">
        <v>0.93310000000000004</v>
      </c>
      <c r="J21" s="16">
        <v>0.94107498759305208</v>
      </c>
      <c r="K21" s="16">
        <v>0.94735002481389574</v>
      </c>
      <c r="L21" s="16">
        <v>0.94612501063377286</v>
      </c>
      <c r="M21" s="16">
        <v>0</v>
      </c>
      <c r="N21" s="16">
        <v>0</v>
      </c>
      <c r="O21" s="16">
        <v>0</v>
      </c>
      <c r="P21" s="16">
        <v>0</v>
      </c>
      <c r="Q21" s="16">
        <v>0</v>
      </c>
      <c r="R21" s="349" t="s">
        <v>617</v>
      </c>
    </row>
    <row r="22" spans="1:31">
      <c r="A22" s="148" t="s">
        <v>175</v>
      </c>
      <c r="B22" s="16">
        <v>0</v>
      </c>
      <c r="C22" s="16">
        <v>0</v>
      </c>
      <c r="D22" s="16">
        <v>0</v>
      </c>
      <c r="E22" s="16">
        <v>0</v>
      </c>
      <c r="F22" s="16">
        <v>0</v>
      </c>
      <c r="G22" s="16">
        <v>0</v>
      </c>
      <c r="H22" s="16">
        <v>0</v>
      </c>
      <c r="I22" s="16">
        <v>0</v>
      </c>
      <c r="J22" s="16">
        <v>0</v>
      </c>
      <c r="K22" s="16">
        <v>0</v>
      </c>
      <c r="L22" s="16">
        <v>0.94320000000000004</v>
      </c>
      <c r="M22" s="16">
        <v>0.95079999999999998</v>
      </c>
      <c r="N22" s="16">
        <v>0.94089999999999996</v>
      </c>
      <c r="O22" s="16">
        <v>0.9287333333333333</v>
      </c>
      <c r="P22" s="16">
        <v>0.92884999999999995</v>
      </c>
      <c r="Q22" s="16">
        <v>0.93</v>
      </c>
      <c r="R22" s="349" t="s">
        <v>618</v>
      </c>
    </row>
    <row r="23" spans="1:31">
      <c r="A23" s="148" t="s">
        <v>176</v>
      </c>
      <c r="B23" s="16">
        <v>0.74780000000000002</v>
      </c>
      <c r="C23" s="16">
        <v>0.73719999999999997</v>
      </c>
      <c r="D23" s="16">
        <v>0.82817600000000002</v>
      </c>
      <c r="E23" s="16">
        <v>0.94130000000000003</v>
      </c>
      <c r="F23" s="16">
        <v>0.97850000000000004</v>
      </c>
      <c r="G23" s="16">
        <v>0.96389999999999998</v>
      </c>
      <c r="H23" s="16">
        <v>0.94520000000000004</v>
      </c>
      <c r="I23" s="16">
        <v>0.92169999999999996</v>
      </c>
      <c r="J23" s="16">
        <v>0.88900000000000001</v>
      </c>
      <c r="K23" s="16">
        <v>0.83799999999999997</v>
      </c>
      <c r="L23" s="16">
        <v>0.755</v>
      </c>
      <c r="M23" s="16">
        <v>0.65700000000000003</v>
      </c>
      <c r="N23" s="16">
        <v>0.53600000000000003</v>
      </c>
      <c r="O23" s="16">
        <v>0.38400000000000001</v>
      </c>
      <c r="P23" s="16">
        <v>0.14299999999999999</v>
      </c>
      <c r="Q23" s="16">
        <v>0.111</v>
      </c>
      <c r="R23" s="349" t="s">
        <v>823</v>
      </c>
    </row>
    <row r="24" spans="1:31">
      <c r="A24" s="148" t="s">
        <v>177</v>
      </c>
      <c r="B24" s="16">
        <v>0.19991999999999999</v>
      </c>
      <c r="C24" s="16">
        <v>0.22892999999999999</v>
      </c>
      <c r="D24" s="16">
        <v>0.44538</v>
      </c>
      <c r="E24" s="16">
        <v>0.78986000000000001</v>
      </c>
      <c r="F24" s="16">
        <v>0.88966000000000001</v>
      </c>
      <c r="G24" s="16">
        <v>0.88453999999999999</v>
      </c>
      <c r="H24" s="16">
        <v>0.89127999999999996</v>
      </c>
      <c r="I24" s="16">
        <v>0.91135999999999995</v>
      </c>
      <c r="J24" s="16">
        <v>0.93527000000000005</v>
      </c>
      <c r="K24" s="16">
        <v>0.95760000000000001</v>
      </c>
      <c r="L24" s="16">
        <v>0.97406999999999999</v>
      </c>
      <c r="M24" s="16">
        <v>0.98438000000000003</v>
      </c>
      <c r="N24" s="16">
        <v>0.98780000000000001</v>
      </c>
      <c r="O24" s="16">
        <v>0.97638000000000003</v>
      </c>
      <c r="P24" s="16">
        <v>0.65746000000000004</v>
      </c>
      <c r="Q24" s="16">
        <v>0.51488</v>
      </c>
      <c r="R24" s="349" t="s">
        <v>812</v>
      </c>
    </row>
    <row r="25" spans="1:31" ht="15" thickBot="1">
      <c r="A25" s="152" t="s">
        <v>178</v>
      </c>
      <c r="B25" s="363">
        <v>0.224</v>
      </c>
      <c r="C25" s="363">
        <v>0.28100000000000003</v>
      </c>
      <c r="D25" s="363">
        <v>0.41799999999999998</v>
      </c>
      <c r="E25" s="363">
        <v>0.66100000000000003</v>
      </c>
      <c r="F25" s="363">
        <v>0.84399999999999997</v>
      </c>
      <c r="G25" s="363">
        <v>0.84399999999999997</v>
      </c>
      <c r="H25" s="363">
        <v>0.84699999999999998</v>
      </c>
      <c r="I25" s="363">
        <v>0.85299999999999998</v>
      </c>
      <c r="J25" s="363">
        <v>0.88300000000000001</v>
      </c>
      <c r="K25" s="363">
        <v>0.91</v>
      </c>
      <c r="L25" s="363">
        <v>0.94899999999999995</v>
      </c>
      <c r="M25" s="363">
        <v>0.97199999999999998</v>
      </c>
      <c r="N25" s="363">
        <v>0.99</v>
      </c>
      <c r="O25" s="363">
        <v>0.996</v>
      </c>
      <c r="P25" s="363">
        <v>0.752</v>
      </c>
      <c r="Q25" s="363">
        <v>0.61099999999999999</v>
      </c>
      <c r="R25" s="349" t="s">
        <v>619</v>
      </c>
    </row>
    <row r="27" spans="1:31" ht="15" thickBot="1">
      <c r="A27" s="524" t="s">
        <v>769</v>
      </c>
      <c r="B27" s="524"/>
      <c r="C27" s="524"/>
      <c r="D27" s="524"/>
      <c r="E27" s="524"/>
      <c r="F27" s="524"/>
      <c r="G27" s="524"/>
      <c r="H27" s="524"/>
      <c r="I27" s="524"/>
      <c r="J27" s="524"/>
      <c r="K27" s="524"/>
      <c r="L27" s="524"/>
      <c r="M27" s="524"/>
      <c r="N27" s="524"/>
      <c r="O27" s="524"/>
      <c r="P27" s="524"/>
      <c r="Q27" s="524"/>
    </row>
    <row r="28" spans="1:31" ht="15" thickBot="1">
      <c r="A28" s="124" t="s">
        <v>161</v>
      </c>
      <c r="B28" s="127">
        <f>IF(AND(ISNUMBER(B29),ISNUMBER(B30),ISNUMBER(B31)),SUM(B29:B31),"")</f>
        <v>0.46074810101972569</v>
      </c>
      <c r="C28" s="127">
        <f t="shared" ref="C28:Q28" si="9">IF(AND(ISNUMBER(C29),ISNUMBER(C30),ISNUMBER(C31)),SUM(C29:C31),"")</f>
        <v>0.52721178241397515</v>
      </c>
      <c r="D28" s="127">
        <f t="shared" si="9"/>
        <v>0.60300104094284501</v>
      </c>
      <c r="E28" s="127">
        <f t="shared" si="9"/>
        <v>0.68338762598373815</v>
      </c>
      <c r="F28" s="127">
        <f t="shared" si="9"/>
        <v>0.67568753309468643</v>
      </c>
      <c r="G28" s="127">
        <f t="shared" si="9"/>
        <v>0.59949442900445049</v>
      </c>
      <c r="H28" s="127">
        <f t="shared" si="9"/>
        <v>0.53742804532260058</v>
      </c>
      <c r="I28" s="127">
        <f t="shared" si="9"/>
        <v>0.6392842850288345</v>
      </c>
      <c r="J28" s="127">
        <f t="shared" si="9"/>
        <v>0.67082178642483092</v>
      </c>
      <c r="K28" s="127">
        <f t="shared" si="9"/>
        <v>0.66274223308307423</v>
      </c>
      <c r="L28" s="127">
        <f t="shared" si="9"/>
        <v>0.62851232378690891</v>
      </c>
      <c r="M28" s="127">
        <f t="shared" si="9"/>
        <v>0.80281567702034595</v>
      </c>
      <c r="N28" s="127">
        <f t="shared" si="9"/>
        <v>0.79448623267241547</v>
      </c>
      <c r="O28" s="127">
        <f t="shared" si="9"/>
        <v>0.75082206341046154</v>
      </c>
      <c r="P28" s="127">
        <f t="shared" si="9"/>
        <v>0.41184345080732759</v>
      </c>
      <c r="Q28" s="127">
        <f t="shared" si="9"/>
        <v>0.29216528954414611</v>
      </c>
      <c r="R28" s="349"/>
    </row>
    <row r="29" spans="1:31">
      <c r="A29" s="123" t="s">
        <v>162</v>
      </c>
      <c r="B29" s="180">
        <f>IF(AND(ISNUMBER(B32), ISNUMBER(B33),ISNUMBER(B35),ISNUMBER(B37),ISNUMBER(B40),ISNUMBER(B43)),B32*B33*B35*B37*B40*B43,"")</f>
        <v>0.46074810101972569</v>
      </c>
      <c r="C29" s="180">
        <f t="shared" ref="C29:Q29" si="10">IF(AND(ISNUMBER(C32), ISNUMBER(C33),ISNUMBER(C35),ISNUMBER(C37),ISNUMBER(C40),ISNUMBER(C43)),C32*C33*C35*C37*C40*C43,"")</f>
        <v>0.52721178241397515</v>
      </c>
      <c r="D29" s="180">
        <f t="shared" si="10"/>
        <v>0.60300104094284501</v>
      </c>
      <c r="E29" s="180">
        <f t="shared" si="10"/>
        <v>0.68338762598373815</v>
      </c>
      <c r="F29" s="180">
        <f t="shared" si="10"/>
        <v>0.67568753309468643</v>
      </c>
      <c r="G29" s="180">
        <f t="shared" si="10"/>
        <v>0.59949442900445049</v>
      </c>
      <c r="H29" s="180">
        <f t="shared" si="10"/>
        <v>0.53703171721688214</v>
      </c>
      <c r="I29" s="180">
        <f t="shared" si="10"/>
        <v>7.7211423520645583E-3</v>
      </c>
      <c r="J29" s="180">
        <f t="shared" si="10"/>
        <v>0</v>
      </c>
      <c r="K29" s="180">
        <f t="shared" si="10"/>
        <v>0</v>
      </c>
      <c r="L29" s="180">
        <f t="shared" si="10"/>
        <v>0</v>
      </c>
      <c r="M29" s="180">
        <f t="shared" si="10"/>
        <v>0</v>
      </c>
      <c r="N29" s="180">
        <f t="shared" si="10"/>
        <v>0</v>
      </c>
      <c r="O29" s="180">
        <f t="shared" si="10"/>
        <v>0</v>
      </c>
      <c r="P29" s="180">
        <f t="shared" si="10"/>
        <v>0</v>
      </c>
      <c r="Q29" s="180">
        <f t="shared" si="10"/>
        <v>0</v>
      </c>
      <c r="R29" s="349"/>
    </row>
    <row r="30" spans="1:31">
      <c r="A30" s="123" t="s">
        <v>163</v>
      </c>
      <c r="B30" s="180">
        <f>IF(AND(ISNUMBER(B32),ISNUMBER(B33), ISNUMBER(B36), ISNUMBER(B38), ISNUMBER(B41), ISNUMBER(B44)),B32*B33*B36*B38*B41*B44,"")</f>
        <v>0</v>
      </c>
      <c r="C30" s="180">
        <f t="shared" ref="C30:Q30" si="11">IF(AND(ISNUMBER(C32),ISNUMBER(C33), ISNUMBER(C36), ISNUMBER(C38), ISNUMBER(C41), ISNUMBER(C44)),C32*C33*C36*C38*C41*C44,"")</f>
        <v>0</v>
      </c>
      <c r="D30" s="180">
        <f t="shared" si="11"/>
        <v>0</v>
      </c>
      <c r="E30" s="180">
        <f t="shared" si="11"/>
        <v>0</v>
      </c>
      <c r="F30" s="180">
        <f t="shared" si="11"/>
        <v>0</v>
      </c>
      <c r="G30" s="180">
        <f t="shared" si="11"/>
        <v>0</v>
      </c>
      <c r="H30" s="180">
        <f t="shared" si="11"/>
        <v>3.9632810571847395E-4</v>
      </c>
      <c r="I30" s="180">
        <f t="shared" si="11"/>
        <v>0.63156314267676994</v>
      </c>
      <c r="J30" s="180">
        <f t="shared" si="11"/>
        <v>0.67082178642483092</v>
      </c>
      <c r="K30" s="180">
        <f t="shared" si="11"/>
        <v>0.66274223308307423</v>
      </c>
      <c r="L30" s="180">
        <f t="shared" si="11"/>
        <v>0.53727983012771219</v>
      </c>
      <c r="M30" s="180">
        <f t="shared" si="11"/>
        <v>0</v>
      </c>
      <c r="N30" s="180">
        <f t="shared" si="11"/>
        <v>0</v>
      </c>
      <c r="O30" s="180">
        <f t="shared" si="11"/>
        <v>0</v>
      </c>
      <c r="P30" s="180">
        <f t="shared" si="11"/>
        <v>0</v>
      </c>
      <c r="Q30" s="180">
        <f t="shared" si="11"/>
        <v>0</v>
      </c>
      <c r="R30" s="349"/>
    </row>
    <row r="31" spans="1:31">
      <c r="A31" s="192" t="s">
        <v>164</v>
      </c>
      <c r="B31" s="16">
        <f>IF(AND(ISNUMBER(B32),ISNUMBER(B34),ISNUMBER(B39),ISNUMBER(B42),ISNUMBER(B44)),B32*B34*B39*B42*B44,"")</f>
        <v>0</v>
      </c>
      <c r="C31" s="16">
        <f t="shared" ref="C31:Q31" si="12">IF(AND(ISNUMBER(C32),ISNUMBER(C34),ISNUMBER(C39),ISNUMBER(C42),ISNUMBER(C44)),C32*C34*C39*C42*C44,"")</f>
        <v>0</v>
      </c>
      <c r="D31" s="16">
        <f t="shared" si="12"/>
        <v>0</v>
      </c>
      <c r="E31" s="16">
        <f t="shared" si="12"/>
        <v>0</v>
      </c>
      <c r="F31" s="16">
        <f t="shared" si="12"/>
        <v>0</v>
      </c>
      <c r="G31" s="16">
        <f t="shared" si="12"/>
        <v>0</v>
      </c>
      <c r="H31" s="16">
        <f t="shared" si="12"/>
        <v>0</v>
      </c>
      <c r="I31" s="16">
        <f t="shared" si="12"/>
        <v>0</v>
      </c>
      <c r="J31" s="16">
        <f t="shared" si="12"/>
        <v>0</v>
      </c>
      <c r="K31" s="16">
        <f t="shared" si="12"/>
        <v>0</v>
      </c>
      <c r="L31" s="16">
        <f t="shared" si="12"/>
        <v>9.1232493659196723E-2</v>
      </c>
      <c r="M31" s="16">
        <f t="shared" si="12"/>
        <v>0.80281567702034595</v>
      </c>
      <c r="N31" s="16">
        <f t="shared" si="12"/>
        <v>0.79448623267241547</v>
      </c>
      <c r="O31" s="16">
        <f t="shared" si="12"/>
        <v>0.75082206341046154</v>
      </c>
      <c r="P31" s="16">
        <f t="shared" si="12"/>
        <v>0.41184345080732759</v>
      </c>
      <c r="Q31" s="16">
        <f t="shared" si="12"/>
        <v>0.29216528954414611</v>
      </c>
      <c r="R31" s="349"/>
    </row>
    <row r="32" spans="1:31">
      <c r="A32" s="148" t="s">
        <v>165</v>
      </c>
      <c r="B32" s="16">
        <v>0.99027927000000004</v>
      </c>
      <c r="C32" s="16">
        <v>0.99498317000000003</v>
      </c>
      <c r="D32" s="16">
        <v>0.99274834999999995</v>
      </c>
      <c r="E32" s="16">
        <v>0.99373992</v>
      </c>
      <c r="F32" s="16">
        <v>0.98882430999999993</v>
      </c>
      <c r="G32" s="16">
        <v>0.98155934</v>
      </c>
      <c r="H32" s="16">
        <v>0.98532765</v>
      </c>
      <c r="I32" s="16">
        <v>0.98361918000000004</v>
      </c>
      <c r="J32" s="16">
        <v>0.98213514999999996</v>
      </c>
      <c r="K32" s="16">
        <v>0.98353953999999999</v>
      </c>
      <c r="L32" s="16">
        <v>0.98465349999999996</v>
      </c>
      <c r="M32" s="16">
        <v>0.98491724000000003</v>
      </c>
      <c r="N32" s="16">
        <v>0.98450931999999991</v>
      </c>
      <c r="O32" s="16">
        <v>0.98452980999999995</v>
      </c>
      <c r="P32" s="16">
        <v>0.98667934999999996</v>
      </c>
      <c r="Q32" s="16">
        <v>0.98716035000000002</v>
      </c>
      <c r="R32" s="349" t="s">
        <v>838</v>
      </c>
    </row>
    <row r="33" spans="1:18">
      <c r="A33" s="148" t="s">
        <v>166</v>
      </c>
      <c r="B33" s="16">
        <v>0.96180941600000003</v>
      </c>
      <c r="C33" s="16">
        <v>0.96422396200000005</v>
      </c>
      <c r="D33" s="16">
        <v>0.96749465400000001</v>
      </c>
      <c r="E33" s="16">
        <v>0.9714490939999999</v>
      </c>
      <c r="F33" s="16">
        <v>0.97061242800000003</v>
      </c>
      <c r="G33" s="16">
        <v>0.96296555399999995</v>
      </c>
      <c r="H33" s="16">
        <v>0.97041568</v>
      </c>
      <c r="I33" s="16">
        <v>0.95778484799999997</v>
      </c>
      <c r="J33" s="16">
        <v>0.96927512599999988</v>
      </c>
      <c r="K33" s="16">
        <v>0.97147636599999998</v>
      </c>
      <c r="L33" s="16">
        <v>0.85482845877916891</v>
      </c>
      <c r="M33" s="16">
        <v>1.1032498E-2</v>
      </c>
      <c r="N33" s="16">
        <v>6.9806579999999998E-3</v>
      </c>
      <c r="O33" s="16">
        <v>4.9128560000000002E-3</v>
      </c>
      <c r="P33" s="16">
        <v>2.4457140000000003E-3</v>
      </c>
      <c r="Q33" s="16">
        <v>4.09567E-3</v>
      </c>
      <c r="R33" s="349" t="s">
        <v>835</v>
      </c>
    </row>
    <row r="34" spans="1:18">
      <c r="A34" s="148" t="s">
        <v>167</v>
      </c>
      <c r="B34" s="16">
        <v>7.3034257148698019E-3</v>
      </c>
      <c r="C34" s="16">
        <v>5.8274506468105041E-3</v>
      </c>
      <c r="D34" s="16">
        <v>3.0810711269038818E-3</v>
      </c>
      <c r="E34" s="16">
        <v>1.5221134603313915E-4</v>
      </c>
      <c r="F34" s="16">
        <v>5.293382398925163E-5</v>
      </c>
      <c r="G34" s="16">
        <v>5.4637463672322934E-3</v>
      </c>
      <c r="H34" s="16">
        <v>1.7118413096161931E-3</v>
      </c>
      <c r="I34" s="16">
        <v>1.5518093417037184E-2</v>
      </c>
      <c r="J34" s="16">
        <v>2.433128328389913E-3</v>
      </c>
      <c r="K34" s="16">
        <v>2.9978139097325729E-4</v>
      </c>
      <c r="L34" s="16">
        <v>0.1169479780401405</v>
      </c>
      <c r="M34" s="16">
        <v>0.95290820024122802</v>
      </c>
      <c r="N34" s="16">
        <v>0.95864138994352499</v>
      </c>
      <c r="O34" s="16">
        <v>0.95445011841134397</v>
      </c>
      <c r="P34" s="16">
        <v>0.95261729400021589</v>
      </c>
      <c r="Q34" s="16">
        <v>0.94847726459558568</v>
      </c>
      <c r="R34" s="349" t="s">
        <v>836</v>
      </c>
    </row>
    <row r="35" spans="1:18">
      <c r="A35" s="148" t="s">
        <v>168</v>
      </c>
      <c r="B35" s="16">
        <v>0.99448700000000001</v>
      </c>
      <c r="C35" s="16">
        <v>0.98976299999999995</v>
      </c>
      <c r="D35" s="16">
        <v>0.99166299999999996</v>
      </c>
      <c r="E35" s="16">
        <v>0.99388299999999996</v>
      </c>
      <c r="F35" s="16">
        <v>0.99431899999999995</v>
      </c>
      <c r="G35" s="16">
        <v>0.99257399999999996</v>
      </c>
      <c r="H35" s="16">
        <v>0.99622999999999995</v>
      </c>
      <c r="I35" s="16">
        <v>1.7815000000000001E-2</v>
      </c>
      <c r="J35" s="16">
        <v>2.885E-3</v>
      </c>
      <c r="K35" s="16">
        <v>2.3909999999999999E-3</v>
      </c>
      <c r="L35" s="16">
        <v>6.5789999999999998E-3</v>
      </c>
      <c r="M35" s="16">
        <v>1.1497E-2</v>
      </c>
      <c r="N35" s="16">
        <v>0.37515199999999999</v>
      </c>
      <c r="O35" s="16">
        <v>0.86092500000000005</v>
      </c>
      <c r="P35" s="16">
        <v>0.66133600000000003</v>
      </c>
      <c r="Q35" s="16">
        <v>0.92452500000000004</v>
      </c>
      <c r="R35" s="349" t="s">
        <v>811</v>
      </c>
    </row>
    <row r="36" spans="1:18">
      <c r="A36" s="148" t="s">
        <v>169</v>
      </c>
      <c r="B36" s="16">
        <v>1.8979346121382442E-3</v>
      </c>
      <c r="C36" s="16">
        <v>8.3214498415663731E-4</v>
      </c>
      <c r="D36" s="16">
        <v>8.7476703779958565E-4</v>
      </c>
      <c r="E36" s="16">
        <v>3.3269607584681784E-3</v>
      </c>
      <c r="F36" s="16">
        <v>4.2624018879687422E-4</v>
      </c>
      <c r="G36" s="16">
        <v>2.1803263497132347E-3</v>
      </c>
      <c r="H36" s="16">
        <v>6.6313201500000003E-4</v>
      </c>
      <c r="I36" s="16">
        <v>0.97447908883799994</v>
      </c>
      <c r="J36" s="16">
        <v>0.98784439816999992</v>
      </c>
      <c r="K36" s="16">
        <v>0.99058134296999989</v>
      </c>
      <c r="L36" s="16">
        <v>0.98773086376800001</v>
      </c>
      <c r="M36" s="16">
        <v>0.97798382684000007</v>
      </c>
      <c r="N36" s="16">
        <v>0.53847419256232887</v>
      </c>
      <c r="O36" s="16">
        <v>0.13107741811102591</v>
      </c>
      <c r="P36" s="16">
        <v>0.26916084054141931</v>
      </c>
      <c r="Q36" s="16">
        <v>7.0798686743781869E-2</v>
      </c>
      <c r="R36" s="349" t="s">
        <v>811</v>
      </c>
    </row>
    <row r="37" spans="1:18">
      <c r="A37" s="148" t="s">
        <v>170</v>
      </c>
      <c r="B37" s="16">
        <v>0.76919099999999996</v>
      </c>
      <c r="C37" s="16">
        <v>0.78484799999999999</v>
      </c>
      <c r="D37" s="16">
        <v>0.80833299999999997</v>
      </c>
      <c r="E37" s="16">
        <v>0.84747499999999998</v>
      </c>
      <c r="F37" s="16">
        <v>0.83429900000000001</v>
      </c>
      <c r="G37" s="16">
        <v>0.77435500000000002</v>
      </c>
      <c r="H37" s="16">
        <v>0.70062999999999998</v>
      </c>
      <c r="I37" s="16">
        <v>0.58915799999999996</v>
      </c>
      <c r="J37" s="16">
        <v>0</v>
      </c>
      <c r="K37" s="16">
        <v>0</v>
      </c>
      <c r="L37" s="16">
        <v>0</v>
      </c>
      <c r="M37" s="16">
        <v>0</v>
      </c>
      <c r="N37" s="16">
        <v>0</v>
      </c>
      <c r="O37" s="16">
        <v>0</v>
      </c>
      <c r="P37" s="16">
        <v>0</v>
      </c>
      <c r="Q37" s="16">
        <v>0</v>
      </c>
      <c r="R37" s="349" t="s">
        <v>865</v>
      </c>
    </row>
    <row r="38" spans="1:18">
      <c r="A38" s="148" t="s">
        <v>171</v>
      </c>
      <c r="B38" s="16">
        <v>0</v>
      </c>
      <c r="C38" s="16">
        <v>0</v>
      </c>
      <c r="D38" s="16">
        <v>0</v>
      </c>
      <c r="E38" s="16">
        <v>0</v>
      </c>
      <c r="F38" s="16">
        <v>0</v>
      </c>
      <c r="G38" s="16">
        <v>0</v>
      </c>
      <c r="H38" s="16">
        <v>0.741537</v>
      </c>
      <c r="I38" s="16">
        <v>0.80110000000000003</v>
      </c>
      <c r="J38" s="16">
        <v>0.80950999999999995</v>
      </c>
      <c r="K38" s="16">
        <v>0.77478100000000005</v>
      </c>
      <c r="L38" s="16">
        <v>0.70803700000000003</v>
      </c>
      <c r="M38" s="16">
        <v>0</v>
      </c>
      <c r="N38" s="16">
        <v>0</v>
      </c>
      <c r="O38" s="16">
        <v>0</v>
      </c>
      <c r="P38" s="16">
        <v>0</v>
      </c>
      <c r="Q38" s="16">
        <v>0</v>
      </c>
      <c r="R38" s="349" t="s">
        <v>770</v>
      </c>
    </row>
    <row r="39" spans="1:18">
      <c r="A39" s="148" t="s">
        <v>172</v>
      </c>
      <c r="B39" s="16">
        <v>0</v>
      </c>
      <c r="C39" s="16">
        <v>0</v>
      </c>
      <c r="D39" s="16">
        <v>0</v>
      </c>
      <c r="E39" s="16">
        <v>0</v>
      </c>
      <c r="F39" s="16">
        <v>0</v>
      </c>
      <c r="G39" s="16">
        <v>0</v>
      </c>
      <c r="H39" s="16">
        <v>0</v>
      </c>
      <c r="I39" s="16">
        <v>0</v>
      </c>
      <c r="J39" s="16">
        <v>0</v>
      </c>
      <c r="K39" s="16">
        <v>0</v>
      </c>
      <c r="L39" s="16">
        <v>0.8569</v>
      </c>
      <c r="M39" s="16">
        <v>0.916794</v>
      </c>
      <c r="N39" s="16">
        <v>0.90983499999999995</v>
      </c>
      <c r="O39" s="16">
        <v>0.88088500000000003</v>
      </c>
      <c r="P39" s="16">
        <v>0.713449</v>
      </c>
      <c r="Q39" s="16">
        <v>0.64994399999999997</v>
      </c>
      <c r="R39" s="349" t="s">
        <v>771</v>
      </c>
    </row>
    <row r="40" spans="1:18">
      <c r="A40" s="148" t="s">
        <v>173</v>
      </c>
      <c r="B40" s="16">
        <v>0.74661558357083824</v>
      </c>
      <c r="C40" s="16">
        <v>0.84720440796355168</v>
      </c>
      <c r="D40" s="16">
        <v>0.88260176341509677</v>
      </c>
      <c r="E40" s="16">
        <v>0.90761399163074474</v>
      </c>
      <c r="F40" s="16">
        <v>0.90571981892939557</v>
      </c>
      <c r="G40" s="16">
        <v>0.91080758750692747</v>
      </c>
      <c r="H40" s="16">
        <v>0.9081956006716142</v>
      </c>
      <c r="I40" s="16">
        <v>0.91221085934155599</v>
      </c>
      <c r="J40" s="16">
        <v>0</v>
      </c>
      <c r="K40" s="16">
        <v>0</v>
      </c>
      <c r="L40" s="16">
        <v>0</v>
      </c>
      <c r="M40" s="16">
        <v>0</v>
      </c>
      <c r="N40" s="16">
        <v>0</v>
      </c>
      <c r="O40" s="16">
        <v>0</v>
      </c>
      <c r="P40" s="16">
        <v>0</v>
      </c>
      <c r="Q40" s="16">
        <v>0</v>
      </c>
      <c r="R40" s="349" t="s">
        <v>772</v>
      </c>
    </row>
    <row r="41" spans="1:18">
      <c r="A41" s="148" t="s">
        <v>174</v>
      </c>
      <c r="B41" s="16">
        <v>0</v>
      </c>
      <c r="C41" s="16">
        <v>0</v>
      </c>
      <c r="D41" s="16">
        <v>0</v>
      </c>
      <c r="E41" s="16">
        <v>0</v>
      </c>
      <c r="F41" s="16">
        <v>0</v>
      </c>
      <c r="G41" s="16">
        <v>0</v>
      </c>
      <c r="H41" s="16">
        <v>0.94573489573703373</v>
      </c>
      <c r="I41" s="16">
        <v>0.94226401784583957</v>
      </c>
      <c r="J41" s="16">
        <v>0.94219560294652993</v>
      </c>
      <c r="K41" s="16">
        <v>0.94377254620010442</v>
      </c>
      <c r="L41" s="16">
        <v>0.93702977322767655</v>
      </c>
      <c r="M41" s="16">
        <v>0</v>
      </c>
      <c r="N41" s="16">
        <v>0</v>
      </c>
      <c r="O41" s="16">
        <v>0</v>
      </c>
      <c r="P41" s="16">
        <v>0</v>
      </c>
      <c r="Q41" s="16">
        <v>0</v>
      </c>
      <c r="R41" s="349" t="s">
        <v>773</v>
      </c>
    </row>
    <row r="42" spans="1:18">
      <c r="A42" s="148" t="s">
        <v>175</v>
      </c>
      <c r="B42" s="16">
        <v>0</v>
      </c>
      <c r="C42" s="16">
        <v>0</v>
      </c>
      <c r="D42" s="16">
        <v>0</v>
      </c>
      <c r="E42" s="16">
        <v>0</v>
      </c>
      <c r="F42" s="16">
        <v>0</v>
      </c>
      <c r="G42" s="16">
        <v>0</v>
      </c>
      <c r="H42" s="16">
        <v>0</v>
      </c>
      <c r="I42" s="16">
        <v>0</v>
      </c>
      <c r="J42" s="16">
        <v>0</v>
      </c>
      <c r="K42" s="16">
        <v>0</v>
      </c>
      <c r="L42" s="16">
        <v>0.94918985631159847</v>
      </c>
      <c r="M42" s="16">
        <v>0.94783010169009396</v>
      </c>
      <c r="N42" s="16">
        <v>0.93665295326857201</v>
      </c>
      <c r="O42" s="16">
        <v>0.9290023872903691</v>
      </c>
      <c r="P42" s="16">
        <v>0.93412585901411083</v>
      </c>
      <c r="Q42" s="16">
        <v>0.93246390361790688</v>
      </c>
      <c r="R42" s="349" t="s">
        <v>774</v>
      </c>
    </row>
    <row r="43" spans="1:18">
      <c r="A43" s="148" t="s">
        <v>176</v>
      </c>
      <c r="B43" s="16">
        <v>0.84700600000000004</v>
      </c>
      <c r="C43" s="16">
        <v>0.83499999999999996</v>
      </c>
      <c r="D43" s="16">
        <v>0.88738300000000003</v>
      </c>
      <c r="E43" s="16">
        <v>0.92600000000000005</v>
      </c>
      <c r="F43" s="16">
        <v>0.93700000000000006</v>
      </c>
      <c r="G43" s="16">
        <v>0.90600000000000003</v>
      </c>
      <c r="H43" s="16">
        <v>0.88600000000000001</v>
      </c>
      <c r="I43" s="16">
        <v>0.85599999999999998</v>
      </c>
      <c r="J43" s="16">
        <v>0.88900000000000001</v>
      </c>
      <c r="K43" s="16">
        <v>0.83799999999999997</v>
      </c>
      <c r="L43" s="16">
        <v>0.755</v>
      </c>
      <c r="M43" s="16">
        <v>0.65700000000000003</v>
      </c>
      <c r="N43" s="16">
        <v>0.53600000000000003</v>
      </c>
      <c r="O43" s="16">
        <v>0.38400000000000001</v>
      </c>
      <c r="P43" s="16">
        <v>0.14299999999999999</v>
      </c>
      <c r="Q43" s="16">
        <v>0.111</v>
      </c>
      <c r="R43" s="349" t="s">
        <v>822</v>
      </c>
    </row>
    <row r="44" spans="1:18">
      <c r="A44" s="148" t="s">
        <v>177</v>
      </c>
      <c r="B44" s="16">
        <v>0.19991999999999999</v>
      </c>
      <c r="C44" s="16">
        <v>0.22892999999999999</v>
      </c>
      <c r="D44" s="16">
        <v>0.44538</v>
      </c>
      <c r="E44" s="16">
        <v>0.78986000000000001</v>
      </c>
      <c r="F44" s="16">
        <v>0.88966000000000001</v>
      </c>
      <c r="G44" s="16">
        <v>0.88453999999999999</v>
      </c>
      <c r="H44" s="16">
        <v>0.89127999999999996</v>
      </c>
      <c r="I44" s="16">
        <v>0.91135999999999995</v>
      </c>
      <c r="J44" s="16">
        <v>0.93527000000000005</v>
      </c>
      <c r="K44" s="16">
        <v>0.95760000000000001</v>
      </c>
      <c r="L44" s="16">
        <v>0.97406999999999999</v>
      </c>
      <c r="M44" s="16">
        <v>0.98438000000000003</v>
      </c>
      <c r="N44" s="16">
        <v>0.98780000000000001</v>
      </c>
      <c r="O44" s="16">
        <v>0.97638000000000003</v>
      </c>
      <c r="P44" s="16">
        <v>0.65746000000000004</v>
      </c>
      <c r="Q44" s="16">
        <v>0.51488</v>
      </c>
      <c r="R44" s="349" t="s">
        <v>812</v>
      </c>
    </row>
    <row r="45" spans="1:18" ht="15" thickBot="1">
      <c r="A45" s="152" t="s">
        <v>178</v>
      </c>
      <c r="B45" s="363">
        <v>0.224</v>
      </c>
      <c r="C45" s="363">
        <v>0.28100000000000003</v>
      </c>
      <c r="D45" s="363">
        <v>0.41799999999999998</v>
      </c>
      <c r="E45" s="363">
        <v>0.66100000000000003</v>
      </c>
      <c r="F45" s="363">
        <v>0.84399999999999997</v>
      </c>
      <c r="G45" s="363">
        <v>0.84399999999999997</v>
      </c>
      <c r="H45" s="363">
        <v>0.84699999999999998</v>
      </c>
      <c r="I45" s="363">
        <v>0.85299999999999998</v>
      </c>
      <c r="J45" s="363">
        <v>0.88300000000000001</v>
      </c>
      <c r="K45" s="363">
        <v>0.91</v>
      </c>
      <c r="L45" s="363">
        <v>0.94899999999999995</v>
      </c>
      <c r="M45" s="363">
        <v>0.97199999999999998</v>
      </c>
      <c r="N45" s="363">
        <v>0.99</v>
      </c>
      <c r="O45" s="363">
        <v>0.996</v>
      </c>
      <c r="P45" s="363">
        <v>0.752</v>
      </c>
      <c r="Q45" s="363">
        <v>0.61099999999999999</v>
      </c>
      <c r="R45" s="349" t="s">
        <v>619</v>
      </c>
    </row>
    <row r="47" spans="1:18" ht="15" thickBot="1">
      <c r="A47" s="524" t="s">
        <v>775</v>
      </c>
      <c r="B47" s="524"/>
      <c r="C47" s="524"/>
      <c r="D47" s="524"/>
      <c r="E47" s="524"/>
      <c r="F47" s="524"/>
      <c r="G47" s="524"/>
      <c r="H47" s="524"/>
      <c r="I47" s="524"/>
      <c r="J47" s="524"/>
      <c r="K47" s="524"/>
      <c r="L47" s="524"/>
      <c r="M47" s="524"/>
      <c r="N47" s="524"/>
      <c r="O47" s="524"/>
      <c r="P47" s="524"/>
      <c r="Q47" s="524"/>
    </row>
    <row r="48" spans="1:18" ht="15" thickBot="1">
      <c r="A48" s="124" t="s">
        <v>161</v>
      </c>
      <c r="B48" s="127">
        <f>IF(AND(ISNUMBER(B49),ISNUMBER(B50),ISNUMBER(B51)),SUM(B49:B51),"")</f>
        <v>0.4630263761036324</v>
      </c>
      <c r="C48" s="127">
        <f t="shared" ref="C48:Q48" si="13">IF(AND(ISNUMBER(C49),ISNUMBER(C50),ISNUMBER(C51)),SUM(C49:C51),"")</f>
        <v>0.54225709698884439</v>
      </c>
      <c r="D48" s="127">
        <f t="shared" si="13"/>
        <v>0.62318251531573876</v>
      </c>
      <c r="E48" s="127">
        <f t="shared" si="13"/>
        <v>0.71598172014878603</v>
      </c>
      <c r="F48" s="127">
        <f t="shared" si="13"/>
        <v>0.70533434398380945</v>
      </c>
      <c r="G48" s="127">
        <f t="shared" si="13"/>
        <v>0.62292842091880307</v>
      </c>
      <c r="H48" s="127">
        <f t="shared" si="13"/>
        <v>0.56660274655337328</v>
      </c>
      <c r="I48" s="127">
        <f t="shared" si="13"/>
        <v>0.64662669309754495</v>
      </c>
      <c r="J48" s="127">
        <f t="shared" si="13"/>
        <v>0.67398310034141307</v>
      </c>
      <c r="K48" s="127">
        <f t="shared" si="13"/>
        <v>0.65817829935026528</v>
      </c>
      <c r="L48" s="127">
        <f t="shared" si="13"/>
        <v>0.60277446933355905</v>
      </c>
      <c r="M48" s="127">
        <f t="shared" si="13"/>
        <v>0.73760001181757739</v>
      </c>
      <c r="N48" s="127">
        <f t="shared" si="13"/>
        <v>0.79777901015816199</v>
      </c>
      <c r="O48" s="127">
        <f t="shared" si="13"/>
        <v>0.79475757410257497</v>
      </c>
      <c r="P48" s="127">
        <f t="shared" si="13"/>
        <v>0.48596135698440934</v>
      </c>
      <c r="Q48" s="127">
        <f t="shared" si="13"/>
        <v>0.36104262595202041</v>
      </c>
      <c r="R48" s="349"/>
    </row>
    <row r="49" spans="1:18">
      <c r="A49" s="123" t="s">
        <v>162</v>
      </c>
      <c r="B49" s="180">
        <f>IF(AND(ISNUMBER(B52), ISNUMBER(B53),ISNUMBER(B55),ISNUMBER(B57),ISNUMBER(B60),ISNUMBER(B63)),B52*B53*B55*B57*B60*B63,"")</f>
        <v>0.4630263761036324</v>
      </c>
      <c r="C49" s="180">
        <f t="shared" ref="C49:Q49" si="14">IF(AND(ISNUMBER(C52), ISNUMBER(C53),ISNUMBER(C55),ISNUMBER(C57),ISNUMBER(C60),ISNUMBER(C63)),C52*C53*C55*C57*C60*C63,"")</f>
        <v>0.54225709698884439</v>
      </c>
      <c r="D49" s="180">
        <f t="shared" si="14"/>
        <v>0.62318251531573876</v>
      </c>
      <c r="E49" s="180">
        <f t="shared" si="14"/>
        <v>0.71598172014878603</v>
      </c>
      <c r="F49" s="180">
        <f t="shared" si="14"/>
        <v>0.70533434398380945</v>
      </c>
      <c r="G49" s="180">
        <f t="shared" si="14"/>
        <v>0.62292842091880307</v>
      </c>
      <c r="H49" s="180">
        <f t="shared" si="14"/>
        <v>0.56628838465953901</v>
      </c>
      <c r="I49" s="180">
        <f t="shared" si="14"/>
        <v>2.1700667515226167E-3</v>
      </c>
      <c r="J49" s="180">
        <f t="shared" si="14"/>
        <v>0</v>
      </c>
      <c r="K49" s="180">
        <f t="shared" si="14"/>
        <v>0</v>
      </c>
      <c r="L49" s="180">
        <f t="shared" si="14"/>
        <v>0</v>
      </c>
      <c r="M49" s="180">
        <f t="shared" si="14"/>
        <v>0</v>
      </c>
      <c r="N49" s="180">
        <f t="shared" si="14"/>
        <v>0</v>
      </c>
      <c r="O49" s="180">
        <f t="shared" si="14"/>
        <v>0</v>
      </c>
      <c r="P49" s="180">
        <f t="shared" si="14"/>
        <v>0</v>
      </c>
      <c r="Q49" s="180">
        <f t="shared" si="14"/>
        <v>0</v>
      </c>
      <c r="R49" s="349"/>
    </row>
    <row r="50" spans="1:18">
      <c r="A50" s="123" t="s">
        <v>163</v>
      </c>
      <c r="B50" s="180">
        <f>IF(AND(ISNUMBER(B52),ISNUMBER(B53), ISNUMBER(B56), ISNUMBER(B58), ISNUMBER(B61), ISNUMBER(B64)),B52*B53*B56*B58*B61*B64,"")</f>
        <v>0</v>
      </c>
      <c r="C50" s="180">
        <f t="shared" ref="C50:Q50" si="15">IF(AND(ISNUMBER(C52),ISNUMBER(C53), ISNUMBER(C56), ISNUMBER(C58), ISNUMBER(C61), ISNUMBER(C64)),C52*C53*C56*C58*C61*C64,"")</f>
        <v>0</v>
      </c>
      <c r="D50" s="180">
        <f t="shared" si="15"/>
        <v>0</v>
      </c>
      <c r="E50" s="180">
        <f t="shared" si="15"/>
        <v>0</v>
      </c>
      <c r="F50" s="180">
        <f t="shared" si="15"/>
        <v>0</v>
      </c>
      <c r="G50" s="180">
        <f t="shared" si="15"/>
        <v>0</v>
      </c>
      <c r="H50" s="180">
        <f t="shared" si="15"/>
        <v>3.143618938343089E-4</v>
      </c>
      <c r="I50" s="180">
        <f t="shared" si="15"/>
        <v>0.6444566263460223</v>
      </c>
      <c r="J50" s="180">
        <f t="shared" si="15"/>
        <v>0.67398310034141307</v>
      </c>
      <c r="K50" s="180">
        <f t="shared" si="15"/>
        <v>0.65817829935026528</v>
      </c>
      <c r="L50" s="180">
        <f t="shared" si="15"/>
        <v>0.52693989837830579</v>
      </c>
      <c r="M50" s="180">
        <f t="shared" si="15"/>
        <v>0</v>
      </c>
      <c r="N50" s="180">
        <f t="shared" si="15"/>
        <v>0</v>
      </c>
      <c r="O50" s="180">
        <f t="shared" si="15"/>
        <v>0</v>
      </c>
      <c r="P50" s="180">
        <f t="shared" si="15"/>
        <v>0</v>
      </c>
      <c r="Q50" s="180">
        <f t="shared" si="15"/>
        <v>0</v>
      </c>
      <c r="R50" s="349"/>
    </row>
    <row r="51" spans="1:18">
      <c r="A51" s="192" t="s">
        <v>164</v>
      </c>
      <c r="B51" s="16">
        <f>IF(AND(ISNUMBER(B52),ISNUMBER(B54),ISNUMBER(B59),ISNUMBER(B62),ISNUMBER(B64)),B52*B54*B59*B62*B64,"")</f>
        <v>0</v>
      </c>
      <c r="C51" s="16">
        <f t="shared" ref="C51:Q51" si="16">IF(AND(ISNUMBER(C52),ISNUMBER(C54),ISNUMBER(C59),ISNUMBER(C62),ISNUMBER(C64)),C52*C54*C59*C62*C64,"")</f>
        <v>0</v>
      </c>
      <c r="D51" s="16">
        <f t="shared" si="16"/>
        <v>0</v>
      </c>
      <c r="E51" s="16">
        <f t="shared" si="16"/>
        <v>0</v>
      </c>
      <c r="F51" s="16">
        <f t="shared" si="16"/>
        <v>0</v>
      </c>
      <c r="G51" s="16">
        <f t="shared" si="16"/>
        <v>0</v>
      </c>
      <c r="H51" s="16">
        <f t="shared" si="16"/>
        <v>0</v>
      </c>
      <c r="I51" s="16">
        <f t="shared" si="16"/>
        <v>0</v>
      </c>
      <c r="J51" s="16">
        <f t="shared" si="16"/>
        <v>0</v>
      </c>
      <c r="K51" s="16">
        <f t="shared" si="16"/>
        <v>0</v>
      </c>
      <c r="L51" s="16">
        <f t="shared" si="16"/>
        <v>7.5834570955253214E-2</v>
      </c>
      <c r="M51" s="16">
        <f t="shared" si="16"/>
        <v>0.73760001181757739</v>
      </c>
      <c r="N51" s="16">
        <f t="shared" si="16"/>
        <v>0.79777901015816199</v>
      </c>
      <c r="O51" s="16">
        <f t="shared" si="16"/>
        <v>0.79475757410257497</v>
      </c>
      <c r="P51" s="16">
        <f t="shared" si="16"/>
        <v>0.48596135698440934</v>
      </c>
      <c r="Q51" s="16">
        <f t="shared" si="16"/>
        <v>0.36104262595202041</v>
      </c>
      <c r="R51" s="349"/>
    </row>
    <row r="52" spans="1:18">
      <c r="A52" s="148" t="s">
        <v>165</v>
      </c>
      <c r="B52" s="16">
        <v>0.99027927000000004</v>
      </c>
      <c r="C52" s="16">
        <v>0.99498317000000003</v>
      </c>
      <c r="D52" s="16">
        <v>0.99274834999999995</v>
      </c>
      <c r="E52" s="16">
        <v>0.99373992</v>
      </c>
      <c r="F52" s="16">
        <v>0.98882430999999993</v>
      </c>
      <c r="G52" s="16">
        <v>0.98155934</v>
      </c>
      <c r="H52" s="16">
        <v>0.98532765</v>
      </c>
      <c r="I52" s="16">
        <v>0.98361918000000004</v>
      </c>
      <c r="J52" s="16">
        <v>0.98213514999999996</v>
      </c>
      <c r="K52" s="16">
        <v>0.98353953999999999</v>
      </c>
      <c r="L52" s="16">
        <v>0.98465349999999996</v>
      </c>
      <c r="M52" s="16">
        <v>0.98491724000000003</v>
      </c>
      <c r="N52" s="16">
        <v>0.98450931999999991</v>
      </c>
      <c r="O52" s="16">
        <v>0.98452980999999995</v>
      </c>
      <c r="P52" s="16">
        <v>0.98667934999999996</v>
      </c>
      <c r="Q52" s="16">
        <v>0.98716035000000002</v>
      </c>
      <c r="R52" s="349" t="s">
        <v>839</v>
      </c>
    </row>
    <row r="53" spans="1:18">
      <c r="A53" s="148" t="s">
        <v>166</v>
      </c>
      <c r="B53" s="16">
        <v>0.96361715999999997</v>
      </c>
      <c r="C53" s="16">
        <v>0.96872371857225203</v>
      </c>
      <c r="D53" s="16">
        <v>0.96974789443739506</v>
      </c>
      <c r="E53" s="16">
        <v>0.96904818400000003</v>
      </c>
      <c r="F53" s="16">
        <v>0.97183966799999988</v>
      </c>
      <c r="G53" s="16">
        <v>0.96416162599999999</v>
      </c>
      <c r="H53" s="16">
        <v>0.97097865199999989</v>
      </c>
      <c r="I53" s="16">
        <v>0.95209279199999997</v>
      </c>
      <c r="J53" s="16">
        <v>0.9688017619999999</v>
      </c>
      <c r="K53" s="16">
        <v>0.97232277199999995</v>
      </c>
      <c r="L53" s="16">
        <v>0.85504365341756716</v>
      </c>
      <c r="M53" s="16">
        <v>1.0495824000000001E-2</v>
      </c>
      <c r="N53" s="16">
        <v>6.9806579999999998E-3</v>
      </c>
      <c r="O53" s="16">
        <v>4.9128560000000002E-3</v>
      </c>
      <c r="P53" s="16">
        <v>2.4457140000000003E-3</v>
      </c>
      <c r="Q53" s="16">
        <v>4.09567E-3</v>
      </c>
      <c r="R53" s="349" t="s">
        <v>835</v>
      </c>
    </row>
    <row r="54" spans="1:18">
      <c r="A54" s="148" t="s">
        <v>167</v>
      </c>
      <c r="B54" s="16">
        <v>7.3034257148698019E-3</v>
      </c>
      <c r="C54" s="16">
        <v>5.8274506468105041E-3</v>
      </c>
      <c r="D54" s="16">
        <v>3.0810711269038818E-3</v>
      </c>
      <c r="E54" s="16">
        <v>1.5221134603313915E-4</v>
      </c>
      <c r="F54" s="16">
        <v>5.293382398925163E-5</v>
      </c>
      <c r="G54" s="16">
        <v>5.4637463672322934E-3</v>
      </c>
      <c r="H54" s="16">
        <v>1.7118413096161931E-3</v>
      </c>
      <c r="I54" s="16">
        <v>1.5518093417037184E-2</v>
      </c>
      <c r="J54" s="16">
        <v>2.433128328389913E-3</v>
      </c>
      <c r="K54" s="16">
        <v>2.9978139097325729E-4</v>
      </c>
      <c r="L54" s="16">
        <v>0.11697237724552763</v>
      </c>
      <c r="M54" s="16">
        <v>0.95213261033377194</v>
      </c>
      <c r="N54" s="16">
        <v>0.955093124148642</v>
      </c>
      <c r="O54" s="16">
        <v>0.95269394894370296</v>
      </c>
      <c r="P54" s="16">
        <v>0.95103747342511191</v>
      </c>
      <c r="Q54" s="16">
        <v>0.94107710825795476</v>
      </c>
      <c r="R54" s="349" t="s">
        <v>836</v>
      </c>
    </row>
    <row r="55" spans="1:18">
      <c r="A55" s="148" t="s">
        <v>168</v>
      </c>
      <c r="B55" s="16">
        <v>0.98582599999999998</v>
      </c>
      <c r="C55" s="16">
        <v>0.99598200000000003</v>
      </c>
      <c r="D55" s="16">
        <v>0.99526499999999996</v>
      </c>
      <c r="E55" s="16">
        <v>0.99374899999999999</v>
      </c>
      <c r="F55" s="16">
        <v>0.99693699999999996</v>
      </c>
      <c r="G55" s="16">
        <v>0.99603299999999995</v>
      </c>
      <c r="H55" s="16">
        <v>0.99722100000000002</v>
      </c>
      <c r="I55" s="16">
        <v>4.6969999999999998E-3</v>
      </c>
      <c r="J55" s="16">
        <v>2.885E-3</v>
      </c>
      <c r="K55" s="16">
        <v>2.3909999999999999E-3</v>
      </c>
      <c r="L55" s="16">
        <v>6.5789999999999998E-3</v>
      </c>
      <c r="M55" s="16">
        <v>1.1497E-2</v>
      </c>
      <c r="N55" s="16">
        <v>0.37515199999999999</v>
      </c>
      <c r="O55" s="16">
        <v>0.86092500000000005</v>
      </c>
      <c r="P55" s="16">
        <v>0.66133600000000003</v>
      </c>
      <c r="Q55" s="16">
        <v>0.92452500000000004</v>
      </c>
      <c r="R55" s="349" t="s">
        <v>811</v>
      </c>
    </row>
    <row r="56" spans="1:18">
      <c r="A56" s="148" t="s">
        <v>169</v>
      </c>
      <c r="B56" s="16">
        <v>1.8979346121382442E-3</v>
      </c>
      <c r="C56" s="16">
        <v>8.3214498415663731E-4</v>
      </c>
      <c r="D56" s="16">
        <v>8.7476703779958565E-4</v>
      </c>
      <c r="E56" s="16">
        <v>3.3269607584681784E-3</v>
      </c>
      <c r="F56" s="16">
        <v>4.2624018879687422E-4</v>
      </c>
      <c r="G56" s="16">
        <v>2.1803263497132347E-3</v>
      </c>
      <c r="H56" s="16">
        <v>5.0157374400000001E-4</v>
      </c>
      <c r="I56" s="16">
        <v>0.98631623633400001</v>
      </c>
      <c r="J56" s="16">
        <v>0.99141693148800003</v>
      </c>
      <c r="K56" s="16">
        <v>0.98898346116400004</v>
      </c>
      <c r="L56" s="16">
        <v>0.98816310248499994</v>
      </c>
      <c r="M56" s="16">
        <v>0.97798382684000007</v>
      </c>
      <c r="N56" s="16">
        <v>0.53847419256232887</v>
      </c>
      <c r="O56" s="16">
        <v>0.13107741811102591</v>
      </c>
      <c r="P56" s="16">
        <v>0.26916084054141931</v>
      </c>
      <c r="Q56" s="16">
        <v>7.0798686743781869E-2</v>
      </c>
      <c r="R56" s="349" t="s">
        <v>811</v>
      </c>
    </row>
    <row r="57" spans="1:18">
      <c r="A57" s="148" t="s">
        <v>170</v>
      </c>
      <c r="B57" s="16">
        <v>0.70442000000000005</v>
      </c>
      <c r="C57" s="16">
        <v>0.73166900000000001</v>
      </c>
      <c r="D57" s="16">
        <v>0.77254299999999998</v>
      </c>
      <c r="E57" s="16">
        <v>0.840665</v>
      </c>
      <c r="F57" s="16">
        <v>0.83915300000000004</v>
      </c>
      <c r="G57" s="16">
        <v>0.78444700000000001</v>
      </c>
      <c r="H57" s="16">
        <v>0.72089499999999995</v>
      </c>
      <c r="I57" s="16">
        <v>0.61847600000000003</v>
      </c>
      <c r="J57" s="16">
        <v>0</v>
      </c>
      <c r="K57" s="16">
        <v>0</v>
      </c>
      <c r="L57" s="16">
        <v>0</v>
      </c>
      <c r="M57" s="16">
        <v>0</v>
      </c>
      <c r="N57" s="16">
        <v>0</v>
      </c>
      <c r="O57" s="16">
        <v>0</v>
      </c>
      <c r="P57" s="16">
        <v>0</v>
      </c>
      <c r="Q57" s="16">
        <v>0</v>
      </c>
      <c r="R57" s="349" t="s">
        <v>866</v>
      </c>
    </row>
    <row r="58" spans="1:18">
      <c r="A58" s="148" t="s">
        <v>171</v>
      </c>
      <c r="B58" s="16">
        <v>0</v>
      </c>
      <c r="C58" s="16">
        <v>0</v>
      </c>
      <c r="D58" s="16">
        <v>0</v>
      </c>
      <c r="E58" s="16">
        <v>0</v>
      </c>
      <c r="F58" s="16">
        <v>0</v>
      </c>
      <c r="G58" s="16">
        <v>0</v>
      </c>
      <c r="H58" s="16">
        <v>0.77785599999999999</v>
      </c>
      <c r="I58" s="16">
        <v>0.81359999999999999</v>
      </c>
      <c r="J58" s="16">
        <v>0.81146099999999999</v>
      </c>
      <c r="K58" s="16">
        <v>0.77144900000000005</v>
      </c>
      <c r="L58" s="16">
        <v>0.69360999999999995</v>
      </c>
      <c r="M58" s="16">
        <v>0</v>
      </c>
      <c r="N58" s="16">
        <v>0</v>
      </c>
      <c r="O58" s="16">
        <v>0</v>
      </c>
      <c r="P58" s="16">
        <v>0</v>
      </c>
      <c r="Q58" s="16">
        <v>0</v>
      </c>
      <c r="R58" s="349" t="s">
        <v>776</v>
      </c>
    </row>
    <row r="59" spans="1:18">
      <c r="A59" s="148" t="s">
        <v>172</v>
      </c>
      <c r="B59" s="16">
        <v>0</v>
      </c>
      <c r="C59" s="16">
        <v>0</v>
      </c>
      <c r="D59" s="16">
        <v>0</v>
      </c>
      <c r="E59" s="16">
        <v>0</v>
      </c>
      <c r="F59" s="16">
        <v>0</v>
      </c>
      <c r="G59" s="16">
        <v>0</v>
      </c>
      <c r="H59" s="16">
        <v>0</v>
      </c>
      <c r="I59" s="16">
        <v>0</v>
      </c>
      <c r="J59" s="16">
        <v>0</v>
      </c>
      <c r="K59" s="16">
        <v>0</v>
      </c>
      <c r="L59" s="16">
        <v>0.71350000000000002</v>
      </c>
      <c r="M59" s="16">
        <v>0.84316899999999995</v>
      </c>
      <c r="N59" s="16">
        <v>0.91619099999999998</v>
      </c>
      <c r="O59" s="16">
        <v>0.93259599999999998</v>
      </c>
      <c r="P59" s="16">
        <v>0.84125700000000003</v>
      </c>
      <c r="Q59" s="16">
        <v>0.80804299999999996</v>
      </c>
      <c r="R59" s="349" t="s">
        <v>777</v>
      </c>
    </row>
    <row r="60" spans="1:18">
      <c r="A60" s="148" t="s">
        <v>173</v>
      </c>
      <c r="B60" s="16">
        <v>0.76113683623553541</v>
      </c>
      <c r="C60" s="16">
        <v>0.85305071817359168</v>
      </c>
      <c r="D60" s="16">
        <v>0.88697501477782925</v>
      </c>
      <c r="E60" s="16">
        <v>0.91846027650138939</v>
      </c>
      <c r="F60" s="16">
        <v>0.91295426198093221</v>
      </c>
      <c r="G60" s="16">
        <v>0.90681500059401177</v>
      </c>
      <c r="H60" s="16">
        <v>0.91280358215570478</v>
      </c>
      <c r="I60" s="16">
        <v>0.90954422786311884</v>
      </c>
      <c r="J60" s="16">
        <v>0</v>
      </c>
      <c r="K60" s="16">
        <v>0</v>
      </c>
      <c r="L60" s="16">
        <v>0</v>
      </c>
      <c r="M60" s="16">
        <v>0</v>
      </c>
      <c r="N60" s="16">
        <v>0</v>
      </c>
      <c r="O60" s="16">
        <v>0</v>
      </c>
      <c r="P60" s="16">
        <v>0</v>
      </c>
      <c r="Q60" s="16">
        <v>0</v>
      </c>
      <c r="R60" s="349" t="s">
        <v>813</v>
      </c>
    </row>
    <row r="61" spans="1:18">
      <c r="A61" s="148" t="s">
        <v>174</v>
      </c>
      <c r="B61" s="16">
        <v>0</v>
      </c>
      <c r="C61" s="16">
        <v>0</v>
      </c>
      <c r="D61" s="16">
        <v>0</v>
      </c>
      <c r="E61" s="16">
        <v>0</v>
      </c>
      <c r="F61" s="16">
        <v>0</v>
      </c>
      <c r="G61" s="16">
        <v>0</v>
      </c>
      <c r="H61" s="16">
        <v>0.94491204123786443</v>
      </c>
      <c r="I61" s="16">
        <v>0.94095822330674406</v>
      </c>
      <c r="J61" s="16">
        <v>0.9414165853523353</v>
      </c>
      <c r="K61" s="16">
        <v>0.94202166565557732</v>
      </c>
      <c r="L61" s="16">
        <v>0.93746533867548421</v>
      </c>
      <c r="M61" s="16">
        <v>0</v>
      </c>
      <c r="N61" s="16">
        <v>0</v>
      </c>
      <c r="O61" s="16">
        <v>0</v>
      </c>
      <c r="P61" s="16">
        <v>0</v>
      </c>
      <c r="Q61" s="16">
        <v>0</v>
      </c>
      <c r="R61" s="349" t="s">
        <v>778</v>
      </c>
    </row>
    <row r="62" spans="1:18">
      <c r="A62" s="148" t="s">
        <v>175</v>
      </c>
      <c r="B62" s="16">
        <v>0</v>
      </c>
      <c r="C62" s="16">
        <v>0</v>
      </c>
      <c r="D62" s="16">
        <v>0</v>
      </c>
      <c r="E62" s="16">
        <v>0</v>
      </c>
      <c r="F62" s="16">
        <v>0</v>
      </c>
      <c r="G62" s="16">
        <v>0</v>
      </c>
      <c r="H62" s="16">
        <v>0</v>
      </c>
      <c r="I62" s="16">
        <v>0</v>
      </c>
      <c r="J62" s="16">
        <v>0</v>
      </c>
      <c r="K62" s="16">
        <v>0</v>
      </c>
      <c r="L62" s="16">
        <v>0.94736283528614251</v>
      </c>
      <c r="M62" s="16">
        <v>0.94764641376895398</v>
      </c>
      <c r="N62" s="16">
        <v>0.93748000196403292</v>
      </c>
      <c r="O62" s="16">
        <v>0.93055056048079843</v>
      </c>
      <c r="P62" s="16">
        <v>0.93633237731924024</v>
      </c>
      <c r="Q62" s="16">
        <v>0.93412516475937013</v>
      </c>
      <c r="R62" s="349" t="s">
        <v>779</v>
      </c>
    </row>
    <row r="63" spans="1:18">
      <c r="A63" s="148" t="s">
        <v>176</v>
      </c>
      <c r="B63" s="16">
        <v>0.91801299999999997</v>
      </c>
      <c r="C63" s="16">
        <v>0.90500000000000003</v>
      </c>
      <c r="D63" s="16">
        <v>0.94917099999999999</v>
      </c>
      <c r="E63" s="16">
        <v>0.96899999999999997</v>
      </c>
      <c r="F63" s="16">
        <v>0.96099999999999997</v>
      </c>
      <c r="G63" s="16">
        <v>0.92900000000000005</v>
      </c>
      <c r="H63" s="16">
        <v>0.90200000000000002</v>
      </c>
      <c r="I63" s="16">
        <v>0.877</v>
      </c>
      <c r="J63" s="16">
        <v>0.88900000000000001</v>
      </c>
      <c r="K63" s="16">
        <v>0.83799999999999997</v>
      </c>
      <c r="L63" s="16">
        <v>0.755</v>
      </c>
      <c r="M63" s="16">
        <v>0.65700000000000003</v>
      </c>
      <c r="N63" s="16">
        <v>0.53600000000000003</v>
      </c>
      <c r="O63" s="16">
        <v>0.38400000000000001</v>
      </c>
      <c r="P63" s="16">
        <v>0.14299999999999999</v>
      </c>
      <c r="Q63" s="16">
        <v>0.111</v>
      </c>
      <c r="R63" s="349" t="s">
        <v>821</v>
      </c>
    </row>
    <row r="64" spans="1:18">
      <c r="A64" s="148" t="s">
        <v>177</v>
      </c>
      <c r="B64" s="16">
        <v>0.19991999999999999</v>
      </c>
      <c r="C64" s="16">
        <v>0.22892999999999999</v>
      </c>
      <c r="D64" s="16">
        <v>0.44538</v>
      </c>
      <c r="E64" s="16">
        <v>0.78986000000000001</v>
      </c>
      <c r="F64" s="16">
        <v>0.88966000000000001</v>
      </c>
      <c r="G64" s="16">
        <v>0.88453999999999999</v>
      </c>
      <c r="H64" s="16">
        <v>0.89127999999999996</v>
      </c>
      <c r="I64" s="16">
        <v>0.91135999999999995</v>
      </c>
      <c r="J64" s="16">
        <v>0.93527000000000005</v>
      </c>
      <c r="K64" s="16">
        <v>0.95760000000000001</v>
      </c>
      <c r="L64" s="16">
        <v>0.97406999999999999</v>
      </c>
      <c r="M64" s="16">
        <v>0.98438000000000003</v>
      </c>
      <c r="N64" s="16">
        <v>0.98780000000000001</v>
      </c>
      <c r="O64" s="16">
        <v>0.97638000000000003</v>
      </c>
      <c r="P64" s="16">
        <v>0.65746000000000004</v>
      </c>
      <c r="Q64" s="16">
        <v>0.51488</v>
      </c>
      <c r="R64" s="349" t="s">
        <v>812</v>
      </c>
    </row>
    <row r="65" spans="1:18" ht="15" thickBot="1">
      <c r="A65" s="152" t="s">
        <v>178</v>
      </c>
      <c r="B65" s="363">
        <v>0.224</v>
      </c>
      <c r="C65" s="363">
        <v>0.28100000000000003</v>
      </c>
      <c r="D65" s="363">
        <v>0.41799999999999998</v>
      </c>
      <c r="E65" s="363">
        <v>0.66100000000000003</v>
      </c>
      <c r="F65" s="363">
        <v>0.84399999999999997</v>
      </c>
      <c r="G65" s="363">
        <v>0.84399999999999997</v>
      </c>
      <c r="H65" s="363">
        <v>0.84699999999999998</v>
      </c>
      <c r="I65" s="363">
        <v>0.85299999999999998</v>
      </c>
      <c r="J65" s="363">
        <v>0.88300000000000001</v>
      </c>
      <c r="K65" s="363">
        <v>0.91</v>
      </c>
      <c r="L65" s="363">
        <v>0.94899999999999995</v>
      </c>
      <c r="M65" s="363">
        <v>0.97199999999999998</v>
      </c>
      <c r="N65" s="363">
        <v>0.99</v>
      </c>
      <c r="O65" s="363">
        <v>0.996</v>
      </c>
      <c r="P65" s="363">
        <v>0.752</v>
      </c>
      <c r="Q65" s="363">
        <v>0.61099999999999999</v>
      </c>
      <c r="R65" s="349" t="s">
        <v>619</v>
      </c>
    </row>
    <row r="67" spans="1:18" ht="15" thickBot="1">
      <c r="A67" s="524" t="s">
        <v>780</v>
      </c>
      <c r="B67" s="524"/>
      <c r="C67" s="524"/>
      <c r="D67" s="524"/>
      <c r="E67" s="524"/>
      <c r="F67" s="524"/>
      <c r="G67" s="524"/>
      <c r="H67" s="524"/>
      <c r="I67" s="524"/>
      <c r="J67" s="524"/>
      <c r="K67" s="524"/>
      <c r="L67" s="524"/>
      <c r="M67" s="524"/>
      <c r="N67" s="524"/>
      <c r="O67" s="524"/>
      <c r="P67" s="524"/>
      <c r="Q67" s="524"/>
    </row>
    <row r="68" spans="1:18" ht="15" thickBot="1">
      <c r="A68" s="124" t="s">
        <v>161</v>
      </c>
      <c r="B68" s="127">
        <f>IF(AND(ISNUMBER(B69),ISNUMBER(B70),ISNUMBER(B71)),SUM(B69:B71),"")</f>
        <v>0.52989943670788864</v>
      </c>
      <c r="C68" s="127">
        <f t="shared" ref="C68:Q68" si="17">IF(AND(ISNUMBER(C69),ISNUMBER(C70),ISNUMBER(C71)),SUM(C69:C71),"")</f>
        <v>0.58815815855615028</v>
      </c>
      <c r="D68" s="127">
        <f t="shared" si="17"/>
        <v>0.65032505087557269</v>
      </c>
      <c r="E68" s="127">
        <f t="shared" si="17"/>
        <v>0.71000973352508379</v>
      </c>
      <c r="F68" s="127">
        <f t="shared" si="17"/>
        <v>0.69670194889986237</v>
      </c>
      <c r="G68" s="127">
        <f t="shared" si="17"/>
        <v>0.6319819579113457</v>
      </c>
      <c r="H68" s="127">
        <f t="shared" si="17"/>
        <v>0.53641726040543014</v>
      </c>
      <c r="I68" s="127">
        <f t="shared" si="17"/>
        <v>0.63024324335725235</v>
      </c>
      <c r="J68" s="127">
        <f t="shared" si="17"/>
        <v>0.66410205860840044</v>
      </c>
      <c r="K68" s="127">
        <f t="shared" si="17"/>
        <v>0.65532096575956034</v>
      </c>
      <c r="L68" s="127">
        <f t="shared" si="17"/>
        <v>0.60706741643732953</v>
      </c>
      <c r="M68" s="127">
        <f t="shared" si="17"/>
        <v>0.82498677920237906</v>
      </c>
      <c r="N68" s="127">
        <f t="shared" si="17"/>
        <v>0.81513598905485507</v>
      </c>
      <c r="O68" s="127">
        <f t="shared" si="17"/>
        <v>0.76463199436803342</v>
      </c>
      <c r="P68" s="127">
        <f t="shared" si="17"/>
        <v>0.42960681652357041</v>
      </c>
      <c r="Q68" s="127">
        <f t="shared" si="17"/>
        <v>0.31473761358108659</v>
      </c>
      <c r="R68" s="349"/>
    </row>
    <row r="69" spans="1:18">
      <c r="A69" s="123" t="s">
        <v>162</v>
      </c>
      <c r="B69" s="180">
        <f>IF(AND(ISNUMBER(B72), ISNUMBER(B73),ISNUMBER(B75),ISNUMBER(B77),ISNUMBER(B80),ISNUMBER(B83)),B72*B73*B75*B77*B80*B83,"")</f>
        <v>0.52989943670788864</v>
      </c>
      <c r="C69" s="180">
        <f t="shared" ref="C69:Q69" si="18">IF(AND(ISNUMBER(C72), ISNUMBER(C73),ISNUMBER(C75),ISNUMBER(C77),ISNUMBER(C80),ISNUMBER(C83)),C72*C73*C75*C77*C80*C83,"")</f>
        <v>0.58815815855615028</v>
      </c>
      <c r="D69" s="180">
        <f t="shared" si="18"/>
        <v>0.65032505087557269</v>
      </c>
      <c r="E69" s="180">
        <f t="shared" si="18"/>
        <v>0.71000973352508379</v>
      </c>
      <c r="F69" s="180">
        <f t="shared" si="18"/>
        <v>0.69670194889986237</v>
      </c>
      <c r="G69" s="180">
        <f t="shared" si="18"/>
        <v>0.6319819579113457</v>
      </c>
      <c r="H69" s="180">
        <f t="shared" si="18"/>
        <v>0.53628875255510178</v>
      </c>
      <c r="I69" s="180">
        <f t="shared" si="18"/>
        <v>8.2999755045927246E-3</v>
      </c>
      <c r="J69" s="180">
        <f t="shared" si="18"/>
        <v>0</v>
      </c>
      <c r="K69" s="180">
        <f t="shared" si="18"/>
        <v>0</v>
      </c>
      <c r="L69" s="180">
        <f t="shared" si="18"/>
        <v>0</v>
      </c>
      <c r="M69" s="180">
        <f t="shared" si="18"/>
        <v>0</v>
      </c>
      <c r="N69" s="180">
        <f t="shared" si="18"/>
        <v>0</v>
      </c>
      <c r="O69" s="180">
        <f t="shared" si="18"/>
        <v>0</v>
      </c>
      <c r="P69" s="180">
        <f t="shared" si="18"/>
        <v>0</v>
      </c>
      <c r="Q69" s="180">
        <f t="shared" si="18"/>
        <v>0</v>
      </c>
      <c r="R69" s="349"/>
    </row>
    <row r="70" spans="1:18">
      <c r="A70" s="123" t="s">
        <v>163</v>
      </c>
      <c r="B70" s="180">
        <f>IF(AND(ISNUMBER(B72),ISNUMBER(B73), ISNUMBER(B76), ISNUMBER(B78), ISNUMBER(B81), ISNUMBER(B84)),B72*B73*B76*B78*B81*B84,"")</f>
        <v>0</v>
      </c>
      <c r="C70" s="180">
        <f t="shared" ref="C70:Q70" si="19">IF(AND(ISNUMBER(C72),ISNUMBER(C73), ISNUMBER(C76), ISNUMBER(C78), ISNUMBER(C81), ISNUMBER(C84)),C72*C73*C76*C78*C81*C84,"")</f>
        <v>0</v>
      </c>
      <c r="D70" s="180">
        <f t="shared" si="19"/>
        <v>0</v>
      </c>
      <c r="E70" s="180">
        <f t="shared" si="19"/>
        <v>0</v>
      </c>
      <c r="F70" s="180">
        <f t="shared" si="19"/>
        <v>0</v>
      </c>
      <c r="G70" s="180">
        <f t="shared" si="19"/>
        <v>0</v>
      </c>
      <c r="H70" s="180">
        <f t="shared" si="19"/>
        <v>1.285078503283413E-4</v>
      </c>
      <c r="I70" s="180">
        <f t="shared" si="19"/>
        <v>0.62194326785265963</v>
      </c>
      <c r="J70" s="180">
        <f t="shared" si="19"/>
        <v>0.66410205860840044</v>
      </c>
      <c r="K70" s="180">
        <f t="shared" si="19"/>
        <v>0.65532096575956034</v>
      </c>
      <c r="L70" s="180">
        <f t="shared" si="19"/>
        <v>0.57930031525436143</v>
      </c>
      <c r="M70" s="180">
        <f t="shared" si="19"/>
        <v>0</v>
      </c>
      <c r="N70" s="180">
        <f t="shared" si="19"/>
        <v>0</v>
      </c>
      <c r="O70" s="180">
        <f t="shared" si="19"/>
        <v>0</v>
      </c>
      <c r="P70" s="180">
        <f t="shared" si="19"/>
        <v>0</v>
      </c>
      <c r="Q70" s="180">
        <f t="shared" si="19"/>
        <v>0</v>
      </c>
      <c r="R70" s="349"/>
    </row>
    <row r="71" spans="1:18">
      <c r="A71" s="192" t="s">
        <v>164</v>
      </c>
      <c r="B71" s="16">
        <f>IF(AND(ISNUMBER(B72),ISNUMBER(B74),ISNUMBER(B79),ISNUMBER(B82),ISNUMBER(B84)),B72*B74*B79*B82*B84,"")</f>
        <v>0</v>
      </c>
      <c r="C71" s="16">
        <f t="shared" ref="C71:Q71" si="20">IF(AND(ISNUMBER(C72),ISNUMBER(C74),ISNUMBER(C79),ISNUMBER(C82),ISNUMBER(C84)),C72*C74*C79*C82*C84,"")</f>
        <v>0</v>
      </c>
      <c r="D71" s="16">
        <f t="shared" si="20"/>
        <v>0</v>
      </c>
      <c r="E71" s="16">
        <f t="shared" si="20"/>
        <v>0</v>
      </c>
      <c r="F71" s="16">
        <f t="shared" si="20"/>
        <v>0</v>
      </c>
      <c r="G71" s="16">
        <f t="shared" si="20"/>
        <v>0</v>
      </c>
      <c r="H71" s="16">
        <f t="shared" si="20"/>
        <v>0</v>
      </c>
      <c r="I71" s="16">
        <f t="shared" si="20"/>
        <v>0</v>
      </c>
      <c r="J71" s="16">
        <f t="shared" si="20"/>
        <v>0</v>
      </c>
      <c r="K71" s="16">
        <f t="shared" si="20"/>
        <v>0</v>
      </c>
      <c r="L71" s="16">
        <f t="shared" si="20"/>
        <v>2.776710118296815E-2</v>
      </c>
      <c r="M71" s="16">
        <f t="shared" si="20"/>
        <v>0.82498677920237906</v>
      </c>
      <c r="N71" s="16">
        <f t="shared" si="20"/>
        <v>0.81513598905485507</v>
      </c>
      <c r="O71" s="16">
        <f t="shared" si="20"/>
        <v>0.76463199436803342</v>
      </c>
      <c r="P71" s="16">
        <f t="shared" si="20"/>
        <v>0.42960681652357041</v>
      </c>
      <c r="Q71" s="16">
        <f t="shared" si="20"/>
        <v>0.31473761358108659</v>
      </c>
      <c r="R71" s="349"/>
    </row>
    <row r="72" spans="1:18">
      <c r="A72" s="148" t="s">
        <v>165</v>
      </c>
      <c r="B72" s="16">
        <v>0.98837850999999999</v>
      </c>
      <c r="C72" s="16">
        <v>0.99118662999999996</v>
      </c>
      <c r="D72" s="16">
        <v>0.99069615999999994</v>
      </c>
      <c r="E72" s="16">
        <v>0.99020154999999999</v>
      </c>
      <c r="F72" s="16">
        <v>0.98246354999999996</v>
      </c>
      <c r="G72" s="16">
        <v>0.97946622000000005</v>
      </c>
      <c r="H72" s="16">
        <v>0.98159947999999997</v>
      </c>
      <c r="I72" s="16">
        <v>0.9782286</v>
      </c>
      <c r="J72" s="16">
        <v>0.97840757</v>
      </c>
      <c r="K72" s="16">
        <v>0.97907807000000002</v>
      </c>
      <c r="L72" s="16">
        <v>0.98174203999999998</v>
      </c>
      <c r="M72" s="16">
        <v>0.98105697000000003</v>
      </c>
      <c r="N72" s="16">
        <v>0.97804492999999992</v>
      </c>
      <c r="O72" s="16">
        <v>0.98313464999999989</v>
      </c>
      <c r="P72" s="16">
        <v>0.98543791000000003</v>
      </c>
      <c r="Q72" s="16">
        <v>0.98510273999999998</v>
      </c>
      <c r="R72" s="349" t="s">
        <v>840</v>
      </c>
    </row>
    <row r="73" spans="1:18">
      <c r="A73" s="148" t="s">
        <v>166</v>
      </c>
      <c r="B73" s="16">
        <v>0.96387239212862552</v>
      </c>
      <c r="C73" s="16">
        <v>0.96397364399999996</v>
      </c>
      <c r="D73" s="16">
        <v>0.96460479599999993</v>
      </c>
      <c r="E73" s="16">
        <v>0.97047509399999998</v>
      </c>
      <c r="F73" s="16">
        <v>0.97252633799999999</v>
      </c>
      <c r="G73" s="16">
        <v>0.96697745999999996</v>
      </c>
      <c r="H73" s="16">
        <v>0.97007770199999999</v>
      </c>
      <c r="I73" s="16">
        <v>0.94059082599999999</v>
      </c>
      <c r="J73" s="16">
        <v>0.96339021799999991</v>
      </c>
      <c r="K73" s="16">
        <v>0.97051697599999998</v>
      </c>
      <c r="L73" s="16">
        <v>0.93916145772646131</v>
      </c>
      <c r="M73" s="16">
        <v>2.0037910689172989E-2</v>
      </c>
      <c r="N73" s="16">
        <v>6.9806579999999998E-3</v>
      </c>
      <c r="O73" s="16">
        <v>4.9128560000000002E-3</v>
      </c>
      <c r="P73" s="16">
        <v>2.4457140000000003E-3</v>
      </c>
      <c r="Q73" s="16">
        <v>4.09567E-3</v>
      </c>
      <c r="R73" s="349" t="s">
        <v>835</v>
      </c>
    </row>
    <row r="74" spans="1:18">
      <c r="A74" s="148" t="s">
        <v>167</v>
      </c>
      <c r="B74" s="16">
        <v>7.3034257148698019E-3</v>
      </c>
      <c r="C74" s="16">
        <v>5.8274506468105041E-3</v>
      </c>
      <c r="D74" s="16">
        <v>3.0810711269038818E-3</v>
      </c>
      <c r="E74" s="16">
        <v>1.5221134603313915E-4</v>
      </c>
      <c r="F74" s="16">
        <v>5.293382398925163E-5</v>
      </c>
      <c r="G74" s="16">
        <v>5.4637463672322934E-3</v>
      </c>
      <c r="H74" s="16">
        <v>1.7118413096161931E-3</v>
      </c>
      <c r="I74" s="16">
        <v>1.5518093417037184E-2</v>
      </c>
      <c r="J74" s="16">
        <v>2.433128328389913E-3</v>
      </c>
      <c r="K74" s="16">
        <v>2.9978139097325729E-4</v>
      </c>
      <c r="L74" s="16">
        <v>3.4257500558666547E-2</v>
      </c>
      <c r="M74" s="16">
        <v>0.957162622255884</v>
      </c>
      <c r="N74" s="16">
        <v>0.95889000889483189</v>
      </c>
      <c r="O74" s="16">
        <v>0.95627374521043484</v>
      </c>
      <c r="P74" s="16">
        <v>0.95497326841172392</v>
      </c>
      <c r="Q74" s="16">
        <v>0.94552653729726077</v>
      </c>
      <c r="R74" s="349" t="s">
        <v>836</v>
      </c>
    </row>
    <row r="75" spans="1:18">
      <c r="A75" s="148" t="s">
        <v>168</v>
      </c>
      <c r="B75" s="16">
        <v>0.98476600000000003</v>
      </c>
      <c r="C75" s="16">
        <v>0.995</v>
      </c>
      <c r="D75" s="16">
        <v>0.99670599999999998</v>
      </c>
      <c r="E75" s="16">
        <v>0.99512</v>
      </c>
      <c r="F75" s="16">
        <v>0.99353100000000005</v>
      </c>
      <c r="G75" s="16">
        <v>0.99570800000000004</v>
      </c>
      <c r="H75" s="16">
        <v>0.99609800000000004</v>
      </c>
      <c r="I75" s="16">
        <v>1.9657999999999998E-2</v>
      </c>
      <c r="J75" s="16">
        <v>2.885E-3</v>
      </c>
      <c r="K75" s="16">
        <v>2.3909999999999999E-3</v>
      </c>
      <c r="L75" s="16">
        <v>6.5789999999999998E-3</v>
      </c>
      <c r="M75" s="16">
        <v>1.1497E-2</v>
      </c>
      <c r="N75" s="16">
        <v>0.37515199999999999</v>
      </c>
      <c r="O75" s="16">
        <v>0.86092500000000005</v>
      </c>
      <c r="P75" s="16">
        <v>0.66133600000000003</v>
      </c>
      <c r="Q75" s="16">
        <v>0.92452500000000004</v>
      </c>
      <c r="R75" s="349" t="s">
        <v>811</v>
      </c>
    </row>
    <row r="76" spans="1:18">
      <c r="A76" s="148" t="s">
        <v>169</v>
      </c>
      <c r="B76" s="16">
        <v>1.8979346121382442E-3</v>
      </c>
      <c r="C76" s="16">
        <v>8.3214498415663731E-4</v>
      </c>
      <c r="D76" s="16">
        <v>8.7476703779958565E-4</v>
      </c>
      <c r="E76" s="16">
        <v>3.3269607584681784E-3</v>
      </c>
      <c r="F76" s="16">
        <v>4.2624018879687422E-4</v>
      </c>
      <c r="G76" s="16">
        <v>2.1803263497132347E-3</v>
      </c>
      <c r="H76" s="16">
        <v>2.103199E-4</v>
      </c>
      <c r="I76" s="16">
        <v>0.97262554867500006</v>
      </c>
      <c r="J76" s="16">
        <v>0.99117579704999992</v>
      </c>
      <c r="K76" s="16">
        <v>0.98910283623200002</v>
      </c>
      <c r="L76" s="16">
        <v>0.98274517307200004</v>
      </c>
      <c r="M76" s="16">
        <v>0.97798382684000007</v>
      </c>
      <c r="N76" s="16">
        <v>0.53847419256232887</v>
      </c>
      <c r="O76" s="16">
        <v>0.13107741811102591</v>
      </c>
      <c r="P76" s="16">
        <v>0.26916084054141931</v>
      </c>
      <c r="Q76" s="16">
        <v>7.0798686743781869E-2</v>
      </c>
      <c r="R76" s="349" t="s">
        <v>811</v>
      </c>
    </row>
    <row r="77" spans="1:18">
      <c r="A77" s="148" t="s">
        <v>170</v>
      </c>
      <c r="B77" s="16">
        <v>0.741035</v>
      </c>
      <c r="C77" s="16">
        <v>0.75716399999999995</v>
      </c>
      <c r="D77" s="16">
        <v>0.781358</v>
      </c>
      <c r="E77" s="16">
        <v>0.82167999999999997</v>
      </c>
      <c r="F77" s="16">
        <v>0.83013999999999999</v>
      </c>
      <c r="G77" s="16">
        <v>0.77287300000000003</v>
      </c>
      <c r="H77" s="16">
        <v>0.69077200000000005</v>
      </c>
      <c r="I77" s="16">
        <v>0.56894699999999998</v>
      </c>
      <c r="J77" s="16">
        <v>0</v>
      </c>
      <c r="K77" s="16">
        <v>0</v>
      </c>
      <c r="L77" s="16">
        <v>0</v>
      </c>
      <c r="M77" s="16">
        <v>0</v>
      </c>
      <c r="N77" s="16">
        <v>0</v>
      </c>
      <c r="O77" s="16">
        <v>0</v>
      </c>
      <c r="P77" s="16">
        <v>0</v>
      </c>
      <c r="Q77" s="16">
        <v>0</v>
      </c>
      <c r="R77" s="349" t="s">
        <v>867</v>
      </c>
    </row>
    <row r="78" spans="1:18">
      <c r="A78" s="148" t="s">
        <v>171</v>
      </c>
      <c r="B78" s="16">
        <v>0</v>
      </c>
      <c r="C78" s="16">
        <v>0</v>
      </c>
      <c r="D78" s="16">
        <v>0</v>
      </c>
      <c r="E78" s="16">
        <v>0</v>
      </c>
      <c r="F78" s="16">
        <v>0</v>
      </c>
      <c r="G78" s="16">
        <v>0</v>
      </c>
      <c r="H78" s="16">
        <v>0.77778499999999995</v>
      </c>
      <c r="I78" s="16">
        <v>0.81100000000000005</v>
      </c>
      <c r="J78" s="16">
        <v>0.80814200000000003</v>
      </c>
      <c r="K78" s="16">
        <v>0.76921700000000004</v>
      </c>
      <c r="L78" s="16">
        <v>0.69421100000000002</v>
      </c>
      <c r="M78" s="16">
        <v>0</v>
      </c>
      <c r="N78" s="16">
        <v>0</v>
      </c>
      <c r="O78" s="16">
        <v>0</v>
      </c>
      <c r="P78" s="16">
        <v>0</v>
      </c>
      <c r="Q78" s="16">
        <v>0</v>
      </c>
      <c r="R78" s="349" t="s">
        <v>781</v>
      </c>
    </row>
    <row r="79" spans="1:18">
      <c r="A79" s="148" t="s">
        <v>172</v>
      </c>
      <c r="B79" s="16">
        <v>0</v>
      </c>
      <c r="C79" s="16">
        <v>0</v>
      </c>
      <c r="D79" s="16">
        <v>0</v>
      </c>
      <c r="E79" s="16">
        <v>0</v>
      </c>
      <c r="F79" s="16">
        <v>0</v>
      </c>
      <c r="G79" s="16">
        <v>0</v>
      </c>
      <c r="H79" s="16">
        <v>0</v>
      </c>
      <c r="I79" s="16">
        <v>0</v>
      </c>
      <c r="J79" s="16">
        <v>0</v>
      </c>
      <c r="K79" s="16">
        <v>0</v>
      </c>
      <c r="L79" s="16">
        <v>0.89419999999999999</v>
      </c>
      <c r="M79" s="16">
        <v>0.93729499999999999</v>
      </c>
      <c r="N79" s="16">
        <v>0.93840699999999999</v>
      </c>
      <c r="O79" s="16">
        <v>0.89761599999999997</v>
      </c>
      <c r="P79" s="16">
        <v>0.74512</v>
      </c>
      <c r="Q79" s="16">
        <v>0.70455699999999999</v>
      </c>
      <c r="R79" s="349" t="s">
        <v>782</v>
      </c>
    </row>
    <row r="80" spans="1:18">
      <c r="A80" s="148" t="s">
        <v>173</v>
      </c>
      <c r="B80" s="16">
        <v>0.79479439019664755</v>
      </c>
      <c r="C80" s="16">
        <v>0.86424410399921658</v>
      </c>
      <c r="D80" s="16">
        <v>0.88853058437138577</v>
      </c>
      <c r="E80" s="16">
        <v>0.91271871261083459</v>
      </c>
      <c r="F80" s="16">
        <v>0.91498955289253647</v>
      </c>
      <c r="G80" s="16">
        <v>0.9288212417992644</v>
      </c>
      <c r="H80" s="16">
        <v>0.90167470649130266</v>
      </c>
      <c r="I80" s="16">
        <v>0.91444770518128171</v>
      </c>
      <c r="J80" s="16">
        <v>0</v>
      </c>
      <c r="K80" s="16">
        <v>0</v>
      </c>
      <c r="L80" s="16">
        <v>0</v>
      </c>
      <c r="M80" s="16">
        <v>0</v>
      </c>
      <c r="N80" s="16">
        <v>0</v>
      </c>
      <c r="O80" s="16">
        <v>0</v>
      </c>
      <c r="P80" s="16">
        <v>0</v>
      </c>
      <c r="Q80" s="16">
        <v>0</v>
      </c>
      <c r="R80" s="349" t="s">
        <v>814</v>
      </c>
    </row>
    <row r="81" spans="1:18">
      <c r="A81" s="148" t="s">
        <v>174</v>
      </c>
      <c r="B81" s="16">
        <v>0</v>
      </c>
      <c r="C81" s="16">
        <v>0</v>
      </c>
      <c r="D81" s="16">
        <v>0</v>
      </c>
      <c r="E81" s="16">
        <v>0</v>
      </c>
      <c r="F81" s="16">
        <v>0</v>
      </c>
      <c r="G81" s="16">
        <v>0</v>
      </c>
      <c r="H81" s="16">
        <v>0.92562425416421013</v>
      </c>
      <c r="I81" s="16">
        <v>0.94027131215380921</v>
      </c>
      <c r="J81" s="16">
        <v>0.94045369945112556</v>
      </c>
      <c r="K81" s="16">
        <v>0.94658396835263114</v>
      </c>
      <c r="L81" s="16">
        <v>0.94546082081586558</v>
      </c>
      <c r="M81" s="16">
        <v>0</v>
      </c>
      <c r="N81" s="16">
        <v>0</v>
      </c>
      <c r="O81" s="16">
        <v>0</v>
      </c>
      <c r="P81" s="16">
        <v>0</v>
      </c>
      <c r="Q81" s="16">
        <v>0</v>
      </c>
      <c r="R81" s="349" t="s">
        <v>815</v>
      </c>
    </row>
    <row r="82" spans="1:18">
      <c r="A82" s="148" t="s">
        <v>175</v>
      </c>
      <c r="B82" s="16">
        <v>0</v>
      </c>
      <c r="C82" s="16">
        <v>0</v>
      </c>
      <c r="D82" s="16">
        <v>0</v>
      </c>
      <c r="E82" s="16">
        <v>0</v>
      </c>
      <c r="F82" s="16">
        <v>0</v>
      </c>
      <c r="G82" s="16">
        <v>0</v>
      </c>
      <c r="H82" s="16">
        <v>0</v>
      </c>
      <c r="I82" s="16">
        <v>0</v>
      </c>
      <c r="J82" s="16">
        <v>0</v>
      </c>
      <c r="K82" s="16">
        <v>0</v>
      </c>
      <c r="L82" s="16">
        <v>0.94787844467127347</v>
      </c>
      <c r="M82" s="16">
        <v>0.95219949917135271</v>
      </c>
      <c r="N82" s="16">
        <v>0.93765313042157727</v>
      </c>
      <c r="O82" s="16">
        <v>0.92799956148448159</v>
      </c>
      <c r="P82" s="16">
        <v>0.93186956320722425</v>
      </c>
      <c r="Q82" s="16">
        <v>0.93147508230981502</v>
      </c>
      <c r="R82" s="349" t="s">
        <v>816</v>
      </c>
    </row>
    <row r="83" spans="1:18">
      <c r="A83" s="148" t="s">
        <v>176</v>
      </c>
      <c r="B83" s="16">
        <v>0.95901204764353964</v>
      </c>
      <c r="C83" s="16">
        <v>0.94541843684872406</v>
      </c>
      <c r="D83" s="16">
        <v>0.98344724931794103</v>
      </c>
      <c r="E83" s="16">
        <v>0.9900136461340413</v>
      </c>
      <c r="F83" s="16">
        <v>0.96622953451520543</v>
      </c>
      <c r="G83" s="16">
        <v>0.93352638103930619</v>
      </c>
      <c r="H83" s="16">
        <v>0.90776026011890076</v>
      </c>
      <c r="I83" s="16">
        <v>0.88199413919849523</v>
      </c>
      <c r="J83" s="16">
        <v>0.88900000000000001</v>
      </c>
      <c r="K83" s="16">
        <v>0.83799999999999997</v>
      </c>
      <c r="L83" s="16">
        <v>0.755</v>
      </c>
      <c r="M83" s="16">
        <v>0.65700000000000003</v>
      </c>
      <c r="N83" s="16">
        <v>0.53600000000000003</v>
      </c>
      <c r="O83" s="16">
        <v>0.38400000000000001</v>
      </c>
      <c r="P83" s="16">
        <v>0.14299999999999999</v>
      </c>
      <c r="Q83" s="16">
        <v>0.111</v>
      </c>
      <c r="R83" s="349" t="s">
        <v>820</v>
      </c>
    </row>
    <row r="84" spans="1:18">
      <c r="A84" s="148" t="s">
        <v>177</v>
      </c>
      <c r="B84" s="16">
        <v>0.19991999999999999</v>
      </c>
      <c r="C84" s="16">
        <v>0.22892999999999999</v>
      </c>
      <c r="D84" s="16">
        <v>0.44538</v>
      </c>
      <c r="E84" s="16">
        <v>0.78986000000000001</v>
      </c>
      <c r="F84" s="16">
        <v>0.88966000000000001</v>
      </c>
      <c r="G84" s="16">
        <v>0.88453999999999999</v>
      </c>
      <c r="H84" s="16">
        <v>0.89127999999999996</v>
      </c>
      <c r="I84" s="16">
        <v>0.91135999999999995</v>
      </c>
      <c r="J84" s="16">
        <v>0.93527000000000005</v>
      </c>
      <c r="K84" s="16">
        <v>0.95760000000000001</v>
      </c>
      <c r="L84" s="16">
        <v>0.97406999999999999</v>
      </c>
      <c r="M84" s="16">
        <v>0.98438000000000003</v>
      </c>
      <c r="N84" s="16">
        <v>0.98780000000000001</v>
      </c>
      <c r="O84" s="16">
        <v>0.97638000000000003</v>
      </c>
      <c r="P84" s="16">
        <v>0.65746000000000004</v>
      </c>
      <c r="Q84" s="16">
        <v>0.51488</v>
      </c>
      <c r="R84" s="349" t="s">
        <v>812</v>
      </c>
    </row>
    <row r="85" spans="1:18" ht="15" thickBot="1">
      <c r="A85" s="152" t="s">
        <v>178</v>
      </c>
      <c r="B85" s="363">
        <v>0.224</v>
      </c>
      <c r="C85" s="363">
        <v>0.28100000000000003</v>
      </c>
      <c r="D85" s="363">
        <v>0.41799999999999998</v>
      </c>
      <c r="E85" s="363">
        <v>0.66100000000000003</v>
      </c>
      <c r="F85" s="363">
        <v>0.84399999999999997</v>
      </c>
      <c r="G85" s="363">
        <v>0.84399999999999997</v>
      </c>
      <c r="H85" s="363">
        <v>0.84699999999999998</v>
      </c>
      <c r="I85" s="363">
        <v>0.85299999999999998</v>
      </c>
      <c r="J85" s="363">
        <v>0.88300000000000001</v>
      </c>
      <c r="K85" s="363">
        <v>0.91</v>
      </c>
      <c r="L85" s="363">
        <v>0.94899999999999995</v>
      </c>
      <c r="M85" s="363">
        <v>0.97199999999999998</v>
      </c>
      <c r="N85" s="363">
        <v>0.99</v>
      </c>
      <c r="O85" s="363">
        <v>0.996</v>
      </c>
      <c r="P85" s="363">
        <v>0.752</v>
      </c>
      <c r="Q85" s="363">
        <v>0.61099999999999999</v>
      </c>
      <c r="R85" s="349" t="s">
        <v>619</v>
      </c>
    </row>
    <row r="87" spans="1:18" ht="15" thickBot="1">
      <c r="A87" s="524" t="s">
        <v>783</v>
      </c>
      <c r="B87" s="524"/>
      <c r="C87" s="524"/>
      <c r="D87" s="524"/>
      <c r="E87" s="524"/>
      <c r="F87" s="524"/>
      <c r="G87" s="524"/>
      <c r="H87" s="524"/>
      <c r="I87" s="524"/>
      <c r="J87" s="524"/>
      <c r="K87" s="524"/>
      <c r="L87" s="524"/>
      <c r="M87" s="524"/>
      <c r="N87" s="524"/>
      <c r="O87" s="524"/>
      <c r="P87" s="524"/>
      <c r="Q87" s="524"/>
    </row>
    <row r="88" spans="1:18" ht="15" thickBot="1">
      <c r="A88" s="124" t="s">
        <v>161</v>
      </c>
      <c r="B88" s="127">
        <f>IF(AND(ISNUMBER(B89),ISNUMBER(B90),ISNUMBER(B91)),SUM(B89:B91),"")</f>
        <v>0.57376941048613894</v>
      </c>
      <c r="C88" s="127">
        <f t="shared" ref="C88:Q88" si="21">IF(AND(ISNUMBER(C89),ISNUMBER(C90),ISNUMBER(C91)),SUM(C89:C91),"")</f>
        <v>0.60364436685381417</v>
      </c>
      <c r="D88" s="127">
        <f t="shared" si="21"/>
        <v>0.66738197569831703</v>
      </c>
      <c r="E88" s="127">
        <f t="shared" si="21"/>
        <v>0.71533537003691217</v>
      </c>
      <c r="F88" s="127">
        <f t="shared" si="21"/>
        <v>0.70500102716196411</v>
      </c>
      <c r="G88" s="127">
        <f t="shared" si="21"/>
        <v>0.63049470985210099</v>
      </c>
      <c r="H88" s="127">
        <f t="shared" si="21"/>
        <v>0.54300210605042698</v>
      </c>
      <c r="I88" s="127">
        <f t="shared" si="21"/>
        <v>0.63341207627873308</v>
      </c>
      <c r="J88" s="127">
        <f t="shared" si="21"/>
        <v>0.66580354444413858</v>
      </c>
      <c r="K88" s="127">
        <f t="shared" si="21"/>
        <v>0.6564799245237305</v>
      </c>
      <c r="L88" s="127">
        <f t="shared" si="21"/>
        <v>0.61079578656525801</v>
      </c>
      <c r="M88" s="127">
        <f t="shared" si="21"/>
        <v>0.82498677920237906</v>
      </c>
      <c r="N88" s="127">
        <f t="shared" si="21"/>
        <v>0.81513598905485507</v>
      </c>
      <c r="O88" s="127">
        <f t="shared" si="21"/>
        <v>0.76463199436803342</v>
      </c>
      <c r="P88" s="127">
        <f t="shared" si="21"/>
        <v>0.42960681652357041</v>
      </c>
      <c r="Q88" s="127">
        <f t="shared" si="21"/>
        <v>0.31473761358108659</v>
      </c>
      <c r="R88" s="349"/>
    </row>
    <row r="89" spans="1:18">
      <c r="A89" s="123" t="s">
        <v>162</v>
      </c>
      <c r="B89" s="180">
        <f>IF(AND(ISNUMBER(B92), ISNUMBER(B93),ISNUMBER(B95),ISNUMBER(B97),ISNUMBER(B100),ISNUMBER(B103)),B92*B93*B95*B97*B100*B103,"")</f>
        <v>0.57376941048613894</v>
      </c>
      <c r="C89" s="180">
        <f t="shared" ref="C89:Q89" si="22">IF(AND(ISNUMBER(C92), ISNUMBER(C93),ISNUMBER(C95),ISNUMBER(C97),ISNUMBER(C100),ISNUMBER(C103)),C92*C93*C95*C97*C100*C103,"")</f>
        <v>0.60364436685381417</v>
      </c>
      <c r="D89" s="180">
        <f t="shared" si="22"/>
        <v>0.66738197569831703</v>
      </c>
      <c r="E89" s="180">
        <f t="shared" si="22"/>
        <v>0.71533537003691217</v>
      </c>
      <c r="F89" s="180">
        <f t="shared" si="22"/>
        <v>0.70500102716196411</v>
      </c>
      <c r="G89" s="180">
        <f t="shared" si="22"/>
        <v>0.63049470985210099</v>
      </c>
      <c r="H89" s="180">
        <f t="shared" si="22"/>
        <v>0.54280338465577471</v>
      </c>
      <c r="I89" s="180">
        <f t="shared" si="22"/>
        <v>2.5940443555808358E-3</v>
      </c>
      <c r="J89" s="180">
        <f t="shared" si="22"/>
        <v>0</v>
      </c>
      <c r="K89" s="180">
        <f t="shared" si="22"/>
        <v>0</v>
      </c>
      <c r="L89" s="180">
        <f t="shared" si="22"/>
        <v>0</v>
      </c>
      <c r="M89" s="180">
        <f t="shared" si="22"/>
        <v>0</v>
      </c>
      <c r="N89" s="180">
        <f t="shared" si="22"/>
        <v>0</v>
      </c>
      <c r="O89" s="180">
        <f t="shared" si="22"/>
        <v>0</v>
      </c>
      <c r="P89" s="180">
        <f t="shared" si="22"/>
        <v>0</v>
      </c>
      <c r="Q89" s="180">
        <f t="shared" si="22"/>
        <v>0</v>
      </c>
      <c r="R89" s="349"/>
    </row>
    <row r="90" spans="1:18">
      <c r="A90" s="123" t="s">
        <v>163</v>
      </c>
      <c r="B90" s="180">
        <f>IF(AND(ISNUMBER(B92),ISNUMBER(B93), ISNUMBER(B96), ISNUMBER(B98), ISNUMBER(B101), ISNUMBER(B104)),B92*B93*B96*B98*B101*B104,"")</f>
        <v>0</v>
      </c>
      <c r="C90" s="180">
        <f t="shared" ref="C90:Q90" si="23">IF(AND(ISNUMBER(C92),ISNUMBER(C93), ISNUMBER(C96), ISNUMBER(C98), ISNUMBER(C101), ISNUMBER(C104)),C92*C93*C96*C98*C101*C104,"")</f>
        <v>0</v>
      </c>
      <c r="D90" s="180">
        <f t="shared" si="23"/>
        <v>0</v>
      </c>
      <c r="E90" s="180">
        <f t="shared" si="23"/>
        <v>0</v>
      </c>
      <c r="F90" s="180">
        <f t="shared" si="23"/>
        <v>0</v>
      </c>
      <c r="G90" s="180">
        <f t="shared" si="23"/>
        <v>0</v>
      </c>
      <c r="H90" s="180">
        <f t="shared" si="23"/>
        <v>1.9872139465225926E-4</v>
      </c>
      <c r="I90" s="180">
        <f t="shared" si="23"/>
        <v>0.63081803192315222</v>
      </c>
      <c r="J90" s="180">
        <f t="shared" si="23"/>
        <v>0.66580354444413858</v>
      </c>
      <c r="K90" s="180">
        <f t="shared" si="23"/>
        <v>0.6564799245237305</v>
      </c>
      <c r="L90" s="180">
        <f t="shared" si="23"/>
        <v>0.58302868538228991</v>
      </c>
      <c r="M90" s="180">
        <f t="shared" si="23"/>
        <v>0</v>
      </c>
      <c r="N90" s="180">
        <f t="shared" si="23"/>
        <v>0</v>
      </c>
      <c r="O90" s="180">
        <f t="shared" si="23"/>
        <v>0</v>
      </c>
      <c r="P90" s="180">
        <f t="shared" si="23"/>
        <v>0</v>
      </c>
      <c r="Q90" s="180">
        <f t="shared" si="23"/>
        <v>0</v>
      </c>
      <c r="R90" s="349"/>
    </row>
    <row r="91" spans="1:18">
      <c r="A91" s="192" t="s">
        <v>164</v>
      </c>
      <c r="B91" s="16">
        <f>IF(AND(ISNUMBER(B92),ISNUMBER(B94),ISNUMBER(B99),ISNUMBER(B102),ISNUMBER(B104)),B92*B94*B99*B102*B104,"")</f>
        <v>0</v>
      </c>
      <c r="C91" s="16">
        <f t="shared" ref="C91:Q91" si="24">IF(AND(ISNUMBER(C92),ISNUMBER(C94),ISNUMBER(C99),ISNUMBER(C102),ISNUMBER(C104)),C92*C94*C99*C102*C104,"")</f>
        <v>0</v>
      </c>
      <c r="D91" s="16">
        <f t="shared" si="24"/>
        <v>0</v>
      </c>
      <c r="E91" s="16">
        <f t="shared" si="24"/>
        <v>0</v>
      </c>
      <c r="F91" s="16">
        <f t="shared" si="24"/>
        <v>0</v>
      </c>
      <c r="G91" s="16">
        <f t="shared" si="24"/>
        <v>0</v>
      </c>
      <c r="H91" s="16">
        <f t="shared" si="24"/>
        <v>0</v>
      </c>
      <c r="I91" s="16">
        <f t="shared" si="24"/>
        <v>0</v>
      </c>
      <c r="J91" s="16">
        <f t="shared" si="24"/>
        <v>0</v>
      </c>
      <c r="K91" s="16">
        <f t="shared" si="24"/>
        <v>0</v>
      </c>
      <c r="L91" s="16">
        <f t="shared" si="24"/>
        <v>2.776710118296815E-2</v>
      </c>
      <c r="M91" s="16">
        <f t="shared" si="24"/>
        <v>0.82498677920237906</v>
      </c>
      <c r="N91" s="16">
        <f t="shared" si="24"/>
        <v>0.81513598905485507</v>
      </c>
      <c r="O91" s="16">
        <f t="shared" si="24"/>
        <v>0.76463199436803342</v>
      </c>
      <c r="P91" s="16">
        <f t="shared" si="24"/>
        <v>0.42960681652357041</v>
      </c>
      <c r="Q91" s="16">
        <f t="shared" si="24"/>
        <v>0.31473761358108659</v>
      </c>
      <c r="R91" s="349"/>
    </row>
    <row r="92" spans="1:18">
      <c r="A92" s="148" t="s">
        <v>165</v>
      </c>
      <c r="B92" s="16">
        <v>0.98837850999999999</v>
      </c>
      <c r="C92" s="16">
        <v>0.99118662999999996</v>
      </c>
      <c r="D92" s="16">
        <v>0.99069615999999994</v>
      </c>
      <c r="E92" s="16">
        <v>0.99020154999999999</v>
      </c>
      <c r="F92" s="16">
        <v>0.98246354999999996</v>
      </c>
      <c r="G92" s="16">
        <v>0.97946622000000005</v>
      </c>
      <c r="H92" s="16">
        <v>0.98159947999999997</v>
      </c>
      <c r="I92" s="16">
        <v>0.9782286</v>
      </c>
      <c r="J92" s="16">
        <v>0.97840757</v>
      </c>
      <c r="K92" s="16">
        <v>0.97907807000000002</v>
      </c>
      <c r="L92" s="16">
        <v>0.98174203999999998</v>
      </c>
      <c r="M92" s="16">
        <v>0.98105697000000003</v>
      </c>
      <c r="N92" s="16">
        <v>0.97804492999999992</v>
      </c>
      <c r="O92" s="16">
        <v>0.98313464999999989</v>
      </c>
      <c r="P92" s="16">
        <v>0.98543791000000003</v>
      </c>
      <c r="Q92" s="16">
        <v>0.98510273999999998</v>
      </c>
      <c r="R92" s="349" t="s">
        <v>841</v>
      </c>
    </row>
    <row r="93" spans="1:18">
      <c r="A93" s="148" t="s">
        <v>166</v>
      </c>
      <c r="B93" s="16">
        <v>0.96387239212862552</v>
      </c>
      <c r="C93" s="16">
        <v>0.96397364399999996</v>
      </c>
      <c r="D93" s="16">
        <v>0.96460479599999993</v>
      </c>
      <c r="E93" s="16">
        <v>0.97047509399999998</v>
      </c>
      <c r="F93" s="16">
        <v>0.97252633799999999</v>
      </c>
      <c r="G93" s="16">
        <v>0.96697745999999996</v>
      </c>
      <c r="H93" s="16">
        <v>0.97007770199999999</v>
      </c>
      <c r="I93" s="16">
        <v>0.94059082599999999</v>
      </c>
      <c r="J93" s="16">
        <v>0.96339021799999991</v>
      </c>
      <c r="K93" s="16">
        <v>0.97051697599999998</v>
      </c>
      <c r="L93" s="16">
        <v>0.93916145772646131</v>
      </c>
      <c r="M93" s="16">
        <v>2.0037910689172989E-2</v>
      </c>
      <c r="N93" s="16">
        <v>6.9806579999999998E-3</v>
      </c>
      <c r="O93" s="16">
        <v>4.9128560000000002E-3</v>
      </c>
      <c r="P93" s="16">
        <v>2.4457140000000003E-3</v>
      </c>
      <c r="Q93" s="16">
        <v>4.09567E-3</v>
      </c>
      <c r="R93" s="349" t="s">
        <v>835</v>
      </c>
    </row>
    <row r="94" spans="1:18">
      <c r="A94" s="148" t="s">
        <v>167</v>
      </c>
      <c r="B94" s="16">
        <v>7.3034257148698019E-3</v>
      </c>
      <c r="C94" s="16">
        <v>5.8274506468105041E-3</v>
      </c>
      <c r="D94" s="16">
        <v>3.0810711269038818E-3</v>
      </c>
      <c r="E94" s="16">
        <v>1.5221134603313915E-4</v>
      </c>
      <c r="F94" s="16">
        <v>5.293382398925163E-5</v>
      </c>
      <c r="G94" s="16">
        <v>5.4637463672322934E-3</v>
      </c>
      <c r="H94" s="16">
        <v>1.7118413096161931E-3</v>
      </c>
      <c r="I94" s="16">
        <v>1.5518093417037184E-2</v>
      </c>
      <c r="J94" s="16">
        <v>2.433128328389913E-3</v>
      </c>
      <c r="K94" s="16">
        <v>2.9978139097325729E-4</v>
      </c>
      <c r="L94" s="16">
        <v>3.4257500558666547E-2</v>
      </c>
      <c r="M94" s="16">
        <v>0.957162622255884</v>
      </c>
      <c r="N94" s="16">
        <v>0.95889000889483189</v>
      </c>
      <c r="O94" s="16">
        <v>0.95627374521043484</v>
      </c>
      <c r="P94" s="16">
        <v>0.95497326841172392</v>
      </c>
      <c r="Q94" s="16">
        <v>0.94552653729726077</v>
      </c>
      <c r="R94" s="349" t="s">
        <v>836</v>
      </c>
    </row>
    <row r="95" spans="1:18">
      <c r="A95" s="148" t="s">
        <v>168</v>
      </c>
      <c r="B95" s="16">
        <v>0.9897239367666596</v>
      </c>
      <c r="C95" s="16">
        <v>0.99618799999999996</v>
      </c>
      <c r="D95" s="16">
        <v>0.99653099999999994</v>
      </c>
      <c r="E95" s="16">
        <v>0.99458299999999999</v>
      </c>
      <c r="F95" s="16">
        <v>0.99678199999999995</v>
      </c>
      <c r="G95" s="16">
        <v>0.99588100000000002</v>
      </c>
      <c r="H95" s="16">
        <v>0.99675199999999997</v>
      </c>
      <c r="I95" s="16">
        <v>6.169E-3</v>
      </c>
      <c r="J95" s="16">
        <v>2.885E-3</v>
      </c>
      <c r="K95" s="16">
        <v>2.3909999999999999E-3</v>
      </c>
      <c r="L95" s="16">
        <v>6.5789999999999998E-3</v>
      </c>
      <c r="M95" s="16">
        <v>1.1497E-2</v>
      </c>
      <c r="N95" s="16">
        <v>0.37515199999999999</v>
      </c>
      <c r="O95" s="16">
        <v>0.86092500000000005</v>
      </c>
      <c r="P95" s="16">
        <v>0.66133600000000003</v>
      </c>
      <c r="Q95" s="16">
        <v>0.92452500000000004</v>
      </c>
      <c r="R95" s="349" t="s">
        <v>811</v>
      </c>
    </row>
    <row r="96" spans="1:18">
      <c r="A96" s="148" t="s">
        <v>169</v>
      </c>
      <c r="B96" s="16">
        <v>1.8979346121382442E-3</v>
      </c>
      <c r="C96" s="16">
        <v>8.3214498415663731E-4</v>
      </c>
      <c r="D96" s="16">
        <v>8.7476703779958565E-4</v>
      </c>
      <c r="E96" s="16">
        <v>3.3269607584681784E-3</v>
      </c>
      <c r="F96" s="16">
        <v>4.2624018879687422E-4</v>
      </c>
      <c r="G96" s="16">
        <v>2.1803263497132347E-3</v>
      </c>
      <c r="H96" s="16">
        <v>3.2523354599999995E-4</v>
      </c>
      <c r="I96" s="16">
        <v>0.98650434232000006</v>
      </c>
      <c r="J96" s="16">
        <v>0.99371527356199996</v>
      </c>
      <c r="K96" s="16">
        <v>0.99085210027299997</v>
      </c>
      <c r="L96" s="16">
        <v>0.98907010963800002</v>
      </c>
      <c r="M96" s="16">
        <v>0.97798382684000007</v>
      </c>
      <c r="N96" s="16">
        <v>0.53847419256232887</v>
      </c>
      <c r="O96" s="16">
        <v>0.13107741811102591</v>
      </c>
      <c r="P96" s="16">
        <v>0.26916084054141931</v>
      </c>
      <c r="Q96" s="16">
        <v>7.0798686743781869E-2</v>
      </c>
      <c r="R96" s="349" t="s">
        <v>811</v>
      </c>
    </row>
    <row r="97" spans="1:18">
      <c r="A97" s="148" t="s">
        <v>170</v>
      </c>
      <c r="B97" s="16">
        <v>0.741035</v>
      </c>
      <c r="C97" s="16">
        <v>0.75716399999999995</v>
      </c>
      <c r="D97" s="16">
        <v>0.781358</v>
      </c>
      <c r="E97" s="16">
        <v>0.82167999999999997</v>
      </c>
      <c r="F97" s="16">
        <v>0.83013999999999999</v>
      </c>
      <c r="G97" s="16">
        <v>0.77287300000000003</v>
      </c>
      <c r="H97" s="16">
        <v>0.69077200000000005</v>
      </c>
      <c r="I97" s="16">
        <v>0.56894699999999998</v>
      </c>
      <c r="J97" s="16">
        <v>0</v>
      </c>
      <c r="K97" s="16">
        <v>0</v>
      </c>
      <c r="L97" s="16">
        <v>0</v>
      </c>
      <c r="M97" s="16">
        <v>0</v>
      </c>
      <c r="N97" s="16">
        <v>0</v>
      </c>
      <c r="O97" s="16">
        <v>0</v>
      </c>
      <c r="P97" s="16">
        <v>0</v>
      </c>
      <c r="Q97" s="16">
        <v>0</v>
      </c>
      <c r="R97" s="349" t="s">
        <v>868</v>
      </c>
    </row>
    <row r="98" spans="1:18">
      <c r="A98" s="148" t="s">
        <v>171</v>
      </c>
      <c r="B98" s="16">
        <v>0</v>
      </c>
      <c r="C98" s="16">
        <v>0</v>
      </c>
      <c r="D98" s="16">
        <v>0</v>
      </c>
      <c r="E98" s="16">
        <v>0</v>
      </c>
      <c r="F98" s="16">
        <v>0</v>
      </c>
      <c r="G98" s="16">
        <v>0</v>
      </c>
      <c r="H98" s="16">
        <v>0.77778499999999995</v>
      </c>
      <c r="I98" s="16">
        <v>0.81100000000000005</v>
      </c>
      <c r="J98" s="16">
        <v>0.80814200000000003</v>
      </c>
      <c r="K98" s="16">
        <v>0.76921700000000004</v>
      </c>
      <c r="L98" s="16">
        <v>0.69421100000000002</v>
      </c>
      <c r="M98" s="16">
        <v>0</v>
      </c>
      <c r="N98" s="16">
        <v>0</v>
      </c>
      <c r="O98" s="16">
        <v>0</v>
      </c>
      <c r="P98" s="16">
        <v>0</v>
      </c>
      <c r="Q98" s="16">
        <v>0</v>
      </c>
      <c r="R98" s="349" t="s">
        <v>784</v>
      </c>
    </row>
    <row r="99" spans="1:18">
      <c r="A99" s="148" t="s">
        <v>172</v>
      </c>
      <c r="B99" s="16">
        <v>0</v>
      </c>
      <c r="C99" s="16">
        <v>0</v>
      </c>
      <c r="D99" s="16">
        <v>0</v>
      </c>
      <c r="E99" s="16">
        <v>0</v>
      </c>
      <c r="F99" s="16">
        <v>0</v>
      </c>
      <c r="G99" s="16">
        <v>0</v>
      </c>
      <c r="H99" s="16">
        <v>0</v>
      </c>
      <c r="I99" s="16">
        <v>0</v>
      </c>
      <c r="J99" s="16">
        <v>0</v>
      </c>
      <c r="K99" s="16">
        <v>0</v>
      </c>
      <c r="L99" s="16">
        <v>0.89419999999999999</v>
      </c>
      <c r="M99" s="16">
        <v>0.93729499999999999</v>
      </c>
      <c r="N99" s="16">
        <v>0.93840699999999999</v>
      </c>
      <c r="O99" s="16">
        <v>0.89761599999999997</v>
      </c>
      <c r="P99" s="16">
        <v>0.74512</v>
      </c>
      <c r="Q99" s="16">
        <v>0.70455699999999999</v>
      </c>
      <c r="R99" s="349" t="s">
        <v>785</v>
      </c>
    </row>
    <row r="100" spans="1:18">
      <c r="A100" s="148" t="s">
        <v>173</v>
      </c>
      <c r="B100" s="16">
        <v>0.85628374135306673</v>
      </c>
      <c r="C100" s="16">
        <v>0.88594186922994578</v>
      </c>
      <c r="D100" s="16">
        <v>0.91199536360580813</v>
      </c>
      <c r="E100" s="16">
        <v>0.92006132317917366</v>
      </c>
      <c r="F100" s="16">
        <v>0.92286907966667286</v>
      </c>
      <c r="G100" s="16">
        <v>0.92647446857295856</v>
      </c>
      <c r="H100" s="16">
        <v>0.91202910483238409</v>
      </c>
      <c r="I100" s="16">
        <v>0.91071821325868041</v>
      </c>
      <c r="J100" s="16">
        <v>0</v>
      </c>
      <c r="K100" s="16">
        <v>0</v>
      </c>
      <c r="L100" s="16">
        <v>0</v>
      </c>
      <c r="M100" s="16">
        <v>0</v>
      </c>
      <c r="N100" s="16">
        <v>0</v>
      </c>
      <c r="O100" s="16">
        <v>0</v>
      </c>
      <c r="P100" s="16">
        <v>0</v>
      </c>
      <c r="Q100" s="16">
        <v>0</v>
      </c>
      <c r="R100" s="349" t="s">
        <v>851</v>
      </c>
    </row>
    <row r="101" spans="1:18">
      <c r="A101" s="148" t="s">
        <v>174</v>
      </c>
      <c r="B101" s="16">
        <v>0</v>
      </c>
      <c r="C101" s="16">
        <v>0</v>
      </c>
      <c r="D101" s="16">
        <v>0</v>
      </c>
      <c r="E101" s="16">
        <v>0</v>
      </c>
      <c r="F101" s="16">
        <v>0</v>
      </c>
      <c r="G101" s="16">
        <v>0</v>
      </c>
      <c r="H101" s="16">
        <v>0.92562425416421013</v>
      </c>
      <c r="I101" s="16">
        <v>0.94027131215380921</v>
      </c>
      <c r="J101" s="16">
        <v>0.94045369945112556</v>
      </c>
      <c r="K101" s="16">
        <v>0.94658396835263114</v>
      </c>
      <c r="L101" s="16">
        <v>0.94546082081586558</v>
      </c>
      <c r="M101" s="16">
        <v>0</v>
      </c>
      <c r="N101" s="16">
        <v>0</v>
      </c>
      <c r="O101" s="16">
        <v>0</v>
      </c>
      <c r="P101" s="16">
        <v>0</v>
      </c>
      <c r="Q101" s="16">
        <v>0</v>
      </c>
      <c r="R101" s="349" t="s">
        <v>817</v>
      </c>
    </row>
    <row r="102" spans="1:18">
      <c r="A102" s="148" t="s">
        <v>175</v>
      </c>
      <c r="B102" s="16">
        <v>0</v>
      </c>
      <c r="C102" s="16">
        <v>0</v>
      </c>
      <c r="D102" s="16">
        <v>0</v>
      </c>
      <c r="E102" s="16">
        <v>0</v>
      </c>
      <c r="F102" s="16">
        <v>0</v>
      </c>
      <c r="G102" s="16">
        <v>0</v>
      </c>
      <c r="H102" s="16">
        <v>0</v>
      </c>
      <c r="I102" s="16">
        <v>0</v>
      </c>
      <c r="J102" s="16">
        <v>0</v>
      </c>
      <c r="K102" s="16">
        <v>0</v>
      </c>
      <c r="L102" s="16">
        <v>0.94787844467127347</v>
      </c>
      <c r="M102" s="16">
        <v>0.95219949917135271</v>
      </c>
      <c r="N102" s="16">
        <v>0.93765313042157727</v>
      </c>
      <c r="O102" s="16">
        <v>0.92799956148448159</v>
      </c>
      <c r="P102" s="16">
        <v>0.93186956320722425</v>
      </c>
      <c r="Q102" s="16">
        <v>0.93147508230981502</v>
      </c>
      <c r="R102" s="349" t="s">
        <v>818</v>
      </c>
    </row>
    <row r="103" spans="1:18">
      <c r="A103" s="148" t="s">
        <v>176</v>
      </c>
      <c r="B103" s="16">
        <v>0.95901204764353964</v>
      </c>
      <c r="C103" s="16">
        <v>0.94541843684872406</v>
      </c>
      <c r="D103" s="16">
        <v>0.98344724931794103</v>
      </c>
      <c r="E103" s="16">
        <v>0.9900136461340413</v>
      </c>
      <c r="F103" s="16">
        <v>0.96622953451520543</v>
      </c>
      <c r="G103" s="16">
        <v>0.93352638103930619</v>
      </c>
      <c r="H103" s="16">
        <v>0.90776026011890076</v>
      </c>
      <c r="I103" s="16">
        <v>0.88199413919849523</v>
      </c>
      <c r="J103" s="16">
        <v>0.88900000000000001</v>
      </c>
      <c r="K103" s="16">
        <v>0.83799999999999997</v>
      </c>
      <c r="L103" s="16">
        <v>0.755</v>
      </c>
      <c r="M103" s="16">
        <v>0.65700000000000003</v>
      </c>
      <c r="N103" s="16">
        <v>0.53600000000000003</v>
      </c>
      <c r="O103" s="16">
        <v>0.38400000000000001</v>
      </c>
      <c r="P103" s="16">
        <v>0.14299999999999999</v>
      </c>
      <c r="Q103" s="16">
        <v>0.111</v>
      </c>
      <c r="R103" s="349" t="s">
        <v>819</v>
      </c>
    </row>
    <row r="104" spans="1:18">
      <c r="A104" s="148" t="s">
        <v>177</v>
      </c>
      <c r="B104" s="16">
        <v>0.19991999999999999</v>
      </c>
      <c r="C104" s="16">
        <v>0.22892999999999999</v>
      </c>
      <c r="D104" s="16">
        <v>0.44538</v>
      </c>
      <c r="E104" s="16">
        <v>0.78986000000000001</v>
      </c>
      <c r="F104" s="16">
        <v>0.88966000000000001</v>
      </c>
      <c r="G104" s="16">
        <v>0.88453999999999999</v>
      </c>
      <c r="H104" s="16">
        <v>0.89127999999999996</v>
      </c>
      <c r="I104" s="16">
        <v>0.91135999999999995</v>
      </c>
      <c r="J104" s="16">
        <v>0.93527000000000005</v>
      </c>
      <c r="K104" s="16">
        <v>0.95760000000000001</v>
      </c>
      <c r="L104" s="16">
        <v>0.97406999999999999</v>
      </c>
      <c r="M104" s="16">
        <v>0.98438000000000003</v>
      </c>
      <c r="N104" s="16">
        <v>0.98780000000000001</v>
      </c>
      <c r="O104" s="16">
        <v>0.97638000000000003</v>
      </c>
      <c r="P104" s="16">
        <v>0.65746000000000004</v>
      </c>
      <c r="Q104" s="16">
        <v>0.51488</v>
      </c>
      <c r="R104" s="349" t="s">
        <v>812</v>
      </c>
    </row>
    <row r="105" spans="1:18" ht="15" thickBot="1">
      <c r="A105" s="152" t="s">
        <v>178</v>
      </c>
      <c r="B105" s="363">
        <v>0.224</v>
      </c>
      <c r="C105" s="363">
        <v>0.28100000000000003</v>
      </c>
      <c r="D105" s="363">
        <v>0.41799999999999998</v>
      </c>
      <c r="E105" s="363">
        <v>0.66100000000000003</v>
      </c>
      <c r="F105" s="363">
        <v>0.84399999999999997</v>
      </c>
      <c r="G105" s="363">
        <v>0.84399999999999997</v>
      </c>
      <c r="H105" s="363">
        <v>0.84699999999999998</v>
      </c>
      <c r="I105" s="363">
        <v>0.85299999999999998</v>
      </c>
      <c r="J105" s="363">
        <v>0.88300000000000001</v>
      </c>
      <c r="K105" s="363">
        <v>0.91</v>
      </c>
      <c r="L105" s="363">
        <v>0.94899999999999995</v>
      </c>
      <c r="M105" s="363">
        <v>0.97199999999999998</v>
      </c>
      <c r="N105" s="363">
        <v>0.99</v>
      </c>
      <c r="O105" s="363">
        <v>0.996</v>
      </c>
      <c r="P105" s="363">
        <v>0.752</v>
      </c>
      <c r="Q105" s="363">
        <v>0.61099999999999999</v>
      </c>
      <c r="R105" s="349" t="s">
        <v>619</v>
      </c>
    </row>
    <row r="107" spans="1:18" ht="15" thickBot="1">
      <c r="A107" s="524" t="s">
        <v>758</v>
      </c>
      <c r="B107" s="524"/>
      <c r="C107" s="524"/>
      <c r="D107" s="524"/>
      <c r="E107" s="524"/>
      <c r="F107" s="524"/>
      <c r="G107" s="524"/>
      <c r="H107" s="524"/>
      <c r="I107" s="524"/>
      <c r="J107" s="524"/>
      <c r="K107" s="524"/>
      <c r="L107" s="524"/>
      <c r="M107" s="524"/>
      <c r="N107" s="524"/>
      <c r="O107" s="524"/>
      <c r="P107" s="524"/>
      <c r="Q107" s="524"/>
    </row>
    <row r="108" spans="1:18" ht="15" thickBot="1">
      <c r="A108" s="124" t="s">
        <v>161</v>
      </c>
      <c r="B108" s="127">
        <f>IF(AND(ISNUMBER(B109),ISNUMBER(B110),ISNUMBER(B111)),SUM(B109:B111),"")</f>
        <v>0.37437111053799721</v>
      </c>
      <c r="C108" s="127">
        <f t="shared" ref="C108:Q108" si="25">IF(AND(ISNUMBER(C109),ISNUMBER(C110),ISNUMBER(C111)),SUM(C109:C111),"")</f>
        <v>0.41403598282883758</v>
      </c>
      <c r="D108" s="127">
        <f t="shared" si="25"/>
        <v>0.51012978677930942</v>
      </c>
      <c r="E108" s="127">
        <f t="shared" si="25"/>
        <v>0.63572121379435975</v>
      </c>
      <c r="F108" s="127">
        <f t="shared" si="25"/>
        <v>0.68808686134205399</v>
      </c>
      <c r="G108" s="127">
        <f t="shared" si="25"/>
        <v>0.65167513076841921</v>
      </c>
      <c r="H108" s="127">
        <f t="shared" si="25"/>
        <v>0.61391656172032205</v>
      </c>
      <c r="I108" s="127">
        <f t="shared" si="25"/>
        <v>0.64349802999280414</v>
      </c>
      <c r="J108" s="127">
        <f t="shared" si="25"/>
        <v>0.68882644412014049</v>
      </c>
      <c r="K108" s="127">
        <f t="shared" si="25"/>
        <v>0.67214446887194645</v>
      </c>
      <c r="L108" s="127">
        <f t="shared" si="25"/>
        <v>0.64086846087871485</v>
      </c>
      <c r="M108" s="127">
        <f t="shared" si="25"/>
        <v>0.79176622718517986</v>
      </c>
      <c r="N108" s="127">
        <f t="shared" si="25"/>
        <v>0.81349405205732461</v>
      </c>
      <c r="O108" s="127">
        <f t="shared" si="25"/>
        <v>0.78728610824491352</v>
      </c>
      <c r="P108" s="127">
        <f t="shared" si="25"/>
        <v>0.4645173411492311</v>
      </c>
      <c r="Q108" s="127">
        <f t="shared" si="25"/>
        <v>0.34267492938343569</v>
      </c>
      <c r="R108" s="349"/>
    </row>
    <row r="109" spans="1:18">
      <c r="A109" s="123" t="s">
        <v>162</v>
      </c>
      <c r="B109" s="180">
        <f>IF(AND(ISNUMBER(B112), ISNUMBER(B113),ISNUMBER(B115),ISNUMBER(B117),ISNUMBER(B120),ISNUMBER(B123)),B112*B113*B115*B117*B120*B123,"")</f>
        <v>0.37437111053799721</v>
      </c>
      <c r="C109" s="180">
        <f t="shared" ref="C109:Q109" si="26">IF(AND(ISNUMBER(C112), ISNUMBER(C113),ISNUMBER(C115),ISNUMBER(C117),ISNUMBER(C120),ISNUMBER(C123)),C112*C113*C115*C117*C120*C123,"")</f>
        <v>0.41403598282883758</v>
      </c>
      <c r="D109" s="180">
        <f t="shared" si="26"/>
        <v>0.51012978677930942</v>
      </c>
      <c r="E109" s="180">
        <f t="shared" si="26"/>
        <v>0.63572121379435975</v>
      </c>
      <c r="F109" s="180">
        <f t="shared" si="26"/>
        <v>0.68808686134205399</v>
      </c>
      <c r="G109" s="180">
        <f t="shared" si="26"/>
        <v>0.65167513076841921</v>
      </c>
      <c r="H109" s="180">
        <f t="shared" si="26"/>
        <v>0.61369019568353633</v>
      </c>
      <c r="I109" s="180">
        <f t="shared" si="26"/>
        <v>2.942119786440699E-3</v>
      </c>
      <c r="J109" s="180">
        <f t="shared" si="26"/>
        <v>0</v>
      </c>
      <c r="K109" s="180">
        <f t="shared" si="26"/>
        <v>0</v>
      </c>
      <c r="L109" s="180">
        <f t="shared" si="26"/>
        <v>0</v>
      </c>
      <c r="M109" s="180">
        <f t="shared" si="26"/>
        <v>0</v>
      </c>
      <c r="N109" s="180">
        <f t="shared" si="26"/>
        <v>0</v>
      </c>
      <c r="O109" s="180">
        <f t="shared" si="26"/>
        <v>0</v>
      </c>
      <c r="P109" s="180">
        <f t="shared" si="26"/>
        <v>0</v>
      </c>
      <c r="Q109" s="180">
        <f t="shared" si="26"/>
        <v>0</v>
      </c>
      <c r="R109" s="349"/>
    </row>
    <row r="110" spans="1:18">
      <c r="A110" s="123" t="s">
        <v>163</v>
      </c>
      <c r="B110" s="180">
        <f>IF(AND(ISNUMBER(B112),ISNUMBER(B113), ISNUMBER(B116), ISNUMBER(B118), ISNUMBER(B121), ISNUMBER(B124)),B112*B113*B116*B118*B121*B124,"")</f>
        <v>0</v>
      </c>
      <c r="C110" s="180">
        <f t="shared" ref="C110:Q110" si="27">IF(AND(ISNUMBER(C112),ISNUMBER(C113), ISNUMBER(C116), ISNUMBER(C118), ISNUMBER(C121), ISNUMBER(C124)),C112*C113*C116*C118*C121*C124,"")</f>
        <v>0</v>
      </c>
      <c r="D110" s="180">
        <f t="shared" si="27"/>
        <v>0</v>
      </c>
      <c r="E110" s="180">
        <f t="shared" si="27"/>
        <v>0</v>
      </c>
      <c r="F110" s="180">
        <f t="shared" si="27"/>
        <v>0</v>
      </c>
      <c r="G110" s="180">
        <f t="shared" si="27"/>
        <v>0</v>
      </c>
      <c r="H110" s="180">
        <f t="shared" si="27"/>
        <v>2.263660367857743E-4</v>
      </c>
      <c r="I110" s="180">
        <f t="shared" si="27"/>
        <v>0.64055591020636349</v>
      </c>
      <c r="J110" s="180">
        <f t="shared" si="27"/>
        <v>0.68882644412014049</v>
      </c>
      <c r="K110" s="180">
        <f t="shared" si="27"/>
        <v>0.67214446887194645</v>
      </c>
      <c r="L110" s="180">
        <f t="shared" si="27"/>
        <v>0.52254028713167822</v>
      </c>
      <c r="M110" s="180">
        <f t="shared" si="27"/>
        <v>0</v>
      </c>
      <c r="N110" s="180">
        <f t="shared" si="27"/>
        <v>0</v>
      </c>
      <c r="O110" s="180">
        <f t="shared" si="27"/>
        <v>0</v>
      </c>
      <c r="P110" s="180">
        <f t="shared" si="27"/>
        <v>0</v>
      </c>
      <c r="Q110" s="180">
        <f t="shared" si="27"/>
        <v>0</v>
      </c>
      <c r="R110" s="349"/>
    </row>
    <row r="111" spans="1:18">
      <c r="A111" s="192" t="s">
        <v>164</v>
      </c>
      <c r="B111" s="16">
        <f>IF(AND(ISNUMBER(B112),ISNUMBER(B114),ISNUMBER(B119),ISNUMBER(B122),ISNUMBER(B124)),B112*B114*B119*B122*B124,"")</f>
        <v>0</v>
      </c>
      <c r="C111" s="16">
        <f t="shared" ref="C111:Q111" si="28">IF(AND(ISNUMBER(C112),ISNUMBER(C114),ISNUMBER(C119),ISNUMBER(C122),ISNUMBER(C124)),C112*C114*C119*C122*C124,"")</f>
        <v>0</v>
      </c>
      <c r="D111" s="16">
        <f t="shared" si="28"/>
        <v>0</v>
      </c>
      <c r="E111" s="16">
        <f t="shared" si="28"/>
        <v>0</v>
      </c>
      <c r="F111" s="16">
        <f t="shared" si="28"/>
        <v>0</v>
      </c>
      <c r="G111" s="16">
        <f t="shared" si="28"/>
        <v>0</v>
      </c>
      <c r="H111" s="16">
        <f t="shared" si="28"/>
        <v>0</v>
      </c>
      <c r="I111" s="16">
        <f t="shared" si="28"/>
        <v>0</v>
      </c>
      <c r="J111" s="16">
        <f t="shared" si="28"/>
        <v>0</v>
      </c>
      <c r="K111" s="16">
        <f t="shared" si="28"/>
        <v>0</v>
      </c>
      <c r="L111" s="16">
        <f t="shared" si="28"/>
        <v>0.11832817374703662</v>
      </c>
      <c r="M111" s="16">
        <f t="shared" si="28"/>
        <v>0.79176622718517986</v>
      </c>
      <c r="N111" s="16">
        <f t="shared" si="28"/>
        <v>0.81349405205732461</v>
      </c>
      <c r="O111" s="16">
        <f t="shared" si="28"/>
        <v>0.78728610824491352</v>
      </c>
      <c r="P111" s="16">
        <f t="shared" si="28"/>
        <v>0.4645173411492311</v>
      </c>
      <c r="Q111" s="16">
        <f t="shared" si="28"/>
        <v>0.34267492938343569</v>
      </c>
      <c r="R111" s="349"/>
    </row>
    <row r="112" spans="1:18">
      <c r="A112" s="148" t="s">
        <v>165</v>
      </c>
      <c r="B112" s="16">
        <v>0.99275166999999997</v>
      </c>
      <c r="C112" s="16">
        <v>0.98117098000000003</v>
      </c>
      <c r="D112" s="16">
        <v>0.99232087000000002</v>
      </c>
      <c r="E112" s="16">
        <v>0.99335792000000001</v>
      </c>
      <c r="F112" s="16">
        <v>0.97513875999999999</v>
      </c>
      <c r="G112" s="16">
        <v>0.97789961000000003</v>
      </c>
      <c r="H112" s="16">
        <v>0.98137823999999996</v>
      </c>
      <c r="I112" s="16">
        <v>0.98094587</v>
      </c>
      <c r="J112" s="16">
        <v>0.97993896000000003</v>
      </c>
      <c r="K112" s="16">
        <v>0.98340495999999999</v>
      </c>
      <c r="L112" s="16">
        <v>0.98432712</v>
      </c>
      <c r="M112" s="16">
        <v>0.98598180999999996</v>
      </c>
      <c r="N112" s="16">
        <v>0.98286161000000005</v>
      </c>
      <c r="O112" s="16">
        <v>0.98512624999999998</v>
      </c>
      <c r="P112" s="16">
        <v>0.98753592000000001</v>
      </c>
      <c r="Q112" s="16">
        <v>0.98735180999999994</v>
      </c>
      <c r="R112" s="349" t="s">
        <v>842</v>
      </c>
    </row>
    <row r="113" spans="1:18">
      <c r="A113" s="148" t="s">
        <v>166</v>
      </c>
      <c r="B113" s="16">
        <v>0.96037441066762363</v>
      </c>
      <c r="C113" s="16">
        <v>0.96482491999999997</v>
      </c>
      <c r="D113" s="16">
        <v>0.96867806400000001</v>
      </c>
      <c r="E113" s="16">
        <v>0.97036697999999999</v>
      </c>
      <c r="F113" s="16">
        <v>0.97031146199999996</v>
      </c>
      <c r="G113" s="16">
        <v>0.96136721999999997</v>
      </c>
      <c r="H113" s="16">
        <v>0.96822807599999994</v>
      </c>
      <c r="I113" s="16">
        <v>0.955796914</v>
      </c>
      <c r="J113" s="16">
        <v>0.96784139800000002</v>
      </c>
      <c r="K113" s="16">
        <v>0.96935986399999996</v>
      </c>
      <c r="L113" s="16">
        <v>0.81519074926388602</v>
      </c>
      <c r="M113" s="16">
        <v>8.9120999999999992E-3</v>
      </c>
      <c r="N113" s="16">
        <v>6.9806579999999998E-3</v>
      </c>
      <c r="O113" s="16">
        <v>4.9128560000000002E-3</v>
      </c>
      <c r="P113" s="16">
        <v>2.4457140000000003E-3</v>
      </c>
      <c r="Q113" s="16">
        <v>4.09567E-3</v>
      </c>
      <c r="R113" s="349" t="s">
        <v>835</v>
      </c>
    </row>
    <row r="114" spans="1:18">
      <c r="A114" s="148" t="s">
        <v>167</v>
      </c>
      <c r="B114" s="16">
        <v>7.3034257148698019E-3</v>
      </c>
      <c r="C114" s="16">
        <v>5.8274506468105041E-3</v>
      </c>
      <c r="D114" s="16">
        <v>3.0810711269038818E-3</v>
      </c>
      <c r="E114" s="16">
        <v>1.5221134603313915E-4</v>
      </c>
      <c r="F114" s="16">
        <v>5.293382398925163E-5</v>
      </c>
      <c r="G114" s="16">
        <v>5.4637463672322934E-3</v>
      </c>
      <c r="H114" s="16">
        <v>1.7118413096161931E-3</v>
      </c>
      <c r="I114" s="16">
        <v>1.5518093417037184E-2</v>
      </c>
      <c r="J114" s="16">
        <v>2.433128328389913E-3</v>
      </c>
      <c r="K114" s="16">
        <v>2.9978139097325729E-4</v>
      </c>
      <c r="L114" s="16">
        <v>0.15616060950822447</v>
      </c>
      <c r="M114" s="16">
        <v>0.95464569350739592</v>
      </c>
      <c r="N114" s="16">
        <v>0.95647039717064408</v>
      </c>
      <c r="O114" s="16">
        <v>0.95408876215074589</v>
      </c>
      <c r="P114" s="16">
        <v>0.95335055713400396</v>
      </c>
      <c r="Q114" s="16">
        <v>0.94187552828684962</v>
      </c>
      <c r="R114" s="349" t="s">
        <v>836</v>
      </c>
    </row>
    <row r="115" spans="1:18">
      <c r="A115" s="148" t="s">
        <v>168</v>
      </c>
      <c r="B115" s="16">
        <v>0.98015009950811016</v>
      </c>
      <c r="C115" s="16">
        <v>0.99152399999999996</v>
      </c>
      <c r="D115" s="16">
        <v>0.98347600000000002</v>
      </c>
      <c r="E115" s="16">
        <v>0.98065000000000002</v>
      </c>
      <c r="F115" s="16">
        <v>0.993807</v>
      </c>
      <c r="G115" s="16">
        <v>0.988985</v>
      </c>
      <c r="H115" s="16">
        <v>0.99632500000000002</v>
      </c>
      <c r="I115" s="16">
        <v>5.6540000000000002E-3</v>
      </c>
      <c r="J115" s="16">
        <v>2.885E-3</v>
      </c>
      <c r="K115" s="16">
        <v>2.3909999999999999E-3</v>
      </c>
      <c r="L115" s="16">
        <v>6.5789999999999998E-3</v>
      </c>
      <c r="M115" s="16">
        <v>1.1497E-2</v>
      </c>
      <c r="N115" s="16">
        <v>0.37515199999999999</v>
      </c>
      <c r="O115" s="16">
        <v>0.86092500000000005</v>
      </c>
      <c r="P115" s="16">
        <v>0.66133600000000003</v>
      </c>
      <c r="Q115" s="16">
        <v>0.92452500000000004</v>
      </c>
      <c r="R115" s="349" t="s">
        <v>811</v>
      </c>
    </row>
    <row r="116" spans="1:18">
      <c r="A116" s="148" t="s">
        <v>169</v>
      </c>
      <c r="B116" s="16">
        <v>1.8979346121382442E-3</v>
      </c>
      <c r="C116" s="16">
        <v>8.3214498415663731E-4</v>
      </c>
      <c r="D116" s="16">
        <v>8.7476703779958565E-4</v>
      </c>
      <c r="E116" s="16">
        <v>3.3269607584681784E-3</v>
      </c>
      <c r="F116" s="16">
        <v>4.2624018879687422E-4</v>
      </c>
      <c r="G116" s="16">
        <v>2.1803263497132347E-3</v>
      </c>
      <c r="H116" s="16">
        <v>3.8204889600000001E-4</v>
      </c>
      <c r="I116" s="16">
        <v>0.98643013789599998</v>
      </c>
      <c r="J116" s="16">
        <v>0.99272631950800005</v>
      </c>
      <c r="K116" s="16">
        <v>0.98993303741799998</v>
      </c>
      <c r="L116" s="16">
        <v>0.986099865588</v>
      </c>
      <c r="M116" s="16">
        <v>0.97798382684000007</v>
      </c>
      <c r="N116" s="16">
        <v>0.53847419256232887</v>
      </c>
      <c r="O116" s="16">
        <v>0.13107741811102591</v>
      </c>
      <c r="P116" s="16">
        <v>0.26916084054141931</v>
      </c>
      <c r="Q116" s="16">
        <v>7.0798686743781869E-2</v>
      </c>
      <c r="R116" s="349" t="s">
        <v>811</v>
      </c>
    </row>
    <row r="117" spans="1:18">
      <c r="A117" s="148" t="s">
        <v>170</v>
      </c>
      <c r="B117" s="16">
        <v>0.72543400000000002</v>
      </c>
      <c r="C117" s="16">
        <v>0.74802900000000005</v>
      </c>
      <c r="D117" s="16">
        <v>0.78192300000000003</v>
      </c>
      <c r="E117" s="16">
        <v>0.83841200000000005</v>
      </c>
      <c r="F117" s="16">
        <v>0.84979899999999997</v>
      </c>
      <c r="G117" s="16">
        <v>0.81731100000000001</v>
      </c>
      <c r="H117" s="16">
        <v>0.77524999999999999</v>
      </c>
      <c r="I117" s="16">
        <v>0.69011800000000001</v>
      </c>
      <c r="J117" s="16">
        <v>0</v>
      </c>
      <c r="K117" s="16">
        <v>0</v>
      </c>
      <c r="L117" s="16">
        <v>0</v>
      </c>
      <c r="M117" s="16">
        <v>0</v>
      </c>
      <c r="N117" s="16">
        <v>0</v>
      </c>
      <c r="O117" s="16">
        <v>0</v>
      </c>
      <c r="P117" s="16">
        <v>0</v>
      </c>
      <c r="Q117" s="16">
        <v>0</v>
      </c>
      <c r="R117" s="349" t="s">
        <v>869</v>
      </c>
    </row>
    <row r="118" spans="1:18">
      <c r="A118" s="148" t="s">
        <v>171</v>
      </c>
      <c r="B118" s="16">
        <v>0</v>
      </c>
      <c r="C118" s="16">
        <v>0</v>
      </c>
      <c r="D118" s="16">
        <v>0</v>
      </c>
      <c r="E118" s="16">
        <v>0</v>
      </c>
      <c r="F118" s="16">
        <v>0</v>
      </c>
      <c r="G118" s="16">
        <v>0</v>
      </c>
      <c r="H118" s="16">
        <v>0.73500600000000005</v>
      </c>
      <c r="I118" s="16">
        <v>0.81220000000000003</v>
      </c>
      <c r="J118" s="16">
        <v>0.82366600000000001</v>
      </c>
      <c r="K118" s="16">
        <v>0.78688999999999998</v>
      </c>
      <c r="L118" s="16">
        <v>0.71702100000000002</v>
      </c>
      <c r="M118" s="16">
        <v>0</v>
      </c>
      <c r="N118" s="16">
        <v>0</v>
      </c>
      <c r="O118" s="16">
        <v>0</v>
      </c>
      <c r="P118" s="16">
        <v>0</v>
      </c>
      <c r="Q118" s="16">
        <v>0</v>
      </c>
      <c r="R118" s="349" t="s">
        <v>786</v>
      </c>
    </row>
    <row r="119" spans="1:18">
      <c r="A119" s="148" t="s">
        <v>172</v>
      </c>
      <c r="B119" s="16">
        <v>0</v>
      </c>
      <c r="C119" s="16">
        <v>0</v>
      </c>
      <c r="D119" s="16">
        <v>0</v>
      </c>
      <c r="E119" s="16">
        <v>0</v>
      </c>
      <c r="F119" s="16">
        <v>0</v>
      </c>
      <c r="G119" s="16">
        <v>0</v>
      </c>
      <c r="H119" s="16">
        <v>0</v>
      </c>
      <c r="I119" s="16">
        <v>0</v>
      </c>
      <c r="J119" s="16">
        <v>0</v>
      </c>
      <c r="K119" s="16">
        <v>0</v>
      </c>
      <c r="L119" s="16">
        <v>0.83730000000000004</v>
      </c>
      <c r="M119" s="16">
        <v>0.90925599999999995</v>
      </c>
      <c r="N119" s="16">
        <v>0.93681700000000001</v>
      </c>
      <c r="O119" s="16">
        <v>0.919964</v>
      </c>
      <c r="P119" s="16">
        <v>0.80060900000000002</v>
      </c>
      <c r="Q119" s="16">
        <v>0.765571</v>
      </c>
      <c r="R119" s="349" t="s">
        <v>787</v>
      </c>
    </row>
    <row r="120" spans="1:18">
      <c r="A120" s="148" t="s">
        <v>173</v>
      </c>
      <c r="B120" s="16">
        <v>0.79245365460913531</v>
      </c>
      <c r="C120" s="16">
        <v>0.85835408114532508</v>
      </c>
      <c r="D120" s="16">
        <v>0.89626811293056508</v>
      </c>
      <c r="E120" s="16">
        <v>0.91989219106662357</v>
      </c>
      <c r="F120" s="16">
        <v>0.93393466680912196</v>
      </c>
      <c r="G120" s="16">
        <v>0.93113121517774955</v>
      </c>
      <c r="H120" s="16">
        <v>0.91484199123341492</v>
      </c>
      <c r="I120" s="16">
        <v>0.9138772210361078</v>
      </c>
      <c r="J120" s="16">
        <v>0</v>
      </c>
      <c r="K120" s="16">
        <v>0</v>
      </c>
      <c r="L120" s="16">
        <v>0</v>
      </c>
      <c r="M120" s="16">
        <v>0</v>
      </c>
      <c r="N120" s="16">
        <v>0</v>
      </c>
      <c r="O120" s="16">
        <v>0</v>
      </c>
      <c r="P120" s="16">
        <v>0</v>
      </c>
      <c r="Q120" s="16">
        <v>0</v>
      </c>
      <c r="R120" s="349" t="s">
        <v>852</v>
      </c>
    </row>
    <row r="121" spans="1:18">
      <c r="A121" s="148" t="s">
        <v>174</v>
      </c>
      <c r="B121" s="16">
        <v>0</v>
      </c>
      <c r="C121" s="16">
        <v>0</v>
      </c>
      <c r="D121" s="16">
        <v>0</v>
      </c>
      <c r="E121" s="16">
        <v>0</v>
      </c>
      <c r="F121" s="16">
        <v>0</v>
      </c>
      <c r="G121" s="16">
        <v>0</v>
      </c>
      <c r="H121" s="16">
        <v>0.95186021873297999</v>
      </c>
      <c r="I121" s="16">
        <v>0.93567945709272249</v>
      </c>
      <c r="J121" s="16">
        <v>0.949705412271731</v>
      </c>
      <c r="K121" s="16">
        <v>0.94523810051537982</v>
      </c>
      <c r="L121" s="16">
        <v>0.945536162119057</v>
      </c>
      <c r="M121" s="16">
        <v>0</v>
      </c>
      <c r="N121" s="16">
        <v>0</v>
      </c>
      <c r="O121" s="16">
        <v>0</v>
      </c>
      <c r="P121" s="16">
        <v>0</v>
      </c>
      <c r="Q121" s="16">
        <v>0</v>
      </c>
      <c r="R121" s="349" t="s">
        <v>824</v>
      </c>
    </row>
    <row r="122" spans="1:18">
      <c r="A122" s="148" t="s">
        <v>175</v>
      </c>
      <c r="B122" s="16">
        <v>0</v>
      </c>
      <c r="C122" s="16">
        <v>0</v>
      </c>
      <c r="D122" s="16">
        <v>0</v>
      </c>
      <c r="E122" s="16">
        <v>0</v>
      </c>
      <c r="F122" s="16">
        <v>0</v>
      </c>
      <c r="G122" s="16">
        <v>0</v>
      </c>
      <c r="H122" s="16">
        <v>0</v>
      </c>
      <c r="I122" s="16">
        <v>0</v>
      </c>
      <c r="J122" s="16">
        <v>0</v>
      </c>
      <c r="K122" s="16">
        <v>0</v>
      </c>
      <c r="L122" s="16">
        <v>0.94385646821687752</v>
      </c>
      <c r="M122" s="16">
        <v>0.93980314787968089</v>
      </c>
      <c r="N122" s="16">
        <v>0.93511859208592374</v>
      </c>
      <c r="O122" s="16">
        <v>0.93252870385717512</v>
      </c>
      <c r="P122" s="16">
        <v>0.93736039987365838</v>
      </c>
      <c r="Q122" s="16">
        <v>0.93481440435888841</v>
      </c>
      <c r="R122" s="349" t="s">
        <v>825</v>
      </c>
    </row>
    <row r="123" spans="1:18">
      <c r="A123" s="148" t="s">
        <v>176</v>
      </c>
      <c r="B123" s="16">
        <v>0.696878</v>
      </c>
      <c r="C123" s="16">
        <v>0.68700000000000006</v>
      </c>
      <c r="D123" s="16">
        <v>0.76998699999999998</v>
      </c>
      <c r="E123" s="16">
        <v>0.872</v>
      </c>
      <c r="F123" s="16">
        <v>0.92200000000000004</v>
      </c>
      <c r="G123" s="16">
        <v>0.92100000000000004</v>
      </c>
      <c r="H123" s="16">
        <v>0.91400000000000003</v>
      </c>
      <c r="I123" s="16">
        <v>0.88</v>
      </c>
      <c r="J123" s="16">
        <v>0.88900000000000001</v>
      </c>
      <c r="K123" s="16">
        <v>0.83799999999999997</v>
      </c>
      <c r="L123" s="16">
        <v>0.755</v>
      </c>
      <c r="M123" s="16">
        <v>0.65700000000000003</v>
      </c>
      <c r="N123" s="16">
        <v>0.53600000000000003</v>
      </c>
      <c r="O123" s="16">
        <v>0.38400000000000001</v>
      </c>
      <c r="P123" s="16">
        <v>0.14299999999999999</v>
      </c>
      <c r="Q123" s="16">
        <v>0.111</v>
      </c>
      <c r="R123" s="349" t="s">
        <v>826</v>
      </c>
    </row>
    <row r="124" spans="1:18">
      <c r="A124" s="148" t="s">
        <v>177</v>
      </c>
      <c r="B124" s="16">
        <v>0.19991999999999999</v>
      </c>
      <c r="C124" s="16">
        <v>0.22892999999999999</v>
      </c>
      <c r="D124" s="16">
        <v>0.44538</v>
      </c>
      <c r="E124" s="16">
        <v>0.78986000000000001</v>
      </c>
      <c r="F124" s="16">
        <v>0.88966000000000001</v>
      </c>
      <c r="G124" s="16">
        <v>0.88453999999999999</v>
      </c>
      <c r="H124" s="16">
        <v>0.89127999999999996</v>
      </c>
      <c r="I124" s="16">
        <v>0.91135999999999995</v>
      </c>
      <c r="J124" s="16">
        <v>0.93527000000000005</v>
      </c>
      <c r="K124" s="16">
        <v>0.95760000000000001</v>
      </c>
      <c r="L124" s="16">
        <v>0.97406999999999999</v>
      </c>
      <c r="M124" s="16">
        <v>0.98438000000000003</v>
      </c>
      <c r="N124" s="16">
        <v>0.98780000000000001</v>
      </c>
      <c r="O124" s="16">
        <v>0.97638000000000003</v>
      </c>
      <c r="P124" s="16">
        <v>0.65746000000000004</v>
      </c>
      <c r="Q124" s="16">
        <v>0.51488</v>
      </c>
      <c r="R124" s="349" t="s">
        <v>812</v>
      </c>
    </row>
    <row r="125" spans="1:18" ht="15" thickBot="1">
      <c r="A125" s="152" t="s">
        <v>178</v>
      </c>
      <c r="B125" s="363">
        <v>0.224</v>
      </c>
      <c r="C125" s="363">
        <v>0.28100000000000003</v>
      </c>
      <c r="D125" s="363">
        <v>0.41799999999999998</v>
      </c>
      <c r="E125" s="363">
        <v>0.66100000000000003</v>
      </c>
      <c r="F125" s="363">
        <v>0.84399999999999997</v>
      </c>
      <c r="G125" s="363">
        <v>0.84399999999999997</v>
      </c>
      <c r="H125" s="363">
        <v>0.84699999999999998</v>
      </c>
      <c r="I125" s="363">
        <v>0.85299999999999998</v>
      </c>
      <c r="J125" s="363">
        <v>0.88300000000000001</v>
      </c>
      <c r="K125" s="363">
        <v>0.91</v>
      </c>
      <c r="L125" s="363">
        <v>0.94899999999999995</v>
      </c>
      <c r="M125" s="363">
        <v>0.97199999999999998</v>
      </c>
      <c r="N125" s="363">
        <v>0.99</v>
      </c>
      <c r="O125" s="363">
        <v>0.996</v>
      </c>
      <c r="P125" s="363">
        <v>0.752</v>
      </c>
      <c r="Q125" s="363">
        <v>0.61099999999999999</v>
      </c>
      <c r="R125" s="349" t="s">
        <v>619</v>
      </c>
    </row>
    <row r="127" spans="1:18" ht="15" thickBot="1">
      <c r="A127" s="524" t="s">
        <v>759</v>
      </c>
      <c r="B127" s="524"/>
      <c r="C127" s="524"/>
      <c r="D127" s="524"/>
      <c r="E127" s="524"/>
      <c r="F127" s="524"/>
      <c r="G127" s="524"/>
      <c r="H127" s="524"/>
      <c r="I127" s="524"/>
      <c r="J127" s="524"/>
      <c r="K127" s="524"/>
      <c r="L127" s="524"/>
      <c r="M127" s="524"/>
      <c r="N127" s="524"/>
      <c r="O127" s="524"/>
      <c r="P127" s="524"/>
      <c r="Q127" s="524"/>
    </row>
    <row r="128" spans="1:18" ht="15" thickBot="1">
      <c r="A128" s="124" t="s">
        <v>161</v>
      </c>
      <c r="B128" s="127">
        <f>IF(AND(ISNUMBER(B129),ISNUMBER(B130),ISNUMBER(B131)),SUM(B129:B131),"")</f>
        <v>0.44465739411061356</v>
      </c>
      <c r="C128" s="127">
        <f t="shared" ref="C128:Q128" si="29">IF(AND(ISNUMBER(C129),ISNUMBER(C130),ISNUMBER(C131)),SUM(C129:C131),"")</f>
        <v>0.46349065030397113</v>
      </c>
      <c r="D128" s="127">
        <f t="shared" si="29"/>
        <v>0.55056176073257002</v>
      </c>
      <c r="E128" s="127">
        <f t="shared" si="29"/>
        <v>0.65004882342881176</v>
      </c>
      <c r="F128" s="127">
        <f t="shared" si="29"/>
        <v>0.7005313727633995</v>
      </c>
      <c r="G128" s="127">
        <f t="shared" si="29"/>
        <v>0.66723280818062058</v>
      </c>
      <c r="H128" s="127">
        <f t="shared" si="29"/>
        <v>0.61397920333762934</v>
      </c>
      <c r="I128" s="127">
        <f t="shared" si="29"/>
        <v>0.697349038426472</v>
      </c>
      <c r="J128" s="127">
        <f t="shared" si="29"/>
        <v>0.72021370669465012</v>
      </c>
      <c r="K128" s="127">
        <f t="shared" si="29"/>
        <v>0.71059431399740358</v>
      </c>
      <c r="L128" s="127">
        <f t="shared" si="29"/>
        <v>0.66394559328489811</v>
      </c>
      <c r="M128" s="127">
        <f t="shared" si="29"/>
        <v>0.7933775659555673</v>
      </c>
      <c r="N128" s="127">
        <f t="shared" si="29"/>
        <v>0.79407271772581933</v>
      </c>
      <c r="O128" s="127">
        <f t="shared" si="29"/>
        <v>0.77279945084563739</v>
      </c>
      <c r="P128" s="127">
        <f t="shared" si="29"/>
        <v>0.42901526101820237</v>
      </c>
      <c r="Q128" s="127">
        <f t="shared" si="29"/>
        <v>0.30448555295679974</v>
      </c>
      <c r="R128" s="349"/>
    </row>
    <row r="129" spans="1:18">
      <c r="A129" s="123" t="s">
        <v>162</v>
      </c>
      <c r="B129" s="180">
        <f>IF(AND(ISNUMBER(B132), ISNUMBER(B133),ISNUMBER(B135),ISNUMBER(B137),ISNUMBER(B140),ISNUMBER(B143)),B132*B133*B135*B137*B140*B143,"")</f>
        <v>0.44465739411061356</v>
      </c>
      <c r="C129" s="180">
        <f t="shared" ref="C129:Q129" si="30">IF(AND(ISNUMBER(C132), ISNUMBER(C133),ISNUMBER(C135),ISNUMBER(C137),ISNUMBER(C140),ISNUMBER(C143)),C132*C133*C135*C137*C140*C143,"")</f>
        <v>0.46349065030397113</v>
      </c>
      <c r="D129" s="180">
        <f t="shared" si="30"/>
        <v>0.55056176073257002</v>
      </c>
      <c r="E129" s="180">
        <f t="shared" si="30"/>
        <v>0.65004882342881176</v>
      </c>
      <c r="F129" s="180">
        <f t="shared" si="30"/>
        <v>0.7005313727633995</v>
      </c>
      <c r="G129" s="180">
        <f t="shared" si="30"/>
        <v>0.66723280818062058</v>
      </c>
      <c r="H129" s="180">
        <f t="shared" si="30"/>
        <v>0.61371316268321108</v>
      </c>
      <c r="I129" s="180">
        <f t="shared" si="30"/>
        <v>3.0876900738252863E-3</v>
      </c>
      <c r="J129" s="180">
        <f t="shared" si="30"/>
        <v>0</v>
      </c>
      <c r="K129" s="180">
        <f t="shared" si="30"/>
        <v>0</v>
      </c>
      <c r="L129" s="180">
        <f t="shared" si="30"/>
        <v>0</v>
      </c>
      <c r="M129" s="180">
        <f t="shared" si="30"/>
        <v>0</v>
      </c>
      <c r="N129" s="180">
        <f t="shared" si="30"/>
        <v>0</v>
      </c>
      <c r="O129" s="180">
        <f t="shared" si="30"/>
        <v>0</v>
      </c>
      <c r="P129" s="180">
        <f t="shared" si="30"/>
        <v>0</v>
      </c>
      <c r="Q129" s="180">
        <f t="shared" si="30"/>
        <v>0</v>
      </c>
      <c r="R129" s="349"/>
    </row>
    <row r="130" spans="1:18">
      <c r="A130" s="123" t="s">
        <v>163</v>
      </c>
      <c r="B130" s="180">
        <f>IF(AND(ISNUMBER(B132),ISNUMBER(B133), ISNUMBER(B136), ISNUMBER(B138), ISNUMBER(B141), ISNUMBER(B144)),B132*B133*B136*B138*B141*B144,"")</f>
        <v>0</v>
      </c>
      <c r="C130" s="180">
        <f t="shared" ref="C130:Q130" si="31">IF(AND(ISNUMBER(C132),ISNUMBER(C133), ISNUMBER(C136), ISNUMBER(C138), ISNUMBER(C141), ISNUMBER(C144)),C132*C133*C136*C138*C141*C144,"")</f>
        <v>0</v>
      </c>
      <c r="D130" s="180">
        <f t="shared" si="31"/>
        <v>0</v>
      </c>
      <c r="E130" s="180">
        <f t="shared" si="31"/>
        <v>0</v>
      </c>
      <c r="F130" s="180">
        <f t="shared" si="31"/>
        <v>0</v>
      </c>
      <c r="G130" s="180">
        <f t="shared" si="31"/>
        <v>0</v>
      </c>
      <c r="H130" s="180">
        <f t="shared" si="31"/>
        <v>2.6604065441826317E-4</v>
      </c>
      <c r="I130" s="180">
        <f t="shared" si="31"/>
        <v>0.69426134835264675</v>
      </c>
      <c r="J130" s="180">
        <f t="shared" si="31"/>
        <v>0.72021370669465012</v>
      </c>
      <c r="K130" s="180">
        <f t="shared" si="31"/>
        <v>0.71059431399740358</v>
      </c>
      <c r="L130" s="180">
        <f t="shared" si="31"/>
        <v>0.543372296955689</v>
      </c>
      <c r="M130" s="180">
        <f t="shared" si="31"/>
        <v>0</v>
      </c>
      <c r="N130" s="180">
        <f t="shared" si="31"/>
        <v>0</v>
      </c>
      <c r="O130" s="180">
        <f t="shared" si="31"/>
        <v>0</v>
      </c>
      <c r="P130" s="180">
        <f t="shared" si="31"/>
        <v>0</v>
      </c>
      <c r="Q130" s="180">
        <f t="shared" si="31"/>
        <v>0</v>
      </c>
      <c r="R130" s="349"/>
    </row>
    <row r="131" spans="1:18">
      <c r="A131" s="192" t="s">
        <v>164</v>
      </c>
      <c r="B131" s="16">
        <f>IF(AND(ISNUMBER(B132),ISNUMBER(B134),ISNUMBER(B139),ISNUMBER(B142),ISNUMBER(B144)),B132*B134*B139*B142*B144,"")</f>
        <v>0</v>
      </c>
      <c r="C131" s="16">
        <f t="shared" ref="C131:Q131" si="32">IF(AND(ISNUMBER(C132),ISNUMBER(C134),ISNUMBER(C139),ISNUMBER(C142),ISNUMBER(C144)),C132*C134*C139*C142*C144,"")</f>
        <v>0</v>
      </c>
      <c r="D131" s="16">
        <f t="shared" si="32"/>
        <v>0</v>
      </c>
      <c r="E131" s="16">
        <f t="shared" si="32"/>
        <v>0</v>
      </c>
      <c r="F131" s="16">
        <f t="shared" si="32"/>
        <v>0</v>
      </c>
      <c r="G131" s="16">
        <f t="shared" si="32"/>
        <v>0</v>
      </c>
      <c r="H131" s="16">
        <f t="shared" si="32"/>
        <v>0</v>
      </c>
      <c r="I131" s="16">
        <f t="shared" si="32"/>
        <v>0</v>
      </c>
      <c r="J131" s="16">
        <f t="shared" si="32"/>
        <v>0</v>
      </c>
      <c r="K131" s="16">
        <f t="shared" si="32"/>
        <v>0</v>
      </c>
      <c r="L131" s="16">
        <f t="shared" si="32"/>
        <v>0.12057329632920906</v>
      </c>
      <c r="M131" s="16">
        <f t="shared" si="32"/>
        <v>0.7933775659555673</v>
      </c>
      <c r="N131" s="16">
        <f t="shared" si="32"/>
        <v>0.79407271772581933</v>
      </c>
      <c r="O131" s="16">
        <f t="shared" si="32"/>
        <v>0.77279945084563739</v>
      </c>
      <c r="P131" s="16">
        <f t="shared" si="32"/>
        <v>0.42901526101820237</v>
      </c>
      <c r="Q131" s="16">
        <f t="shared" si="32"/>
        <v>0.30448555295679974</v>
      </c>
      <c r="R131" s="349"/>
    </row>
    <row r="132" spans="1:18">
      <c r="A132" s="148" t="s">
        <v>165</v>
      </c>
      <c r="B132" s="16">
        <v>0.99124163999999992</v>
      </c>
      <c r="C132" s="16">
        <v>0.98427668999999995</v>
      </c>
      <c r="D132" s="16">
        <v>0.99292603000000002</v>
      </c>
      <c r="E132" s="16">
        <v>0.99291965999999998</v>
      </c>
      <c r="F132" s="16">
        <v>0.97786910999999999</v>
      </c>
      <c r="G132" s="16">
        <v>0.97714217000000003</v>
      </c>
      <c r="H132" s="16">
        <v>0.98373845000000004</v>
      </c>
      <c r="I132" s="16">
        <v>0.98126091999999998</v>
      </c>
      <c r="J132" s="16">
        <v>0.98046158999999999</v>
      </c>
      <c r="K132" s="16">
        <v>0.98241119999999993</v>
      </c>
      <c r="L132" s="16">
        <v>0.98242858999999993</v>
      </c>
      <c r="M132" s="16">
        <v>0.98410392000000002</v>
      </c>
      <c r="N132" s="16">
        <v>0.97699895999999997</v>
      </c>
      <c r="O132" s="16">
        <v>0.98522248000000001</v>
      </c>
      <c r="P132" s="16">
        <v>0.98754850999999999</v>
      </c>
      <c r="Q132" s="16">
        <v>0.98717338999999993</v>
      </c>
      <c r="R132" s="349" t="s">
        <v>843</v>
      </c>
    </row>
    <row r="133" spans="1:18">
      <c r="A133" s="148" t="s">
        <v>166</v>
      </c>
      <c r="B133" s="16">
        <v>0.93347088600000006</v>
      </c>
      <c r="C133" s="16">
        <v>0.93377379999999999</v>
      </c>
      <c r="D133" s="16">
        <v>0.93685845800000001</v>
      </c>
      <c r="E133" s="16">
        <v>0.95758809999999994</v>
      </c>
      <c r="F133" s="16">
        <v>0.96443142399999993</v>
      </c>
      <c r="G133" s="16">
        <v>0.95426870799999997</v>
      </c>
      <c r="H133" s="16">
        <v>0.96039224600000006</v>
      </c>
      <c r="I133" s="16">
        <v>0.95838288399999993</v>
      </c>
      <c r="J133" s="16">
        <v>0.96940174599999995</v>
      </c>
      <c r="K133" s="16">
        <v>0.97080040999999995</v>
      </c>
      <c r="L133" s="16">
        <v>0.81657275020946074</v>
      </c>
      <c r="M133" s="16">
        <v>6.3748299999999997E-3</v>
      </c>
      <c r="N133" s="16">
        <v>6.9806579999999998E-3</v>
      </c>
      <c r="O133" s="16">
        <v>4.9128560000000002E-3</v>
      </c>
      <c r="P133" s="16">
        <v>2.4457140000000003E-3</v>
      </c>
      <c r="Q133" s="16">
        <v>4.09567E-3</v>
      </c>
      <c r="R133" s="349" t="s">
        <v>835</v>
      </c>
    </row>
    <row r="134" spans="1:18">
      <c r="A134" s="148" t="s">
        <v>167</v>
      </c>
      <c r="B134" s="16">
        <v>7.3034257148698019E-3</v>
      </c>
      <c r="C134" s="16">
        <v>5.8274506468105041E-3</v>
      </c>
      <c r="D134" s="16">
        <v>3.0810711269038818E-3</v>
      </c>
      <c r="E134" s="16">
        <v>1.5221134603313915E-4</v>
      </c>
      <c r="F134" s="16">
        <v>5.293382398925163E-5</v>
      </c>
      <c r="G134" s="16">
        <v>5.4637463672322934E-3</v>
      </c>
      <c r="H134" s="16">
        <v>1.7118413096161931E-3</v>
      </c>
      <c r="I134" s="16">
        <v>1.5518093417037184E-2</v>
      </c>
      <c r="J134" s="16">
        <v>2.433128328389913E-3</v>
      </c>
      <c r="K134" s="16">
        <v>2.9978139097325729E-4</v>
      </c>
      <c r="L134" s="16">
        <v>0.15500462447165927</v>
      </c>
      <c r="M134" s="16">
        <v>0.95544753864877796</v>
      </c>
      <c r="N134" s="16">
        <v>0.95899791603109497</v>
      </c>
      <c r="O134" s="16">
        <v>0.95718393438191995</v>
      </c>
      <c r="P134" s="16">
        <v>0.95550149263629591</v>
      </c>
      <c r="Q134" s="16">
        <v>0.94758566547540712</v>
      </c>
      <c r="R134" s="349" t="s">
        <v>836</v>
      </c>
    </row>
    <row r="135" spans="1:18">
      <c r="A135" s="148" t="s">
        <v>168</v>
      </c>
      <c r="B135" s="16">
        <v>0.99364511336912642</v>
      </c>
      <c r="C135" s="16">
        <v>0.99902100000000005</v>
      </c>
      <c r="D135" s="16">
        <v>0.9991402957382659</v>
      </c>
      <c r="E135" s="16">
        <v>0.99632322820563557</v>
      </c>
      <c r="F135" s="16">
        <v>0.99907100000000004</v>
      </c>
      <c r="G135" s="16">
        <v>0.99786300000000006</v>
      </c>
      <c r="H135" s="16">
        <v>0.99894799999999995</v>
      </c>
      <c r="I135" s="16">
        <v>5.8919999999999997E-3</v>
      </c>
      <c r="J135" s="16">
        <v>2.885E-3</v>
      </c>
      <c r="K135" s="16">
        <v>2.3909999999999999E-3</v>
      </c>
      <c r="L135" s="16">
        <v>6.5789999999999998E-3</v>
      </c>
      <c r="M135" s="16">
        <v>1.1497E-2</v>
      </c>
      <c r="N135" s="16">
        <v>0.37515199999999999</v>
      </c>
      <c r="O135" s="16">
        <v>0.86092500000000005</v>
      </c>
      <c r="P135" s="16">
        <v>0.66133600000000003</v>
      </c>
      <c r="Q135" s="16">
        <v>0.92452500000000004</v>
      </c>
      <c r="R135" s="349" t="s">
        <v>811</v>
      </c>
    </row>
    <row r="136" spans="1:18">
      <c r="A136" s="148" t="s">
        <v>169</v>
      </c>
      <c r="B136" s="16">
        <v>1.8979346121382442E-3</v>
      </c>
      <c r="C136" s="16">
        <v>8.3214498415663731E-4</v>
      </c>
      <c r="D136" s="16">
        <v>8.7476703779958565E-4</v>
      </c>
      <c r="E136" s="16">
        <v>3.3269607584681784E-3</v>
      </c>
      <c r="F136" s="16">
        <v>4.2624018879687422E-4</v>
      </c>
      <c r="G136" s="16">
        <v>2.1803263497132347E-3</v>
      </c>
      <c r="H136" s="16">
        <v>4.0510297300000003E-4</v>
      </c>
      <c r="I136" s="16">
        <v>0.98823527385999999</v>
      </c>
      <c r="J136" s="16">
        <v>0.99474660887499999</v>
      </c>
      <c r="K136" s="16">
        <v>0.99235222363200004</v>
      </c>
      <c r="L136" s="16">
        <v>0.98975417649735076</v>
      </c>
      <c r="M136" s="16">
        <v>0.97798382684000007</v>
      </c>
      <c r="N136" s="16">
        <v>0.53847419256232887</v>
      </c>
      <c r="O136" s="16">
        <v>0.13107741811102591</v>
      </c>
      <c r="P136" s="16">
        <v>0.26916084054141931</v>
      </c>
      <c r="Q136" s="16">
        <v>7.0798686743781869E-2</v>
      </c>
      <c r="R136" s="349" t="s">
        <v>811</v>
      </c>
    </row>
    <row r="137" spans="1:18">
      <c r="A137" s="148" t="s">
        <v>170</v>
      </c>
      <c r="B137" s="16">
        <v>0.74940099999999998</v>
      </c>
      <c r="C137" s="16">
        <v>0.76182799999999995</v>
      </c>
      <c r="D137" s="16">
        <v>0.78047</v>
      </c>
      <c r="E137" s="16">
        <v>0.81153900000000001</v>
      </c>
      <c r="F137" s="16">
        <v>0.82763299999999995</v>
      </c>
      <c r="G137" s="16">
        <v>0.81384900000000004</v>
      </c>
      <c r="H137" s="16">
        <v>0.78475300000000003</v>
      </c>
      <c r="I137" s="16">
        <v>0.69852400000000003</v>
      </c>
      <c r="J137" s="16">
        <v>0</v>
      </c>
      <c r="K137" s="16">
        <v>0</v>
      </c>
      <c r="L137" s="16">
        <v>0</v>
      </c>
      <c r="M137" s="16">
        <v>0</v>
      </c>
      <c r="N137" s="16">
        <v>0</v>
      </c>
      <c r="O137" s="16">
        <v>0</v>
      </c>
      <c r="P137" s="16">
        <v>0</v>
      </c>
      <c r="Q137" s="16">
        <v>0</v>
      </c>
      <c r="R137" s="349" t="s">
        <v>870</v>
      </c>
    </row>
    <row r="138" spans="1:18">
      <c r="A138" s="148" t="s">
        <v>171</v>
      </c>
      <c r="B138" s="16">
        <v>0</v>
      </c>
      <c r="C138" s="16">
        <v>0</v>
      </c>
      <c r="D138" s="16">
        <v>0</v>
      </c>
      <c r="E138" s="16">
        <v>0</v>
      </c>
      <c r="F138" s="16">
        <v>0</v>
      </c>
      <c r="G138" s="16">
        <v>0</v>
      </c>
      <c r="H138" s="16">
        <v>0.83236900000000003</v>
      </c>
      <c r="I138" s="16">
        <v>0.86899999999999999</v>
      </c>
      <c r="J138" s="16">
        <v>0.86743700000000001</v>
      </c>
      <c r="K138" s="16">
        <v>0.82760900000000004</v>
      </c>
      <c r="L138" s="16">
        <v>0.74952700000000005</v>
      </c>
      <c r="M138" s="16">
        <v>0</v>
      </c>
      <c r="N138" s="16">
        <v>0</v>
      </c>
      <c r="O138" s="16">
        <v>0</v>
      </c>
      <c r="P138" s="16">
        <v>0</v>
      </c>
      <c r="Q138" s="16">
        <v>0</v>
      </c>
      <c r="R138" s="349" t="s">
        <v>788</v>
      </c>
    </row>
    <row r="139" spans="1:18">
      <c r="A139" s="148" t="s">
        <v>172</v>
      </c>
      <c r="B139" s="16">
        <v>0</v>
      </c>
      <c r="C139" s="16">
        <v>0</v>
      </c>
      <c r="D139" s="16">
        <v>0</v>
      </c>
      <c r="E139" s="16">
        <v>0</v>
      </c>
      <c r="F139" s="16">
        <v>0</v>
      </c>
      <c r="G139" s="16">
        <v>0</v>
      </c>
      <c r="H139" s="16">
        <v>0</v>
      </c>
      <c r="I139" s="16">
        <v>0</v>
      </c>
      <c r="J139" s="16">
        <v>0</v>
      </c>
      <c r="K139" s="16">
        <v>0</v>
      </c>
      <c r="L139" s="16">
        <v>0.86170000000000002</v>
      </c>
      <c r="M139" s="16">
        <v>0.91315400000000002</v>
      </c>
      <c r="N139" s="16">
        <v>0.91891699999999998</v>
      </c>
      <c r="O139" s="16">
        <v>0.89718799999999999</v>
      </c>
      <c r="P139" s="16">
        <v>0.73546400000000001</v>
      </c>
      <c r="Q139" s="16">
        <v>0.67562</v>
      </c>
      <c r="R139" s="349" t="s">
        <v>789</v>
      </c>
    </row>
    <row r="140" spans="1:18">
      <c r="A140" s="148" t="s">
        <v>173</v>
      </c>
      <c r="B140" s="16">
        <v>0.83273407780680431</v>
      </c>
      <c r="C140" s="16">
        <v>0.86727571745507737</v>
      </c>
      <c r="D140" s="16">
        <v>0.89921018218911952</v>
      </c>
      <c r="E140" s="16">
        <v>0.90337408214869797</v>
      </c>
      <c r="F140" s="16">
        <v>0.92232164566592079</v>
      </c>
      <c r="G140" s="16">
        <v>0.92944963743935072</v>
      </c>
      <c r="H140" s="16">
        <v>0.90461921131363932</v>
      </c>
      <c r="I140" s="16">
        <v>0.89534079994372751</v>
      </c>
      <c r="J140" s="16">
        <v>0</v>
      </c>
      <c r="K140" s="16">
        <v>0</v>
      </c>
      <c r="L140" s="16">
        <v>0</v>
      </c>
      <c r="M140" s="16">
        <v>0</v>
      </c>
      <c r="N140" s="16">
        <v>0</v>
      </c>
      <c r="O140" s="16">
        <v>0</v>
      </c>
      <c r="P140" s="16">
        <v>0</v>
      </c>
      <c r="Q140" s="16">
        <v>0</v>
      </c>
      <c r="R140" s="349" t="s">
        <v>853</v>
      </c>
    </row>
    <row r="141" spans="1:18">
      <c r="A141" s="148" t="s">
        <v>174</v>
      </c>
      <c r="B141" s="16">
        <v>0</v>
      </c>
      <c r="C141" s="16">
        <v>0</v>
      </c>
      <c r="D141" s="16">
        <v>0</v>
      </c>
      <c r="E141" s="16">
        <v>0</v>
      </c>
      <c r="F141" s="16">
        <v>0</v>
      </c>
      <c r="G141" s="16">
        <v>0</v>
      </c>
      <c r="H141" s="16">
        <v>0.93696685279436143</v>
      </c>
      <c r="I141" s="16">
        <v>0.94325549625059868</v>
      </c>
      <c r="J141" s="16">
        <v>0.9389437728451111</v>
      </c>
      <c r="K141" s="16">
        <v>0.94737797210266705</v>
      </c>
      <c r="L141" s="16">
        <v>0.93733929613796585</v>
      </c>
      <c r="M141" s="16">
        <v>0</v>
      </c>
      <c r="N141" s="16">
        <v>0</v>
      </c>
      <c r="O141" s="16">
        <v>0</v>
      </c>
      <c r="P141" s="16">
        <v>0</v>
      </c>
      <c r="Q141" s="16">
        <v>0</v>
      </c>
      <c r="R141" s="349" t="s">
        <v>828</v>
      </c>
    </row>
    <row r="142" spans="1:18">
      <c r="A142" s="148" t="s">
        <v>175</v>
      </c>
      <c r="B142" s="16">
        <v>0</v>
      </c>
      <c r="C142" s="16">
        <v>0</v>
      </c>
      <c r="D142" s="16">
        <v>0</v>
      </c>
      <c r="E142" s="16">
        <v>0</v>
      </c>
      <c r="F142" s="16">
        <v>0</v>
      </c>
      <c r="G142" s="16">
        <v>0</v>
      </c>
      <c r="H142" s="16">
        <v>0</v>
      </c>
      <c r="I142" s="16">
        <v>0</v>
      </c>
      <c r="J142" s="16">
        <v>0</v>
      </c>
      <c r="K142" s="16">
        <v>0</v>
      </c>
      <c r="L142" s="16">
        <v>0.94332039789744959</v>
      </c>
      <c r="M142" s="16">
        <v>0.93869672131446114</v>
      </c>
      <c r="N142" s="16">
        <v>0.93369106390915779</v>
      </c>
      <c r="O142" s="16">
        <v>0.93548054590607643</v>
      </c>
      <c r="P142" s="16">
        <v>0.94026913112657118</v>
      </c>
      <c r="Q142" s="16">
        <v>0.93572072615103186</v>
      </c>
      <c r="R142" s="349" t="s">
        <v>827</v>
      </c>
    </row>
    <row r="143" spans="1:18">
      <c r="A143" s="148" t="s">
        <v>176</v>
      </c>
      <c r="B143" s="16">
        <v>0.77498500000000003</v>
      </c>
      <c r="C143" s="16">
        <v>0.76400000000000001</v>
      </c>
      <c r="D143" s="16">
        <v>0.84405600000000003</v>
      </c>
      <c r="E143" s="16">
        <v>0.93600000000000005</v>
      </c>
      <c r="F143" s="16">
        <v>0.97399999999999998</v>
      </c>
      <c r="G143" s="16">
        <v>0.94799999999999995</v>
      </c>
      <c r="H143" s="16">
        <v>0.91600000000000004</v>
      </c>
      <c r="I143" s="16">
        <v>0.89100000000000001</v>
      </c>
      <c r="J143" s="16">
        <v>0.88900000000000001</v>
      </c>
      <c r="K143" s="16">
        <v>0.83799999999999997</v>
      </c>
      <c r="L143" s="16">
        <v>0.755</v>
      </c>
      <c r="M143" s="16">
        <v>0.65700000000000003</v>
      </c>
      <c r="N143" s="16">
        <v>0.53600000000000003</v>
      </c>
      <c r="O143" s="16">
        <v>0.38400000000000001</v>
      </c>
      <c r="P143" s="16">
        <v>0.14299999999999999</v>
      </c>
      <c r="Q143" s="16">
        <v>0.111</v>
      </c>
      <c r="R143" s="349" t="s">
        <v>829</v>
      </c>
    </row>
    <row r="144" spans="1:18">
      <c r="A144" s="148" t="s">
        <v>177</v>
      </c>
      <c r="B144" s="16">
        <v>0.19991999999999999</v>
      </c>
      <c r="C144" s="16">
        <v>0.22892999999999999</v>
      </c>
      <c r="D144" s="16">
        <v>0.44538</v>
      </c>
      <c r="E144" s="16">
        <v>0.78986000000000001</v>
      </c>
      <c r="F144" s="16">
        <v>0.88966000000000001</v>
      </c>
      <c r="G144" s="16">
        <v>0.88453999999999999</v>
      </c>
      <c r="H144" s="16">
        <v>0.89127999999999996</v>
      </c>
      <c r="I144" s="16">
        <v>0.91135999999999995</v>
      </c>
      <c r="J144" s="16">
        <v>0.93527000000000005</v>
      </c>
      <c r="K144" s="16">
        <v>0.95760000000000001</v>
      </c>
      <c r="L144" s="16">
        <v>0.97406999999999999</v>
      </c>
      <c r="M144" s="16">
        <v>0.98438000000000003</v>
      </c>
      <c r="N144" s="16">
        <v>0.98780000000000001</v>
      </c>
      <c r="O144" s="16">
        <v>0.97638000000000003</v>
      </c>
      <c r="P144" s="16">
        <v>0.65746000000000004</v>
      </c>
      <c r="Q144" s="16">
        <v>0.51488</v>
      </c>
      <c r="R144" s="349" t="s">
        <v>812</v>
      </c>
    </row>
    <row r="145" spans="1:18" ht="15" thickBot="1">
      <c r="A145" s="152" t="s">
        <v>178</v>
      </c>
      <c r="B145" s="363">
        <v>0.224</v>
      </c>
      <c r="C145" s="363">
        <v>0.28100000000000003</v>
      </c>
      <c r="D145" s="363">
        <v>0.41799999999999998</v>
      </c>
      <c r="E145" s="363">
        <v>0.66100000000000003</v>
      </c>
      <c r="F145" s="363">
        <v>0.84399999999999997</v>
      </c>
      <c r="G145" s="363">
        <v>0.84399999999999997</v>
      </c>
      <c r="H145" s="363">
        <v>0.84699999999999998</v>
      </c>
      <c r="I145" s="363">
        <v>0.85299999999999998</v>
      </c>
      <c r="J145" s="363">
        <v>0.88300000000000001</v>
      </c>
      <c r="K145" s="363">
        <v>0.91</v>
      </c>
      <c r="L145" s="363">
        <v>0.94899999999999995</v>
      </c>
      <c r="M145" s="363">
        <v>0.97199999999999998</v>
      </c>
      <c r="N145" s="363">
        <v>0.99</v>
      </c>
      <c r="O145" s="363">
        <v>0.996</v>
      </c>
      <c r="P145" s="363">
        <v>0.752</v>
      </c>
      <c r="Q145" s="363">
        <v>0.61099999999999999</v>
      </c>
      <c r="R145" s="349" t="s">
        <v>619</v>
      </c>
    </row>
    <row r="147" spans="1:18" ht="15" thickBot="1">
      <c r="A147" s="524" t="s">
        <v>760</v>
      </c>
      <c r="B147" s="524"/>
      <c r="C147" s="524"/>
      <c r="D147" s="524"/>
      <c r="E147" s="524"/>
      <c r="F147" s="524"/>
      <c r="G147" s="524"/>
      <c r="H147" s="524"/>
      <c r="I147" s="524"/>
      <c r="J147" s="524"/>
      <c r="K147" s="524"/>
      <c r="L147" s="524"/>
      <c r="M147" s="524"/>
      <c r="N147" s="524"/>
      <c r="O147" s="524"/>
      <c r="P147" s="524"/>
      <c r="Q147" s="524"/>
    </row>
    <row r="148" spans="1:18" ht="15" thickBot="1">
      <c r="A148" s="124" t="s">
        <v>161</v>
      </c>
      <c r="B148" s="127">
        <f>IF(AND(ISNUMBER(B149),ISNUMBER(B150),ISNUMBER(B151)),SUM(B149:B151),"")</f>
        <v>0.47414954871014686</v>
      </c>
      <c r="C148" s="127">
        <f t="shared" ref="C148:Q148" si="33">IF(AND(ISNUMBER(C149),ISNUMBER(C150),ISNUMBER(C151)),SUM(C149:C151),"")</f>
        <v>0.50073760741193174</v>
      </c>
      <c r="D148" s="127">
        <f t="shared" si="33"/>
        <v>0.5982074518924837</v>
      </c>
      <c r="E148" s="127">
        <f t="shared" si="33"/>
        <v>0.71127053307310872</v>
      </c>
      <c r="F148" s="127">
        <f t="shared" si="33"/>
        <v>0.73733116169636415</v>
      </c>
      <c r="G148" s="127">
        <f t="shared" si="33"/>
        <v>0.67418272283470448</v>
      </c>
      <c r="H148" s="127">
        <f t="shared" si="33"/>
        <v>0.59849642710365081</v>
      </c>
      <c r="I148" s="127">
        <f t="shared" si="33"/>
        <v>0.64208447725034912</v>
      </c>
      <c r="J148" s="127">
        <f t="shared" si="33"/>
        <v>0.67061422950255756</v>
      </c>
      <c r="K148" s="127">
        <f t="shared" si="33"/>
        <v>0.65480606242809969</v>
      </c>
      <c r="L148" s="127">
        <f t="shared" si="33"/>
        <v>0.62112083516233496</v>
      </c>
      <c r="M148" s="127">
        <f t="shared" si="33"/>
        <v>0.80093833154660121</v>
      </c>
      <c r="N148" s="127">
        <f t="shared" si="33"/>
        <v>0.80476243067282749</v>
      </c>
      <c r="O148" s="127">
        <f t="shared" si="33"/>
        <v>0.78694963867385304</v>
      </c>
      <c r="P148" s="127">
        <f t="shared" si="33"/>
        <v>0.44195647070101096</v>
      </c>
      <c r="Q148" s="127">
        <f t="shared" si="33"/>
        <v>0.31125153864715382</v>
      </c>
      <c r="R148" s="349"/>
    </row>
    <row r="149" spans="1:18">
      <c r="A149" s="123" t="s">
        <v>162</v>
      </c>
      <c r="B149" s="180">
        <f>IF(AND(ISNUMBER(B152), ISNUMBER(B153),ISNUMBER(B155),ISNUMBER(B157),ISNUMBER(B160),ISNUMBER(B163)),B152*B153*B155*B157*B160*B163,"")</f>
        <v>0.47414954871014686</v>
      </c>
      <c r="C149" s="180">
        <f t="shared" ref="C149:Q149" si="34">IF(AND(ISNUMBER(C152), ISNUMBER(C153),ISNUMBER(C155),ISNUMBER(C157),ISNUMBER(C160),ISNUMBER(C163)),C152*C153*C155*C157*C160*C163,"")</f>
        <v>0.50073760741193174</v>
      </c>
      <c r="D149" s="180">
        <f t="shared" si="34"/>
        <v>0.5982074518924837</v>
      </c>
      <c r="E149" s="180">
        <f t="shared" si="34"/>
        <v>0.71127053307310872</v>
      </c>
      <c r="F149" s="180">
        <f t="shared" si="34"/>
        <v>0.73733116169636415</v>
      </c>
      <c r="G149" s="180">
        <f t="shared" si="34"/>
        <v>0.67418272283470448</v>
      </c>
      <c r="H149" s="180">
        <f t="shared" si="34"/>
        <v>0.59836075370146458</v>
      </c>
      <c r="I149" s="180">
        <f t="shared" si="34"/>
        <v>1.131696048932746E-2</v>
      </c>
      <c r="J149" s="180">
        <f t="shared" si="34"/>
        <v>0</v>
      </c>
      <c r="K149" s="180">
        <f t="shared" si="34"/>
        <v>0</v>
      </c>
      <c r="L149" s="180">
        <f t="shared" si="34"/>
        <v>0</v>
      </c>
      <c r="M149" s="180">
        <f t="shared" si="34"/>
        <v>0</v>
      </c>
      <c r="N149" s="180">
        <f t="shared" si="34"/>
        <v>0</v>
      </c>
      <c r="O149" s="180">
        <f t="shared" si="34"/>
        <v>0</v>
      </c>
      <c r="P149" s="180">
        <f t="shared" si="34"/>
        <v>0</v>
      </c>
      <c r="Q149" s="180">
        <f t="shared" si="34"/>
        <v>0</v>
      </c>
      <c r="R149" s="349"/>
    </row>
    <row r="150" spans="1:18">
      <c r="A150" s="123" t="s">
        <v>163</v>
      </c>
      <c r="B150" s="180">
        <f>IF(AND(ISNUMBER(B152),ISNUMBER(B153), ISNUMBER(B156), ISNUMBER(B158), ISNUMBER(B161), ISNUMBER(B164)),B152*B153*B156*B158*B161*B164,"")</f>
        <v>0</v>
      </c>
      <c r="C150" s="180">
        <f t="shared" ref="C150:Q150" si="35">IF(AND(ISNUMBER(C152),ISNUMBER(C153), ISNUMBER(C156), ISNUMBER(C158), ISNUMBER(C161), ISNUMBER(C164)),C152*C153*C156*C158*C161*C164,"")</f>
        <v>0</v>
      </c>
      <c r="D150" s="180">
        <f t="shared" si="35"/>
        <v>0</v>
      </c>
      <c r="E150" s="180">
        <f t="shared" si="35"/>
        <v>0</v>
      </c>
      <c r="F150" s="180">
        <f t="shared" si="35"/>
        <v>0</v>
      </c>
      <c r="G150" s="180">
        <f t="shared" si="35"/>
        <v>0</v>
      </c>
      <c r="H150" s="180">
        <f t="shared" si="35"/>
        <v>1.3567340218626831E-4</v>
      </c>
      <c r="I150" s="180">
        <f t="shared" si="35"/>
        <v>0.63076751676102161</v>
      </c>
      <c r="J150" s="180">
        <f t="shared" si="35"/>
        <v>0.67061422950255756</v>
      </c>
      <c r="K150" s="180">
        <f t="shared" si="35"/>
        <v>0.65480606242809969</v>
      </c>
      <c r="L150" s="180">
        <f t="shared" si="35"/>
        <v>0.50942949652638969</v>
      </c>
      <c r="M150" s="180">
        <f t="shared" si="35"/>
        <v>0</v>
      </c>
      <c r="N150" s="180">
        <f t="shared" si="35"/>
        <v>0</v>
      </c>
      <c r="O150" s="180">
        <f t="shared" si="35"/>
        <v>0</v>
      </c>
      <c r="P150" s="180">
        <f t="shared" si="35"/>
        <v>0</v>
      </c>
      <c r="Q150" s="180">
        <f t="shared" si="35"/>
        <v>0</v>
      </c>
      <c r="R150" s="349"/>
    </row>
    <row r="151" spans="1:18">
      <c r="A151" s="192" t="s">
        <v>164</v>
      </c>
      <c r="B151" s="16">
        <f>IF(AND(ISNUMBER(B152),ISNUMBER(B154),ISNUMBER(B159),ISNUMBER(B162),ISNUMBER(B164)),B152*B154*B159*B162*B164,"")</f>
        <v>0</v>
      </c>
      <c r="C151" s="16">
        <f t="shared" ref="C151:Q151" si="36">IF(AND(ISNUMBER(C152),ISNUMBER(C154),ISNUMBER(C159),ISNUMBER(C162),ISNUMBER(C164)),C152*C154*C159*C162*C164,"")</f>
        <v>0</v>
      </c>
      <c r="D151" s="16">
        <f t="shared" si="36"/>
        <v>0</v>
      </c>
      <c r="E151" s="16">
        <f t="shared" si="36"/>
        <v>0</v>
      </c>
      <c r="F151" s="16">
        <f t="shared" si="36"/>
        <v>0</v>
      </c>
      <c r="G151" s="16">
        <f t="shared" si="36"/>
        <v>0</v>
      </c>
      <c r="H151" s="16">
        <f t="shared" si="36"/>
        <v>0</v>
      </c>
      <c r="I151" s="16">
        <f t="shared" si="36"/>
        <v>0</v>
      </c>
      <c r="J151" s="16">
        <f t="shared" si="36"/>
        <v>0</v>
      </c>
      <c r="K151" s="16">
        <f t="shared" si="36"/>
        <v>0</v>
      </c>
      <c r="L151" s="16">
        <f t="shared" si="36"/>
        <v>0.11169133863594526</v>
      </c>
      <c r="M151" s="16">
        <f t="shared" si="36"/>
        <v>0.80093833154660121</v>
      </c>
      <c r="N151" s="16">
        <f t="shared" si="36"/>
        <v>0.80476243067282749</v>
      </c>
      <c r="O151" s="16">
        <f t="shared" si="36"/>
        <v>0.78694963867385304</v>
      </c>
      <c r="P151" s="16">
        <f t="shared" si="36"/>
        <v>0.44195647070101096</v>
      </c>
      <c r="Q151" s="16">
        <f t="shared" si="36"/>
        <v>0.31125153864715382</v>
      </c>
      <c r="R151" s="349"/>
    </row>
    <row r="152" spans="1:18">
      <c r="A152" s="148" t="s">
        <v>165</v>
      </c>
      <c r="B152" s="16">
        <v>0.99275166999999997</v>
      </c>
      <c r="C152" s="16">
        <v>0.98117098000000003</v>
      </c>
      <c r="D152" s="16">
        <v>0.99232087000000002</v>
      </c>
      <c r="E152" s="16">
        <v>0.99335792000000001</v>
      </c>
      <c r="F152" s="16">
        <v>0.97513875999999999</v>
      </c>
      <c r="G152" s="16">
        <v>0.97789961000000003</v>
      </c>
      <c r="H152" s="16">
        <v>0.98137823999999996</v>
      </c>
      <c r="I152" s="16">
        <v>0.98094587</v>
      </c>
      <c r="J152" s="16">
        <v>0.97993896000000003</v>
      </c>
      <c r="K152" s="16">
        <v>0.98340495999999999</v>
      </c>
      <c r="L152" s="16">
        <v>0.98432712</v>
      </c>
      <c r="M152" s="16">
        <v>0.98598180999999996</v>
      </c>
      <c r="N152" s="16">
        <v>0.98286161000000005</v>
      </c>
      <c r="O152" s="16">
        <v>0.98512624999999998</v>
      </c>
      <c r="P152" s="16">
        <v>0.98753592000000001</v>
      </c>
      <c r="Q152" s="16">
        <v>0.98735180999999994</v>
      </c>
      <c r="R152" s="349" t="s">
        <v>844</v>
      </c>
    </row>
    <row r="153" spans="1:18">
      <c r="A153" s="148" t="s">
        <v>166</v>
      </c>
      <c r="B153" s="16">
        <v>0.93922121064061637</v>
      </c>
      <c r="C153" s="16">
        <v>0.94071257600000002</v>
      </c>
      <c r="D153" s="16">
        <v>0.94271706799999999</v>
      </c>
      <c r="E153" s="16">
        <v>0.958427688</v>
      </c>
      <c r="F153" s="16">
        <v>0.96195649000000005</v>
      </c>
      <c r="G153" s="16">
        <v>0.95538588599999996</v>
      </c>
      <c r="H153" s="16">
        <v>0.96131949399999994</v>
      </c>
      <c r="I153" s="16">
        <v>0.95609301000000002</v>
      </c>
      <c r="J153" s="16">
        <v>0.96810145599999997</v>
      </c>
      <c r="K153" s="16">
        <v>0.96980011200000005</v>
      </c>
      <c r="L153" s="16">
        <v>0.82854284761205832</v>
      </c>
      <c r="M153" s="16">
        <v>6.4634640000000004E-3</v>
      </c>
      <c r="N153" s="16">
        <v>6.9806579999999998E-3</v>
      </c>
      <c r="O153" s="16">
        <v>4.9128560000000002E-3</v>
      </c>
      <c r="P153" s="16">
        <v>2.4457140000000003E-3</v>
      </c>
      <c r="Q153" s="16">
        <v>4.09567E-3</v>
      </c>
      <c r="R153" s="349" t="s">
        <v>835</v>
      </c>
    </row>
    <row r="154" spans="1:18">
      <c r="A154" s="148" t="s">
        <v>167</v>
      </c>
      <c r="B154" s="16">
        <v>7.3034257148698019E-3</v>
      </c>
      <c r="C154" s="16">
        <v>5.8274506468105041E-3</v>
      </c>
      <c r="D154" s="16">
        <v>3.0810711269038818E-3</v>
      </c>
      <c r="E154" s="16">
        <v>1.5221134603313915E-4</v>
      </c>
      <c r="F154" s="16">
        <v>5.293382398925163E-5</v>
      </c>
      <c r="G154" s="16">
        <v>5.4637463672322934E-3</v>
      </c>
      <c r="H154" s="16">
        <v>1.7118413096161931E-3</v>
      </c>
      <c r="I154" s="16">
        <v>1.5518093417037184E-2</v>
      </c>
      <c r="J154" s="16">
        <v>2.433128328389913E-3</v>
      </c>
      <c r="K154" s="16">
        <v>2.9978139097325729E-4</v>
      </c>
      <c r="L154" s="16">
        <v>0.14321873317744246</v>
      </c>
      <c r="M154" s="16">
        <v>0.95576079320575202</v>
      </c>
      <c r="N154" s="16">
        <v>0.95867165653758002</v>
      </c>
      <c r="O154" s="16">
        <v>0.95646364997084998</v>
      </c>
      <c r="P154" s="16">
        <v>0.95497287333519598</v>
      </c>
      <c r="Q154" s="16">
        <v>0.94660926596328909</v>
      </c>
      <c r="R154" s="349" t="s">
        <v>836</v>
      </c>
    </row>
    <row r="155" spans="1:18">
      <c r="A155" s="148" t="s">
        <v>168</v>
      </c>
      <c r="B155" s="16">
        <v>0.98336999999999997</v>
      </c>
      <c r="C155" s="16">
        <v>0.99406700000000003</v>
      </c>
      <c r="D155" s="16">
        <v>0.99560999999999999</v>
      </c>
      <c r="E155" s="16">
        <v>0.99368999999999996</v>
      </c>
      <c r="F155" s="16">
        <v>0.99714000000000003</v>
      </c>
      <c r="G155" s="16">
        <v>0.99548599999999998</v>
      </c>
      <c r="H155" s="16">
        <v>0.99654500000000001</v>
      </c>
      <c r="I155" s="16">
        <v>2.3424E-2</v>
      </c>
      <c r="J155" s="16">
        <v>2.885E-3</v>
      </c>
      <c r="K155" s="16">
        <v>2.3909999999999999E-3</v>
      </c>
      <c r="L155" s="16">
        <v>6.5789999999999998E-3</v>
      </c>
      <c r="M155" s="16">
        <v>1.1497E-2</v>
      </c>
      <c r="N155" s="16">
        <v>0.37515199999999999</v>
      </c>
      <c r="O155" s="16">
        <v>0.86092500000000005</v>
      </c>
      <c r="P155" s="16">
        <v>0.66133600000000003</v>
      </c>
      <c r="Q155" s="16">
        <v>0.92452500000000004</v>
      </c>
      <c r="R155" s="349" t="s">
        <v>811</v>
      </c>
    </row>
    <row r="156" spans="1:18">
      <c r="A156" s="148" t="s">
        <v>169</v>
      </c>
      <c r="B156" s="16">
        <v>1.8979346121382442E-3</v>
      </c>
      <c r="C156" s="16">
        <v>8.3214498415663731E-4</v>
      </c>
      <c r="D156" s="16">
        <v>8.7476703779958565E-4</v>
      </c>
      <c r="E156" s="16">
        <v>3.3269607584681784E-3</v>
      </c>
      <c r="F156" s="16">
        <v>4.2624018879687422E-4</v>
      </c>
      <c r="G156" s="16">
        <v>2.1803263497132347E-3</v>
      </c>
      <c r="H156" s="16">
        <v>2.24262286E-4</v>
      </c>
      <c r="I156" s="16">
        <v>0.97087098676500005</v>
      </c>
      <c r="J156" s="16">
        <v>0.99275401549599995</v>
      </c>
      <c r="K156" s="16">
        <v>0.98959600670699999</v>
      </c>
      <c r="L156" s="16">
        <v>0.98347671372500001</v>
      </c>
      <c r="M156" s="16">
        <v>0.97798382684000007</v>
      </c>
      <c r="N156" s="16">
        <v>0.53847419256232887</v>
      </c>
      <c r="O156" s="16">
        <v>0.13107741811102591</v>
      </c>
      <c r="P156" s="16">
        <v>0.26916084054141931</v>
      </c>
      <c r="Q156" s="16">
        <v>7.0798686743781869E-2</v>
      </c>
      <c r="R156" s="349" t="s">
        <v>811</v>
      </c>
    </row>
    <row r="157" spans="1:18">
      <c r="A157" s="148" t="s">
        <v>170</v>
      </c>
      <c r="B157" s="16">
        <v>0.80945699999999998</v>
      </c>
      <c r="C157" s="16">
        <v>0.82430400000000004</v>
      </c>
      <c r="D157" s="16">
        <v>0.846576</v>
      </c>
      <c r="E157" s="16">
        <v>0.88369500000000001</v>
      </c>
      <c r="F157" s="16">
        <v>0.87455499999999997</v>
      </c>
      <c r="G157" s="16">
        <v>0.82716500000000004</v>
      </c>
      <c r="H157" s="16">
        <v>0.76184700000000005</v>
      </c>
      <c r="I157" s="16">
        <v>0.64613600000000004</v>
      </c>
      <c r="J157" s="16">
        <v>0</v>
      </c>
      <c r="K157" s="16">
        <v>0</v>
      </c>
      <c r="L157" s="16">
        <v>0</v>
      </c>
      <c r="M157" s="16">
        <v>0</v>
      </c>
      <c r="N157" s="16">
        <v>0</v>
      </c>
      <c r="O157" s="16">
        <v>0</v>
      </c>
      <c r="P157" s="16">
        <v>0</v>
      </c>
      <c r="Q157" s="16">
        <v>0</v>
      </c>
      <c r="R157" s="349" t="s">
        <v>871</v>
      </c>
    </row>
    <row r="158" spans="1:18">
      <c r="A158" s="148" t="s">
        <v>171</v>
      </c>
      <c r="B158" s="16">
        <v>0</v>
      </c>
      <c r="C158" s="16">
        <v>0</v>
      </c>
      <c r="D158" s="16">
        <v>0</v>
      </c>
      <c r="E158" s="16">
        <v>0</v>
      </c>
      <c r="F158" s="16">
        <v>0</v>
      </c>
      <c r="G158" s="16">
        <v>0</v>
      </c>
      <c r="H158" s="16">
        <v>0.772976</v>
      </c>
      <c r="I158" s="16">
        <v>0.81079999999999997</v>
      </c>
      <c r="J158" s="16">
        <v>0.81027400000000005</v>
      </c>
      <c r="K158" s="16">
        <v>0.771289</v>
      </c>
      <c r="L158" s="16">
        <v>0.69383600000000001</v>
      </c>
      <c r="M158" s="16">
        <v>0</v>
      </c>
      <c r="N158" s="16">
        <v>0</v>
      </c>
      <c r="O158" s="16">
        <v>0</v>
      </c>
      <c r="P158" s="16">
        <v>0</v>
      </c>
      <c r="Q158" s="16">
        <v>0</v>
      </c>
      <c r="R158" s="349" t="s">
        <v>790</v>
      </c>
    </row>
    <row r="159" spans="1:18">
      <c r="A159" s="148" t="s">
        <v>172</v>
      </c>
      <c r="B159" s="16">
        <v>0</v>
      </c>
      <c r="C159" s="16">
        <v>0</v>
      </c>
      <c r="D159" s="16">
        <v>0</v>
      </c>
      <c r="E159" s="16">
        <v>0</v>
      </c>
      <c r="F159" s="16">
        <v>0</v>
      </c>
      <c r="G159" s="16">
        <v>0</v>
      </c>
      <c r="H159" s="16">
        <v>0</v>
      </c>
      <c r="I159" s="16">
        <v>0</v>
      </c>
      <c r="J159" s="16">
        <v>0</v>
      </c>
      <c r="K159" s="16">
        <v>0</v>
      </c>
      <c r="L159" s="16">
        <v>0.86360000000000003</v>
      </c>
      <c r="M159" s="16">
        <v>0.91701500000000002</v>
      </c>
      <c r="N159" s="16">
        <v>0.92440199999999995</v>
      </c>
      <c r="O159" s="16">
        <v>0.91475799999999996</v>
      </c>
      <c r="P159" s="16">
        <v>0.75788800000000001</v>
      </c>
      <c r="Q159" s="16">
        <v>0.69054099999999996</v>
      </c>
      <c r="R159" s="349" t="s">
        <v>791</v>
      </c>
    </row>
    <row r="160" spans="1:18">
      <c r="A160" s="148" t="s">
        <v>173</v>
      </c>
      <c r="B160" s="16">
        <v>0.82433319477318467</v>
      </c>
      <c r="C160" s="16">
        <v>0.8665869459207991</v>
      </c>
      <c r="D160" s="16">
        <v>0.898859596771166</v>
      </c>
      <c r="E160" s="16">
        <v>0.90895114442226488</v>
      </c>
      <c r="F160" s="16">
        <v>0.92541922705393698</v>
      </c>
      <c r="G160" s="16">
        <v>0.92441903775751189</v>
      </c>
      <c r="H160" s="16">
        <v>0.91200827170440446</v>
      </c>
      <c r="I160" s="16">
        <v>0.89479162654284405</v>
      </c>
      <c r="J160" s="16">
        <v>0</v>
      </c>
      <c r="K160" s="16">
        <v>0</v>
      </c>
      <c r="L160" s="16">
        <v>0</v>
      </c>
      <c r="M160" s="16">
        <v>0</v>
      </c>
      <c r="N160" s="16">
        <v>0</v>
      </c>
      <c r="O160" s="16">
        <v>0</v>
      </c>
      <c r="P160" s="16">
        <v>0</v>
      </c>
      <c r="Q160" s="16">
        <v>0</v>
      </c>
      <c r="R160" s="349" t="s">
        <v>854</v>
      </c>
    </row>
    <row r="161" spans="1:18">
      <c r="A161" s="148" t="s">
        <v>174</v>
      </c>
      <c r="B161" s="16">
        <v>0</v>
      </c>
      <c r="C161" s="16">
        <v>0</v>
      </c>
      <c r="D161" s="16">
        <v>0</v>
      </c>
      <c r="E161" s="16">
        <v>0</v>
      </c>
      <c r="F161" s="16">
        <v>0</v>
      </c>
      <c r="G161" s="16">
        <v>0</v>
      </c>
      <c r="H161" s="16">
        <v>0.93079518166442843</v>
      </c>
      <c r="I161" s="16">
        <v>0.93747330012698993</v>
      </c>
      <c r="J161" s="16">
        <v>0.93959848229477838</v>
      </c>
      <c r="K161" s="16">
        <v>0.9393746977033427</v>
      </c>
      <c r="L161" s="16">
        <v>0.93976352567597166</v>
      </c>
      <c r="M161" s="16">
        <v>0</v>
      </c>
      <c r="N161" s="16">
        <v>0</v>
      </c>
      <c r="O161" s="16">
        <v>0</v>
      </c>
      <c r="P161" s="16">
        <v>0</v>
      </c>
      <c r="Q161" s="16">
        <v>0</v>
      </c>
      <c r="R161" s="349" t="s">
        <v>855</v>
      </c>
    </row>
    <row r="162" spans="1:18">
      <c r="A162" s="148" t="s">
        <v>175</v>
      </c>
      <c r="B162" s="16">
        <v>0</v>
      </c>
      <c r="C162" s="16">
        <v>0</v>
      </c>
      <c r="D162" s="16">
        <v>0</v>
      </c>
      <c r="E162" s="16">
        <v>0</v>
      </c>
      <c r="F162" s="16">
        <v>0</v>
      </c>
      <c r="G162" s="16">
        <v>0</v>
      </c>
      <c r="H162" s="16">
        <v>0</v>
      </c>
      <c r="I162" s="16">
        <v>0</v>
      </c>
      <c r="J162" s="16">
        <v>0</v>
      </c>
      <c r="K162" s="16">
        <v>0</v>
      </c>
      <c r="L162" s="16">
        <v>0.94184061742901393</v>
      </c>
      <c r="M162" s="16">
        <v>0.94154643577643948</v>
      </c>
      <c r="N162" s="16">
        <v>0.93535298345270101</v>
      </c>
      <c r="O162" s="16">
        <v>0.93510738776597491</v>
      </c>
      <c r="P162" s="16">
        <v>0.94050518468974142</v>
      </c>
      <c r="Q162" s="16">
        <v>0.93664137282346049</v>
      </c>
      <c r="R162" s="349" t="s">
        <v>856</v>
      </c>
    </row>
    <row r="163" spans="1:18">
      <c r="A163" s="148" t="s">
        <v>176</v>
      </c>
      <c r="B163" s="16">
        <v>0.77498500000000003</v>
      </c>
      <c r="C163" s="16">
        <v>0.76400000000000001</v>
      </c>
      <c r="D163" s="16">
        <v>0.84405600000000003</v>
      </c>
      <c r="E163" s="16">
        <v>0.93600000000000005</v>
      </c>
      <c r="F163" s="16">
        <v>0.97399999999999998</v>
      </c>
      <c r="G163" s="16">
        <v>0.94799999999999995</v>
      </c>
      <c r="H163" s="16">
        <v>0.91600000000000004</v>
      </c>
      <c r="I163" s="16">
        <v>0.89100000000000001</v>
      </c>
      <c r="J163" s="16">
        <v>0.88900000000000001</v>
      </c>
      <c r="K163" s="16">
        <v>0.83799999999999997</v>
      </c>
      <c r="L163" s="16">
        <v>0.755</v>
      </c>
      <c r="M163" s="16">
        <v>0.65700000000000003</v>
      </c>
      <c r="N163" s="16">
        <v>0.53600000000000003</v>
      </c>
      <c r="O163" s="16">
        <v>0.38400000000000001</v>
      </c>
      <c r="P163" s="16">
        <v>0.14299999999999999</v>
      </c>
      <c r="Q163" s="16">
        <v>0.111</v>
      </c>
      <c r="R163" s="349" t="s">
        <v>830</v>
      </c>
    </row>
    <row r="164" spans="1:18">
      <c r="A164" s="148" t="s">
        <v>177</v>
      </c>
      <c r="B164" s="16">
        <v>0.19991999999999999</v>
      </c>
      <c r="C164" s="16">
        <v>0.22892999999999999</v>
      </c>
      <c r="D164" s="16">
        <v>0.44538</v>
      </c>
      <c r="E164" s="16">
        <v>0.78986000000000001</v>
      </c>
      <c r="F164" s="16">
        <v>0.88966000000000001</v>
      </c>
      <c r="G164" s="16">
        <v>0.88453999999999999</v>
      </c>
      <c r="H164" s="16">
        <v>0.89127999999999996</v>
      </c>
      <c r="I164" s="16">
        <v>0.91135999999999995</v>
      </c>
      <c r="J164" s="16">
        <v>0.93527000000000005</v>
      </c>
      <c r="K164" s="16">
        <v>0.95760000000000001</v>
      </c>
      <c r="L164" s="16">
        <v>0.97406999999999999</v>
      </c>
      <c r="M164" s="16">
        <v>0.98438000000000003</v>
      </c>
      <c r="N164" s="16">
        <v>0.98780000000000001</v>
      </c>
      <c r="O164" s="16">
        <v>0.97638000000000003</v>
      </c>
      <c r="P164" s="16">
        <v>0.65746000000000004</v>
      </c>
      <c r="Q164" s="16">
        <v>0.51488</v>
      </c>
      <c r="R164" s="349" t="s">
        <v>812</v>
      </c>
    </row>
    <row r="165" spans="1:18" ht="15" thickBot="1">
      <c r="A165" s="152" t="s">
        <v>178</v>
      </c>
      <c r="B165" s="363">
        <v>0.224</v>
      </c>
      <c r="C165" s="363">
        <v>0.28100000000000003</v>
      </c>
      <c r="D165" s="363">
        <v>0.41799999999999998</v>
      </c>
      <c r="E165" s="363">
        <v>0.66100000000000003</v>
      </c>
      <c r="F165" s="363">
        <v>0.84399999999999997</v>
      </c>
      <c r="G165" s="363">
        <v>0.84399999999999997</v>
      </c>
      <c r="H165" s="363">
        <v>0.84699999999999998</v>
      </c>
      <c r="I165" s="363">
        <v>0.85299999999999998</v>
      </c>
      <c r="J165" s="363">
        <v>0.88300000000000001</v>
      </c>
      <c r="K165" s="363">
        <v>0.91</v>
      </c>
      <c r="L165" s="363">
        <v>0.94899999999999995</v>
      </c>
      <c r="M165" s="363">
        <v>0.97199999999999998</v>
      </c>
      <c r="N165" s="363">
        <v>0.99</v>
      </c>
      <c r="O165" s="363">
        <v>0.996</v>
      </c>
      <c r="P165" s="363">
        <v>0.752</v>
      </c>
      <c r="Q165" s="363">
        <v>0.61099999999999999</v>
      </c>
      <c r="R165" s="349" t="s">
        <v>619</v>
      </c>
    </row>
    <row r="167" spans="1:18" ht="15" thickBot="1">
      <c r="A167" s="524" t="s">
        <v>761</v>
      </c>
      <c r="B167" s="524"/>
      <c r="C167" s="524"/>
      <c r="D167" s="524"/>
      <c r="E167" s="524"/>
      <c r="F167" s="524"/>
      <c r="G167" s="524"/>
      <c r="H167" s="524"/>
      <c r="I167" s="524"/>
      <c r="J167" s="524"/>
      <c r="K167" s="524"/>
      <c r="L167" s="524"/>
      <c r="M167" s="524"/>
      <c r="N167" s="524"/>
      <c r="O167" s="524"/>
      <c r="P167" s="524"/>
      <c r="Q167" s="524"/>
    </row>
    <row r="168" spans="1:18" ht="15" thickBot="1">
      <c r="A168" s="124" t="s">
        <v>161</v>
      </c>
      <c r="B168" s="127">
        <f>IF(AND(ISNUMBER(B169),ISNUMBER(B170),ISNUMBER(B171)),SUM(B169:B171),"")</f>
        <v>0.4386170833379236</v>
      </c>
      <c r="C168" s="127">
        <f t="shared" ref="C168:Q168" si="37">IF(AND(ISNUMBER(C169),ISNUMBER(C170),ISNUMBER(C171)),SUM(C169:C171),"")</f>
        <v>0.46078605466962974</v>
      </c>
      <c r="D168" s="127">
        <f t="shared" si="37"/>
        <v>0.54741372182629777</v>
      </c>
      <c r="E168" s="127">
        <f t="shared" si="37"/>
        <v>0.66568816518160923</v>
      </c>
      <c r="F168" s="127">
        <f t="shared" si="37"/>
        <v>0.68312029911111771</v>
      </c>
      <c r="G168" s="127">
        <f t="shared" si="37"/>
        <v>0.66106180119144442</v>
      </c>
      <c r="H168" s="127">
        <f t="shared" si="37"/>
        <v>0.62129138171871012</v>
      </c>
      <c r="I168" s="127">
        <f t="shared" si="37"/>
        <v>0.64949374199745602</v>
      </c>
      <c r="J168" s="127">
        <f t="shared" si="37"/>
        <v>0.6925182837922077</v>
      </c>
      <c r="K168" s="127">
        <f t="shared" si="37"/>
        <v>0.69172747117465316</v>
      </c>
      <c r="L168" s="127">
        <f t="shared" si="37"/>
        <v>0.64599259745054927</v>
      </c>
      <c r="M168" s="127">
        <f t="shared" si="37"/>
        <v>0.76047787931098298</v>
      </c>
      <c r="N168" s="127">
        <f t="shared" si="37"/>
        <v>0.7989493153072017</v>
      </c>
      <c r="O168" s="127">
        <f t="shared" si="37"/>
        <v>0.78929618471287744</v>
      </c>
      <c r="P168" s="127">
        <f t="shared" si="37"/>
        <v>0.46382501906557305</v>
      </c>
      <c r="Q168" s="127">
        <f t="shared" si="37"/>
        <v>0.34219157792805799</v>
      </c>
      <c r="R168" s="349"/>
    </row>
    <row r="169" spans="1:18">
      <c r="A169" s="123" t="s">
        <v>162</v>
      </c>
      <c r="B169" s="180">
        <f>IF(AND(ISNUMBER(B172), ISNUMBER(B173),ISNUMBER(B175),ISNUMBER(B177),ISNUMBER(B180),ISNUMBER(B183)),B172*B173*B175*B177*B180*B183,"")</f>
        <v>0.4386170833379236</v>
      </c>
      <c r="C169" s="180">
        <f t="shared" ref="C169:Q169" si="38">IF(AND(ISNUMBER(C172), ISNUMBER(C173),ISNUMBER(C175),ISNUMBER(C177),ISNUMBER(C180),ISNUMBER(C183)),C172*C173*C175*C177*C180*C183,"")</f>
        <v>0.46078605466962974</v>
      </c>
      <c r="D169" s="180">
        <f t="shared" si="38"/>
        <v>0.54741372182629777</v>
      </c>
      <c r="E169" s="180">
        <f t="shared" si="38"/>
        <v>0.66568816518160923</v>
      </c>
      <c r="F169" s="180">
        <f t="shared" si="38"/>
        <v>0.68312029911111771</v>
      </c>
      <c r="G169" s="180">
        <f t="shared" si="38"/>
        <v>0.66106180119144442</v>
      </c>
      <c r="H169" s="180">
        <f t="shared" si="38"/>
        <v>0.62115646992866669</v>
      </c>
      <c r="I169" s="180">
        <f t="shared" si="38"/>
        <v>1.1263618152322614E-2</v>
      </c>
      <c r="J169" s="180">
        <f t="shared" si="38"/>
        <v>0</v>
      </c>
      <c r="K169" s="180">
        <f t="shared" si="38"/>
        <v>0</v>
      </c>
      <c r="L169" s="180">
        <f t="shared" si="38"/>
        <v>0</v>
      </c>
      <c r="M169" s="180">
        <f t="shared" si="38"/>
        <v>0</v>
      </c>
      <c r="N169" s="180">
        <f t="shared" si="38"/>
        <v>0</v>
      </c>
      <c r="O169" s="180">
        <f t="shared" si="38"/>
        <v>0</v>
      </c>
      <c r="P169" s="180">
        <f t="shared" si="38"/>
        <v>0</v>
      </c>
      <c r="Q169" s="180">
        <f t="shared" si="38"/>
        <v>0</v>
      </c>
      <c r="R169" s="349"/>
    </row>
    <row r="170" spans="1:18">
      <c r="A170" s="123" t="s">
        <v>163</v>
      </c>
      <c r="B170" s="180">
        <f>IF(AND(ISNUMBER(B172),ISNUMBER(B173), ISNUMBER(B176), ISNUMBER(B178), ISNUMBER(B181), ISNUMBER(B184)),B172*B173*B176*B178*B181*B184,"")</f>
        <v>0</v>
      </c>
      <c r="C170" s="180">
        <f t="shared" ref="C170:Q170" si="39">IF(AND(ISNUMBER(C172),ISNUMBER(C173), ISNUMBER(C176), ISNUMBER(C178), ISNUMBER(C181), ISNUMBER(C184)),C172*C173*C176*C178*C181*C184,"")</f>
        <v>0</v>
      </c>
      <c r="D170" s="180">
        <f t="shared" si="39"/>
        <v>0</v>
      </c>
      <c r="E170" s="180">
        <f t="shared" si="39"/>
        <v>0</v>
      </c>
      <c r="F170" s="180">
        <f t="shared" si="39"/>
        <v>0</v>
      </c>
      <c r="G170" s="180">
        <f t="shared" si="39"/>
        <v>0</v>
      </c>
      <c r="H170" s="180">
        <f t="shared" si="39"/>
        <v>1.3491179004339375E-4</v>
      </c>
      <c r="I170" s="180">
        <f t="shared" si="39"/>
        <v>0.63823012384513345</v>
      </c>
      <c r="J170" s="180">
        <f t="shared" si="39"/>
        <v>0.6925182837922077</v>
      </c>
      <c r="K170" s="180">
        <f t="shared" si="39"/>
        <v>0.69172747117465316</v>
      </c>
      <c r="L170" s="180">
        <f t="shared" si="39"/>
        <v>0.59356399378409352</v>
      </c>
      <c r="M170" s="180">
        <f t="shared" si="39"/>
        <v>0</v>
      </c>
      <c r="N170" s="180">
        <f t="shared" si="39"/>
        <v>0</v>
      </c>
      <c r="O170" s="180">
        <f t="shared" si="39"/>
        <v>0</v>
      </c>
      <c r="P170" s="180">
        <f t="shared" si="39"/>
        <v>0</v>
      </c>
      <c r="Q170" s="180">
        <f t="shared" si="39"/>
        <v>0</v>
      </c>
      <c r="R170" s="349"/>
    </row>
    <row r="171" spans="1:18">
      <c r="A171" s="192" t="s">
        <v>164</v>
      </c>
      <c r="B171" s="16">
        <f>IF(AND(ISNUMBER(B172),ISNUMBER(B174),ISNUMBER(B179),ISNUMBER(B182),ISNUMBER(B184)),B172*B174*B179*B182*B184,"")</f>
        <v>0</v>
      </c>
      <c r="C171" s="16">
        <f t="shared" ref="C171:Q171" si="40">IF(AND(ISNUMBER(C172),ISNUMBER(C174),ISNUMBER(C179),ISNUMBER(C182),ISNUMBER(C184)),C172*C174*C179*C182*C184,"")</f>
        <v>0</v>
      </c>
      <c r="D171" s="16">
        <f t="shared" si="40"/>
        <v>0</v>
      </c>
      <c r="E171" s="16">
        <f t="shared" si="40"/>
        <v>0</v>
      </c>
      <c r="F171" s="16">
        <f t="shared" si="40"/>
        <v>0</v>
      </c>
      <c r="G171" s="16">
        <f t="shared" si="40"/>
        <v>0</v>
      </c>
      <c r="H171" s="16">
        <f t="shared" si="40"/>
        <v>0</v>
      </c>
      <c r="I171" s="16">
        <f t="shared" si="40"/>
        <v>0</v>
      </c>
      <c r="J171" s="16">
        <f t="shared" si="40"/>
        <v>0</v>
      </c>
      <c r="K171" s="16">
        <f t="shared" si="40"/>
        <v>0</v>
      </c>
      <c r="L171" s="16">
        <f t="shared" si="40"/>
        <v>5.2428603666455791E-2</v>
      </c>
      <c r="M171" s="16">
        <f t="shared" si="40"/>
        <v>0.76047787931098298</v>
      </c>
      <c r="N171" s="16">
        <f t="shared" si="40"/>
        <v>0.7989493153072017</v>
      </c>
      <c r="O171" s="16">
        <f t="shared" si="40"/>
        <v>0.78929618471287744</v>
      </c>
      <c r="P171" s="16">
        <f t="shared" si="40"/>
        <v>0.46382501906557305</v>
      </c>
      <c r="Q171" s="16">
        <f t="shared" si="40"/>
        <v>0.34219157792805799</v>
      </c>
      <c r="R171" s="349"/>
    </row>
    <row r="172" spans="1:18">
      <c r="A172" s="148" t="s">
        <v>165</v>
      </c>
      <c r="B172" s="16">
        <v>0.98758977999999997</v>
      </c>
      <c r="C172" s="16">
        <v>0.98081288999999994</v>
      </c>
      <c r="D172" s="16">
        <v>0.98333991999999992</v>
      </c>
      <c r="E172" s="16">
        <v>0.99158687000000001</v>
      </c>
      <c r="F172" s="16">
        <v>0.98378451999999994</v>
      </c>
      <c r="G172" s="16">
        <v>0.98018261999999989</v>
      </c>
      <c r="H172" s="16">
        <v>0.98326080000000005</v>
      </c>
      <c r="I172" s="16">
        <v>0.98055108000000002</v>
      </c>
      <c r="J172" s="16">
        <v>0.98163227000000008</v>
      </c>
      <c r="K172" s="16">
        <v>0.98102012000000005</v>
      </c>
      <c r="L172" s="16">
        <v>0.98302462000000002</v>
      </c>
      <c r="M172" s="16">
        <v>0.98431396000000004</v>
      </c>
      <c r="N172" s="16">
        <v>0.97899731999999995</v>
      </c>
      <c r="O172" s="16">
        <v>0.98336505000000007</v>
      </c>
      <c r="P172" s="16">
        <v>0.98732753000000006</v>
      </c>
      <c r="Q172" s="16">
        <v>0.98684133000000007</v>
      </c>
      <c r="R172" s="349" t="s">
        <v>845</v>
      </c>
    </row>
    <row r="173" spans="1:18">
      <c r="A173" s="148" t="s">
        <v>166</v>
      </c>
      <c r="B173" s="16">
        <v>0.96333080399999993</v>
      </c>
      <c r="C173" s="16">
        <v>0.96507523799999995</v>
      </c>
      <c r="D173" s="16">
        <v>0.96516094999999991</v>
      </c>
      <c r="E173" s="16">
        <v>0.96937057799999993</v>
      </c>
      <c r="F173" s="16">
        <v>0.96919720599999992</v>
      </c>
      <c r="G173" s="16">
        <v>0.9627210799999999</v>
      </c>
      <c r="H173" s="16">
        <v>0.96813749399999993</v>
      </c>
      <c r="I173" s="16">
        <v>0.94963928600000003</v>
      </c>
      <c r="J173" s="16">
        <v>0.96230323399999995</v>
      </c>
      <c r="K173" s="16">
        <v>0.96978258000000006</v>
      </c>
      <c r="L173" s="16">
        <v>0.89764356812372104</v>
      </c>
      <c r="M173" s="16">
        <v>1.4187284E-2</v>
      </c>
      <c r="N173" s="16">
        <v>6.9806579999999998E-3</v>
      </c>
      <c r="O173" s="16">
        <v>4.9128560000000002E-3</v>
      </c>
      <c r="P173" s="16">
        <v>2.4457140000000003E-3</v>
      </c>
      <c r="Q173" s="16">
        <v>4.09567E-3</v>
      </c>
      <c r="R173" s="349" t="s">
        <v>835</v>
      </c>
    </row>
    <row r="174" spans="1:18">
      <c r="A174" s="148" t="s">
        <v>167</v>
      </c>
      <c r="B174" s="16">
        <v>7.3034257148698019E-3</v>
      </c>
      <c r="C174" s="16">
        <v>5.8274506468105041E-3</v>
      </c>
      <c r="D174" s="16">
        <v>3.0810711269038818E-3</v>
      </c>
      <c r="E174" s="16">
        <v>1.5221134603313915E-4</v>
      </c>
      <c r="F174" s="16">
        <v>5.293382398925163E-5</v>
      </c>
      <c r="G174" s="16">
        <v>5.4637463672322934E-3</v>
      </c>
      <c r="H174" s="16">
        <v>1.7118413096161931E-3</v>
      </c>
      <c r="I174" s="16">
        <v>1.5518093417037184E-2</v>
      </c>
      <c r="J174" s="16">
        <v>2.433128328389913E-3</v>
      </c>
      <c r="K174" s="16">
        <v>2.9978139097325729E-4</v>
      </c>
      <c r="L174" s="16">
        <v>7.527425145239118E-2</v>
      </c>
      <c r="M174" s="16">
        <v>0.9479279501538479</v>
      </c>
      <c r="N174" s="16">
        <v>0.94922320677319805</v>
      </c>
      <c r="O174" s="16">
        <v>0.95354775298602001</v>
      </c>
      <c r="P174" s="16">
        <v>0.95657957681318095</v>
      </c>
      <c r="Q174" s="16">
        <v>0.95018310704435982</v>
      </c>
      <c r="R174" s="349" t="s">
        <v>836</v>
      </c>
    </row>
    <row r="175" spans="1:18">
      <c r="A175" s="148" t="s">
        <v>168</v>
      </c>
      <c r="B175" s="16">
        <v>0.98615900000000001</v>
      </c>
      <c r="C175" s="16">
        <v>0.99570999999999998</v>
      </c>
      <c r="D175" s="16">
        <v>0.99704700000000002</v>
      </c>
      <c r="E175" s="16">
        <v>0.99467399999999995</v>
      </c>
      <c r="F175" s="16">
        <v>0.99724299999999999</v>
      </c>
      <c r="G175" s="16">
        <v>0.99638099999999996</v>
      </c>
      <c r="H175" s="16">
        <v>0.99746199999999996</v>
      </c>
      <c r="I175" s="16">
        <v>2.1656000000000002E-2</v>
      </c>
      <c r="J175" s="16">
        <v>2.885E-3</v>
      </c>
      <c r="K175" s="16">
        <v>2.3909999999999999E-3</v>
      </c>
      <c r="L175" s="16">
        <v>6.5789999999999998E-3</v>
      </c>
      <c r="M175" s="16">
        <v>1.1497E-2</v>
      </c>
      <c r="N175" s="16">
        <v>0.37515199999999999</v>
      </c>
      <c r="O175" s="16">
        <v>0.86092500000000005</v>
      </c>
      <c r="P175" s="16">
        <v>0.66133600000000003</v>
      </c>
      <c r="Q175" s="16">
        <v>0.92452500000000004</v>
      </c>
      <c r="R175" s="349" t="s">
        <v>811</v>
      </c>
    </row>
    <row r="176" spans="1:18">
      <c r="A176" s="148" t="s">
        <v>169</v>
      </c>
      <c r="B176" s="16">
        <v>1.8979346121382442E-3</v>
      </c>
      <c r="C176" s="16">
        <v>8.3214498415663731E-4</v>
      </c>
      <c r="D176" s="16">
        <v>8.7476703779958565E-4</v>
      </c>
      <c r="E176" s="16">
        <v>3.3269607584681784E-3</v>
      </c>
      <c r="F176" s="16">
        <v>4.2624018879687422E-4</v>
      </c>
      <c r="G176" s="16">
        <v>2.1803263497132347E-3</v>
      </c>
      <c r="H176" s="16">
        <v>2.3616359200000003E-4</v>
      </c>
      <c r="I176" s="16">
        <v>0.9721881306800001</v>
      </c>
      <c r="J176" s="16">
        <v>0.99287555628199997</v>
      </c>
      <c r="K176" s="16">
        <v>0.98881924404199995</v>
      </c>
      <c r="L176" s="16">
        <v>0.98330581439999998</v>
      </c>
      <c r="M176" s="16">
        <v>0.97798382684000007</v>
      </c>
      <c r="N176" s="16">
        <v>0.53847419256232887</v>
      </c>
      <c r="O176" s="16">
        <v>0.13107741811102591</v>
      </c>
      <c r="P176" s="16">
        <v>0.26916084054141931</v>
      </c>
      <c r="Q176" s="16">
        <v>7.0798686743781869E-2</v>
      </c>
      <c r="R176" s="349" t="s">
        <v>811</v>
      </c>
    </row>
    <row r="177" spans="1:18">
      <c r="A177" s="148" t="s">
        <v>170</v>
      </c>
      <c r="B177" s="16">
        <v>0.73961500000000002</v>
      </c>
      <c r="C177" s="16">
        <v>0.75424500000000005</v>
      </c>
      <c r="D177" s="16">
        <v>0.77619099999999996</v>
      </c>
      <c r="E177" s="16">
        <v>0.81276700000000002</v>
      </c>
      <c r="F177" s="16">
        <v>0.82925800000000005</v>
      </c>
      <c r="G177" s="16">
        <v>0.82214299999999996</v>
      </c>
      <c r="H177" s="16">
        <v>0.793103</v>
      </c>
      <c r="I177" s="16">
        <v>0.689496</v>
      </c>
      <c r="J177" s="16">
        <v>0</v>
      </c>
      <c r="K177" s="16">
        <v>0</v>
      </c>
      <c r="L177" s="16">
        <v>0</v>
      </c>
      <c r="M177" s="16">
        <v>0</v>
      </c>
      <c r="N177" s="16">
        <v>0</v>
      </c>
      <c r="O177" s="16">
        <v>0</v>
      </c>
      <c r="P177" s="16">
        <v>0</v>
      </c>
      <c r="Q177" s="16">
        <v>0</v>
      </c>
      <c r="R177" s="349" t="s">
        <v>872</v>
      </c>
    </row>
    <row r="178" spans="1:18">
      <c r="A178" s="148" t="s">
        <v>171</v>
      </c>
      <c r="B178" s="16">
        <v>0</v>
      </c>
      <c r="C178" s="16">
        <v>0</v>
      </c>
      <c r="D178" s="16">
        <v>0</v>
      </c>
      <c r="E178" s="16">
        <v>0</v>
      </c>
      <c r="F178" s="16">
        <v>0</v>
      </c>
      <c r="G178" s="16">
        <v>0</v>
      </c>
      <c r="H178" s="16">
        <v>0.73215600000000003</v>
      </c>
      <c r="I178" s="16">
        <v>0.82</v>
      </c>
      <c r="J178" s="16">
        <v>0.83862800000000004</v>
      </c>
      <c r="K178" s="16">
        <v>0.80656799999999995</v>
      </c>
      <c r="L178" s="16">
        <v>0.73892500000000005</v>
      </c>
      <c r="M178" s="16">
        <v>0</v>
      </c>
      <c r="N178" s="16">
        <v>0</v>
      </c>
      <c r="O178" s="16">
        <v>0</v>
      </c>
      <c r="P178" s="16">
        <v>0</v>
      </c>
      <c r="Q178" s="16">
        <v>0</v>
      </c>
      <c r="R178" s="349" t="s">
        <v>792</v>
      </c>
    </row>
    <row r="179" spans="1:18">
      <c r="A179" s="148" t="s">
        <v>172</v>
      </c>
      <c r="B179" s="16">
        <v>0</v>
      </c>
      <c r="C179" s="16">
        <v>0</v>
      </c>
      <c r="D179" s="16">
        <v>0</v>
      </c>
      <c r="E179" s="16">
        <v>0</v>
      </c>
      <c r="F179" s="16">
        <v>0</v>
      </c>
      <c r="G179" s="16">
        <v>0</v>
      </c>
      <c r="H179" s="16">
        <v>0</v>
      </c>
      <c r="I179" s="16">
        <v>0</v>
      </c>
      <c r="J179" s="16">
        <v>0</v>
      </c>
      <c r="K179" s="16">
        <v>0</v>
      </c>
      <c r="L179" s="16">
        <v>0.77029999999999998</v>
      </c>
      <c r="M179" s="16">
        <v>0.88183</v>
      </c>
      <c r="N179" s="16">
        <v>0.93430100000000005</v>
      </c>
      <c r="O179" s="16">
        <v>0.92763200000000001</v>
      </c>
      <c r="P179" s="16">
        <v>0.79390499999999997</v>
      </c>
      <c r="Q179" s="16">
        <v>0.75197099999999995</v>
      </c>
      <c r="R179" s="349" t="s">
        <v>793</v>
      </c>
    </row>
    <row r="180" spans="1:18">
      <c r="A180" s="148" t="s">
        <v>173</v>
      </c>
      <c r="B180" s="16">
        <v>0.84321103612241144</v>
      </c>
      <c r="C180" s="16">
        <v>0.87712652093412447</v>
      </c>
      <c r="D180" s="16">
        <v>0.89397619710932519</v>
      </c>
      <c r="E180" s="16">
        <v>0.89795594847729165</v>
      </c>
      <c r="F180" s="16">
        <v>0.91580550498653635</v>
      </c>
      <c r="G180" s="16">
        <v>0.92955256911470807</v>
      </c>
      <c r="H180" s="16">
        <v>0.90641671068327512</v>
      </c>
      <c r="I180" s="16">
        <v>0.89612913960681295</v>
      </c>
      <c r="J180" s="16">
        <v>0</v>
      </c>
      <c r="K180" s="16">
        <v>0</v>
      </c>
      <c r="L180" s="16">
        <v>0</v>
      </c>
      <c r="M180" s="16">
        <v>0</v>
      </c>
      <c r="N180" s="16">
        <v>0</v>
      </c>
      <c r="O180" s="16">
        <v>0</v>
      </c>
      <c r="P180" s="16">
        <v>0</v>
      </c>
      <c r="Q180" s="16">
        <v>0</v>
      </c>
      <c r="R180" s="349" t="s">
        <v>857</v>
      </c>
    </row>
    <row r="181" spans="1:18">
      <c r="A181" s="148" t="s">
        <v>174</v>
      </c>
      <c r="B181" s="16">
        <v>0</v>
      </c>
      <c r="C181" s="16">
        <v>0</v>
      </c>
      <c r="D181" s="16">
        <v>0</v>
      </c>
      <c r="E181" s="16">
        <v>0</v>
      </c>
      <c r="F181" s="16">
        <v>0</v>
      </c>
      <c r="G181" s="16">
        <v>0</v>
      </c>
      <c r="H181" s="16">
        <v>0.91963058552818888</v>
      </c>
      <c r="I181" s="16">
        <v>0.94339652729808132</v>
      </c>
      <c r="J181" s="16">
        <v>0.94138937108070964</v>
      </c>
      <c r="K181" s="16">
        <v>0.95200821348705778</v>
      </c>
      <c r="L181" s="16">
        <v>0.95042990900548874</v>
      </c>
      <c r="M181" s="16">
        <v>0</v>
      </c>
      <c r="N181" s="16">
        <v>0</v>
      </c>
      <c r="O181" s="16">
        <v>0</v>
      </c>
      <c r="P181" s="16">
        <v>0</v>
      </c>
      <c r="Q181" s="16">
        <v>0</v>
      </c>
      <c r="R181" s="349" t="s">
        <v>858</v>
      </c>
    </row>
    <row r="182" spans="1:18">
      <c r="A182" s="148" t="s">
        <v>175</v>
      </c>
      <c r="B182" s="16">
        <v>0</v>
      </c>
      <c r="C182" s="16">
        <v>0</v>
      </c>
      <c r="D182" s="16">
        <v>0</v>
      </c>
      <c r="E182" s="16">
        <v>0</v>
      </c>
      <c r="F182" s="16">
        <v>0</v>
      </c>
      <c r="G182" s="16">
        <v>0</v>
      </c>
      <c r="H182" s="16">
        <v>0</v>
      </c>
      <c r="I182" s="16">
        <v>0</v>
      </c>
      <c r="J182" s="16">
        <v>0</v>
      </c>
      <c r="K182" s="16">
        <v>0</v>
      </c>
      <c r="L182" s="16">
        <v>0.94429433685217601</v>
      </c>
      <c r="M182" s="16">
        <v>0.93892296507413997</v>
      </c>
      <c r="N182" s="16">
        <v>0.93156581483362633</v>
      </c>
      <c r="O182" s="16">
        <v>0.9293690189173357</v>
      </c>
      <c r="P182" s="16">
        <v>0.94087937277391775</v>
      </c>
      <c r="Q182" s="16">
        <v>0.94255687793584697</v>
      </c>
      <c r="R182" s="349" t="s">
        <v>859</v>
      </c>
    </row>
    <row r="183" spans="1:18">
      <c r="A183" s="148" t="s">
        <v>176</v>
      </c>
      <c r="B183" s="16">
        <v>0.74962588200000002</v>
      </c>
      <c r="C183" s="16">
        <v>0.73899999999999999</v>
      </c>
      <c r="D183" s="16">
        <v>0.83368517299599998</v>
      </c>
      <c r="E183" s="16">
        <v>0.95399999999999996</v>
      </c>
      <c r="F183" s="16">
        <v>0.94599999999999995</v>
      </c>
      <c r="G183" s="16">
        <v>0.92</v>
      </c>
      <c r="H183" s="16">
        <v>0.91</v>
      </c>
      <c r="I183" s="16">
        <v>0.90400000000000003</v>
      </c>
      <c r="J183" s="16">
        <v>0.88900000000000001</v>
      </c>
      <c r="K183" s="16">
        <v>0.83799999999999997</v>
      </c>
      <c r="L183" s="16">
        <v>0.755</v>
      </c>
      <c r="M183" s="16">
        <v>0.65700000000000003</v>
      </c>
      <c r="N183" s="16">
        <v>0.53600000000000003</v>
      </c>
      <c r="O183" s="16">
        <v>0.38400000000000001</v>
      </c>
      <c r="P183" s="16">
        <v>0.14299999999999999</v>
      </c>
      <c r="Q183" s="16">
        <v>0.111</v>
      </c>
      <c r="R183" s="349" t="s">
        <v>832</v>
      </c>
    </row>
    <row r="184" spans="1:18">
      <c r="A184" s="148" t="s">
        <v>177</v>
      </c>
      <c r="B184" s="16">
        <v>0.19991999999999999</v>
      </c>
      <c r="C184" s="16">
        <v>0.22892999999999999</v>
      </c>
      <c r="D184" s="16">
        <v>0.44538</v>
      </c>
      <c r="E184" s="16">
        <v>0.78986000000000001</v>
      </c>
      <c r="F184" s="16">
        <v>0.88966000000000001</v>
      </c>
      <c r="G184" s="16">
        <v>0.88453999999999999</v>
      </c>
      <c r="H184" s="16">
        <v>0.89127999999999996</v>
      </c>
      <c r="I184" s="16">
        <v>0.91135999999999995</v>
      </c>
      <c r="J184" s="16">
        <v>0.93527000000000005</v>
      </c>
      <c r="K184" s="16">
        <v>0.95760000000000001</v>
      </c>
      <c r="L184" s="16">
        <v>0.97406999999999999</v>
      </c>
      <c r="M184" s="16">
        <v>0.98438000000000003</v>
      </c>
      <c r="N184" s="16">
        <v>0.98780000000000001</v>
      </c>
      <c r="O184" s="16">
        <v>0.97638000000000003</v>
      </c>
      <c r="P184" s="16">
        <v>0.65746000000000004</v>
      </c>
      <c r="Q184" s="16">
        <v>0.51488</v>
      </c>
      <c r="R184" s="349" t="s">
        <v>812</v>
      </c>
    </row>
    <row r="185" spans="1:18" ht="15" thickBot="1">
      <c r="A185" s="152" t="s">
        <v>178</v>
      </c>
      <c r="B185" s="363">
        <v>0.224</v>
      </c>
      <c r="C185" s="363">
        <v>0.28100000000000003</v>
      </c>
      <c r="D185" s="363">
        <v>0.41799999999999998</v>
      </c>
      <c r="E185" s="363">
        <v>0.66100000000000003</v>
      </c>
      <c r="F185" s="363">
        <v>0.84399999999999997</v>
      </c>
      <c r="G185" s="363">
        <v>0.84399999999999997</v>
      </c>
      <c r="H185" s="363">
        <v>0.84699999999999998</v>
      </c>
      <c r="I185" s="363">
        <v>0.85299999999999998</v>
      </c>
      <c r="J185" s="363">
        <v>0.88300000000000001</v>
      </c>
      <c r="K185" s="363">
        <v>0.91</v>
      </c>
      <c r="L185" s="363">
        <v>0.94899999999999995</v>
      </c>
      <c r="M185" s="363">
        <v>0.97199999999999998</v>
      </c>
      <c r="N185" s="363">
        <v>0.99</v>
      </c>
      <c r="O185" s="363">
        <v>0.996</v>
      </c>
      <c r="P185" s="363">
        <v>0.752</v>
      </c>
      <c r="Q185" s="363">
        <v>0.61099999999999999</v>
      </c>
      <c r="R185" s="349" t="s">
        <v>619</v>
      </c>
    </row>
    <row r="187" spans="1:18" ht="15" thickBot="1">
      <c r="A187" s="524" t="s">
        <v>762</v>
      </c>
      <c r="B187" s="524"/>
      <c r="C187" s="524"/>
      <c r="D187" s="524"/>
      <c r="E187" s="524"/>
      <c r="F187" s="524"/>
      <c r="G187" s="524"/>
      <c r="H187" s="524"/>
      <c r="I187" s="524"/>
      <c r="J187" s="524"/>
      <c r="K187" s="524"/>
      <c r="L187" s="524"/>
      <c r="M187" s="524"/>
      <c r="N187" s="524"/>
      <c r="O187" s="524"/>
      <c r="P187" s="524"/>
      <c r="Q187" s="524"/>
    </row>
    <row r="188" spans="1:18" ht="15" thickBot="1">
      <c r="A188" s="124" t="s">
        <v>161</v>
      </c>
      <c r="B188" s="127">
        <f>IF(AND(ISNUMBER(B189),ISNUMBER(B190),ISNUMBER(B191)),SUM(B189:B191),"")</f>
        <v>0.47932215676336842</v>
      </c>
      <c r="C188" s="127">
        <f t="shared" ref="C188:Q188" si="41">IF(AND(ISNUMBER(C189),ISNUMBER(C190),ISNUMBER(C191)),SUM(C189:C191),"")</f>
        <v>0.48783109040450129</v>
      </c>
      <c r="D188" s="127">
        <f t="shared" si="41"/>
        <v>0.57853113370926479</v>
      </c>
      <c r="E188" s="127">
        <f t="shared" si="41"/>
        <v>0.68715567081522888</v>
      </c>
      <c r="F188" s="127">
        <f t="shared" si="41"/>
        <v>0.72087115678523339</v>
      </c>
      <c r="G188" s="127">
        <f t="shared" si="41"/>
        <v>0.69639474819336722</v>
      </c>
      <c r="H188" s="127">
        <f t="shared" si="41"/>
        <v>0.65855175971448221</v>
      </c>
      <c r="I188" s="127">
        <f t="shared" si="41"/>
        <v>0.64588529240018366</v>
      </c>
      <c r="J188" s="127">
        <f t="shared" si="41"/>
        <v>0.67725304903375749</v>
      </c>
      <c r="K188" s="127">
        <f t="shared" si="41"/>
        <v>0.67957404891338846</v>
      </c>
      <c r="L188" s="127">
        <f t="shared" si="41"/>
        <v>0.63061045136446892</v>
      </c>
      <c r="M188" s="127">
        <f t="shared" si="41"/>
        <v>0.77779025419689984</v>
      </c>
      <c r="N188" s="127">
        <f t="shared" si="41"/>
        <v>0.78198304311903111</v>
      </c>
      <c r="O188" s="127">
        <f t="shared" si="41"/>
        <v>0.7532057779684026</v>
      </c>
      <c r="P188" s="127">
        <f t="shared" si="41"/>
        <v>0.42385241049601335</v>
      </c>
      <c r="Q188" s="127">
        <f t="shared" si="41"/>
        <v>0.31006216925960417</v>
      </c>
      <c r="R188" s="349"/>
    </row>
    <row r="189" spans="1:18">
      <c r="A189" s="123" t="s">
        <v>162</v>
      </c>
      <c r="B189" s="180">
        <f>IF(AND(ISNUMBER(B192), ISNUMBER(B193),ISNUMBER(B195),ISNUMBER(B197),ISNUMBER(B200),ISNUMBER(B203)),B192*B193*B195*B197*B200*B203,"")</f>
        <v>0.47932215676336842</v>
      </c>
      <c r="C189" s="180">
        <f t="shared" ref="C189:Q189" si="42">IF(AND(ISNUMBER(C192), ISNUMBER(C193),ISNUMBER(C195),ISNUMBER(C197),ISNUMBER(C200),ISNUMBER(C203)),C192*C193*C195*C197*C200*C203,"")</f>
        <v>0.48783109040450129</v>
      </c>
      <c r="D189" s="180">
        <f t="shared" si="42"/>
        <v>0.57853113370926479</v>
      </c>
      <c r="E189" s="180">
        <f t="shared" si="42"/>
        <v>0.68715567081522888</v>
      </c>
      <c r="F189" s="180">
        <f t="shared" si="42"/>
        <v>0.72087115678523339</v>
      </c>
      <c r="G189" s="180">
        <f t="shared" si="42"/>
        <v>0.69639474819336722</v>
      </c>
      <c r="H189" s="180">
        <f t="shared" si="42"/>
        <v>0.65835230548376422</v>
      </c>
      <c r="I189" s="180">
        <f t="shared" si="42"/>
        <v>1.1339543626158301E-2</v>
      </c>
      <c r="J189" s="180">
        <f t="shared" si="42"/>
        <v>0</v>
      </c>
      <c r="K189" s="180">
        <f t="shared" si="42"/>
        <v>0</v>
      </c>
      <c r="L189" s="180">
        <f t="shared" si="42"/>
        <v>0</v>
      </c>
      <c r="M189" s="180">
        <f t="shared" si="42"/>
        <v>0</v>
      </c>
      <c r="N189" s="180">
        <f t="shared" si="42"/>
        <v>0</v>
      </c>
      <c r="O189" s="180">
        <f t="shared" si="42"/>
        <v>0</v>
      </c>
      <c r="P189" s="180">
        <f t="shared" si="42"/>
        <v>0</v>
      </c>
      <c r="Q189" s="180">
        <f t="shared" si="42"/>
        <v>0</v>
      </c>
      <c r="R189" s="349"/>
    </row>
    <row r="190" spans="1:18">
      <c r="A190" s="123" t="s">
        <v>163</v>
      </c>
      <c r="B190" s="180">
        <f>IF(AND(ISNUMBER(B192),ISNUMBER(B193), ISNUMBER(B196), ISNUMBER(B198), ISNUMBER(B201), ISNUMBER(B204)),B192*B193*B196*B198*B201*B204,"")</f>
        <v>0</v>
      </c>
      <c r="C190" s="180">
        <f t="shared" ref="C190:Q190" si="43">IF(AND(ISNUMBER(C192),ISNUMBER(C193), ISNUMBER(C196), ISNUMBER(C198), ISNUMBER(C201), ISNUMBER(C204)),C192*C193*C196*C198*C201*C204,"")</f>
        <v>0</v>
      </c>
      <c r="D190" s="180">
        <f t="shared" si="43"/>
        <v>0</v>
      </c>
      <c r="E190" s="180">
        <f t="shared" si="43"/>
        <v>0</v>
      </c>
      <c r="F190" s="180">
        <f t="shared" si="43"/>
        <v>0</v>
      </c>
      <c r="G190" s="180">
        <f t="shared" si="43"/>
        <v>0</v>
      </c>
      <c r="H190" s="180">
        <f t="shared" si="43"/>
        <v>1.9945423071795505E-4</v>
      </c>
      <c r="I190" s="180">
        <f t="shared" si="43"/>
        <v>0.63454574877402536</v>
      </c>
      <c r="J190" s="180">
        <f t="shared" si="43"/>
        <v>0.67725304903375749</v>
      </c>
      <c r="K190" s="180">
        <f t="shared" si="43"/>
        <v>0.67957404891338846</v>
      </c>
      <c r="L190" s="180">
        <f t="shared" si="43"/>
        <v>0.57687913795104639</v>
      </c>
      <c r="M190" s="180">
        <f t="shared" si="43"/>
        <v>0</v>
      </c>
      <c r="N190" s="180">
        <f t="shared" si="43"/>
        <v>0</v>
      </c>
      <c r="O190" s="180">
        <f t="shared" si="43"/>
        <v>0</v>
      </c>
      <c r="P190" s="180">
        <f t="shared" si="43"/>
        <v>0</v>
      </c>
      <c r="Q190" s="180">
        <f t="shared" si="43"/>
        <v>0</v>
      </c>
      <c r="R190" s="349"/>
    </row>
    <row r="191" spans="1:18">
      <c r="A191" s="192" t="s">
        <v>164</v>
      </c>
      <c r="B191" s="16">
        <f>IF(AND(ISNUMBER(B192),ISNUMBER(B194),ISNUMBER(B199),ISNUMBER(B202),ISNUMBER(B204)),B192*B194*B199*B202*B204,"")</f>
        <v>0</v>
      </c>
      <c r="C191" s="16">
        <f t="shared" ref="C191:Q191" si="44">IF(AND(ISNUMBER(C192),ISNUMBER(C194),ISNUMBER(C199),ISNUMBER(C202),ISNUMBER(C204)),C192*C194*C199*C202*C204,"")</f>
        <v>0</v>
      </c>
      <c r="D191" s="16">
        <f t="shared" si="44"/>
        <v>0</v>
      </c>
      <c r="E191" s="16">
        <f t="shared" si="44"/>
        <v>0</v>
      </c>
      <c r="F191" s="16">
        <f t="shared" si="44"/>
        <v>0</v>
      </c>
      <c r="G191" s="16">
        <f t="shared" si="44"/>
        <v>0</v>
      </c>
      <c r="H191" s="16">
        <f t="shared" si="44"/>
        <v>0</v>
      </c>
      <c r="I191" s="16">
        <f t="shared" si="44"/>
        <v>0</v>
      </c>
      <c r="J191" s="16">
        <f t="shared" si="44"/>
        <v>0</v>
      </c>
      <c r="K191" s="16">
        <f t="shared" si="44"/>
        <v>0</v>
      </c>
      <c r="L191" s="16">
        <f t="shared" si="44"/>
        <v>5.3731313413422493E-2</v>
      </c>
      <c r="M191" s="16">
        <f t="shared" si="44"/>
        <v>0.77779025419689984</v>
      </c>
      <c r="N191" s="16">
        <f t="shared" si="44"/>
        <v>0.78198304311903111</v>
      </c>
      <c r="O191" s="16">
        <f t="shared" si="44"/>
        <v>0.7532057779684026</v>
      </c>
      <c r="P191" s="16">
        <f t="shared" si="44"/>
        <v>0.42385241049601335</v>
      </c>
      <c r="Q191" s="16">
        <f t="shared" si="44"/>
        <v>0.31006216925960417</v>
      </c>
      <c r="R191" s="349"/>
    </row>
    <row r="192" spans="1:18">
      <c r="A192" s="148" t="s">
        <v>165</v>
      </c>
      <c r="B192" s="16">
        <v>0.99124163999999992</v>
      </c>
      <c r="C192" s="16">
        <v>0.98427668999999995</v>
      </c>
      <c r="D192" s="16">
        <v>0.99292603000000002</v>
      </c>
      <c r="E192" s="16">
        <v>0.99291965999999998</v>
      </c>
      <c r="F192" s="16">
        <v>0.97786910999999999</v>
      </c>
      <c r="G192" s="16">
        <v>0.97714217000000003</v>
      </c>
      <c r="H192" s="16">
        <v>0.98373845000000004</v>
      </c>
      <c r="I192" s="16">
        <v>0.98126091999999998</v>
      </c>
      <c r="J192" s="16">
        <v>0.98046158999999999</v>
      </c>
      <c r="K192" s="16">
        <v>0.98241119999999993</v>
      </c>
      <c r="L192" s="16">
        <v>0.98242858999999993</v>
      </c>
      <c r="M192" s="16">
        <v>0.98410392000000002</v>
      </c>
      <c r="N192" s="16">
        <v>0.97699895999999997</v>
      </c>
      <c r="O192" s="16">
        <v>0.98522248000000001</v>
      </c>
      <c r="P192" s="16">
        <v>0.98754850999999999</v>
      </c>
      <c r="Q192" s="16">
        <v>0.98717338999999993</v>
      </c>
      <c r="R192" s="349" t="s">
        <v>846</v>
      </c>
    </row>
    <row r="193" spans="1:18">
      <c r="A193" s="148" t="s">
        <v>166</v>
      </c>
      <c r="B193" s="16">
        <v>0.96176585993918429</v>
      </c>
      <c r="C193" s="16">
        <v>0.96306197999999998</v>
      </c>
      <c r="D193" s="16">
        <v>0.96556126399999997</v>
      </c>
      <c r="E193" s="16">
        <v>0.96912220799999993</v>
      </c>
      <c r="F193" s="16">
        <v>0.96947089999999991</v>
      </c>
      <c r="G193" s="16">
        <v>0.96307561600000002</v>
      </c>
      <c r="H193" s="16">
        <v>0.96855144400000004</v>
      </c>
      <c r="I193" s="16">
        <v>0.94962272799999992</v>
      </c>
      <c r="J193" s="16">
        <v>0.96353631800000006</v>
      </c>
      <c r="K193" s="16">
        <v>0.96992186199999997</v>
      </c>
      <c r="L193" s="16">
        <v>0.90138710011088086</v>
      </c>
      <c r="M193" s="16">
        <v>1.3327242E-2</v>
      </c>
      <c r="N193" s="16">
        <v>6.9806579999999998E-3</v>
      </c>
      <c r="O193" s="16">
        <v>4.9128560000000002E-3</v>
      </c>
      <c r="P193" s="16">
        <v>2.4457140000000003E-3</v>
      </c>
      <c r="Q193" s="16">
        <v>4.09567E-3</v>
      </c>
      <c r="R193" s="349" t="s">
        <v>835</v>
      </c>
    </row>
    <row r="194" spans="1:18">
      <c r="A194" s="148" t="s">
        <v>167</v>
      </c>
      <c r="B194" s="16">
        <v>7.3034257148698019E-3</v>
      </c>
      <c r="C194" s="16">
        <v>5.8274506468105041E-3</v>
      </c>
      <c r="D194" s="16">
        <v>3.0810711269038818E-3</v>
      </c>
      <c r="E194" s="16">
        <v>1.5221134603313915E-4</v>
      </c>
      <c r="F194" s="16">
        <v>5.293382398925163E-5</v>
      </c>
      <c r="G194" s="16">
        <v>5.4637463672322934E-3</v>
      </c>
      <c r="H194" s="16">
        <v>1.7118413096161931E-3</v>
      </c>
      <c r="I194" s="16">
        <v>1.5518093417037184E-2</v>
      </c>
      <c r="J194" s="16">
        <v>2.433128328389913E-3</v>
      </c>
      <c r="K194" s="16">
        <v>2.9978139097325729E-4</v>
      </c>
      <c r="L194" s="16">
        <v>7.1583775598593635E-2</v>
      </c>
      <c r="M194" s="16">
        <v>0.9493188809194979</v>
      </c>
      <c r="N194" s="16">
        <v>0.949408337020059</v>
      </c>
      <c r="O194" s="16">
        <v>0.9535093162662599</v>
      </c>
      <c r="P194" s="16">
        <v>0.95700871446435887</v>
      </c>
      <c r="Q194" s="16">
        <v>0.95127561301217656</v>
      </c>
      <c r="R194" s="349" t="s">
        <v>836</v>
      </c>
    </row>
    <row r="195" spans="1:18">
      <c r="A195" s="148" t="s">
        <v>168</v>
      </c>
      <c r="B195" s="16">
        <v>0.98579099999999997</v>
      </c>
      <c r="C195" s="16">
        <v>0.99492199999999997</v>
      </c>
      <c r="D195" s="16">
        <v>0.99632299999999996</v>
      </c>
      <c r="E195" s="16">
        <v>0.99396499999999999</v>
      </c>
      <c r="F195" s="16">
        <v>0.99622299999999997</v>
      </c>
      <c r="G195" s="16">
        <v>0.99539699999999998</v>
      </c>
      <c r="H195" s="16">
        <v>0.99636499999999995</v>
      </c>
      <c r="I195" s="16">
        <v>2.0618000000000001E-2</v>
      </c>
      <c r="J195" s="16">
        <v>2.885E-3</v>
      </c>
      <c r="K195" s="16">
        <v>2.3909999999999999E-3</v>
      </c>
      <c r="L195" s="16">
        <v>6.5789999999999998E-3</v>
      </c>
      <c r="M195" s="16">
        <v>1.1497E-2</v>
      </c>
      <c r="N195" s="16">
        <v>0.37515199999999999</v>
      </c>
      <c r="O195" s="16">
        <v>0.86092500000000005</v>
      </c>
      <c r="P195" s="16">
        <v>0.66133600000000003</v>
      </c>
      <c r="Q195" s="16">
        <v>0.92452500000000004</v>
      </c>
      <c r="R195" s="349" t="s">
        <v>811</v>
      </c>
    </row>
    <row r="196" spans="1:18">
      <c r="A196" s="148" t="s">
        <v>169</v>
      </c>
      <c r="B196" s="16">
        <v>1.8979346121382442E-3</v>
      </c>
      <c r="C196" s="16">
        <v>8.3214498415663731E-4</v>
      </c>
      <c r="D196" s="16">
        <v>8.7476703779958565E-4</v>
      </c>
      <c r="E196" s="16">
        <v>3.3269607584681784E-3</v>
      </c>
      <c r="F196" s="16">
        <v>4.2624018879687422E-4</v>
      </c>
      <c r="G196" s="16">
        <v>2.1803263497132347E-3</v>
      </c>
      <c r="H196" s="16">
        <v>3.3036097500000004E-4</v>
      </c>
      <c r="I196" s="16">
        <v>0.97230645267500004</v>
      </c>
      <c r="J196" s="16">
        <v>0.99134055532499998</v>
      </c>
      <c r="K196" s="16">
        <v>0.98930817126399995</v>
      </c>
      <c r="L196" s="16">
        <v>0.98389767465599998</v>
      </c>
      <c r="M196" s="16">
        <v>0.97798382684000007</v>
      </c>
      <c r="N196" s="16">
        <v>0.53847419256232887</v>
      </c>
      <c r="O196" s="16">
        <v>0.13107741811102591</v>
      </c>
      <c r="P196" s="16">
        <v>0.26916084054141931</v>
      </c>
      <c r="Q196" s="16">
        <v>7.0798686743781869E-2</v>
      </c>
      <c r="R196" s="349" t="s">
        <v>811</v>
      </c>
    </row>
    <row r="197" spans="1:18">
      <c r="A197" s="148" t="s">
        <v>170</v>
      </c>
      <c r="B197" s="16">
        <v>0.79802399999999996</v>
      </c>
      <c r="C197" s="16">
        <v>0.80654300000000001</v>
      </c>
      <c r="D197" s="16">
        <v>0.81932300000000002</v>
      </c>
      <c r="E197" s="16">
        <v>0.84062199999999998</v>
      </c>
      <c r="F197" s="16">
        <v>0.847889</v>
      </c>
      <c r="G197" s="16">
        <v>0.82703899999999997</v>
      </c>
      <c r="H197" s="16">
        <v>0.78925900000000004</v>
      </c>
      <c r="I197" s="16">
        <v>0.683562</v>
      </c>
      <c r="J197" s="16">
        <v>0</v>
      </c>
      <c r="K197" s="16">
        <v>0</v>
      </c>
      <c r="L197" s="16">
        <v>0</v>
      </c>
      <c r="M197" s="16">
        <v>0</v>
      </c>
      <c r="N197" s="16">
        <v>0</v>
      </c>
      <c r="O197" s="16">
        <v>0</v>
      </c>
      <c r="P197" s="16">
        <v>0</v>
      </c>
      <c r="Q197" s="16">
        <v>0</v>
      </c>
      <c r="R197" s="349" t="s">
        <v>872</v>
      </c>
    </row>
    <row r="198" spans="1:18">
      <c r="A198" s="148" t="s">
        <v>171</v>
      </c>
      <c r="B198" s="16">
        <v>0</v>
      </c>
      <c r="C198" s="16">
        <v>0</v>
      </c>
      <c r="D198" s="16">
        <v>0</v>
      </c>
      <c r="E198" s="16">
        <v>0</v>
      </c>
      <c r="F198" s="16">
        <v>0</v>
      </c>
      <c r="G198" s="16">
        <v>0</v>
      </c>
      <c r="H198" s="16">
        <v>0.76724599999999998</v>
      </c>
      <c r="I198" s="16">
        <v>0.81559999999999999</v>
      </c>
      <c r="J198" s="16">
        <v>0.82467400000000002</v>
      </c>
      <c r="K198" s="16">
        <v>0.79444999999999999</v>
      </c>
      <c r="L198" s="16">
        <v>0.72496700000000003</v>
      </c>
      <c r="M198" s="16">
        <v>0</v>
      </c>
      <c r="N198" s="16">
        <v>0</v>
      </c>
      <c r="O198" s="16">
        <v>0</v>
      </c>
      <c r="P198" s="16">
        <v>0</v>
      </c>
      <c r="Q198" s="16">
        <v>0</v>
      </c>
      <c r="R198" s="349" t="s">
        <v>794</v>
      </c>
    </row>
    <row r="199" spans="1:18">
      <c r="A199" s="148" t="s">
        <v>172</v>
      </c>
      <c r="B199" s="16">
        <v>0</v>
      </c>
      <c r="C199" s="16">
        <v>0</v>
      </c>
      <c r="D199" s="16">
        <v>0</v>
      </c>
      <c r="E199" s="16">
        <v>0</v>
      </c>
      <c r="F199" s="16">
        <v>0</v>
      </c>
      <c r="G199" s="16">
        <v>0</v>
      </c>
      <c r="H199" s="16">
        <v>0</v>
      </c>
      <c r="I199" s="16">
        <v>0</v>
      </c>
      <c r="J199" s="16">
        <v>0</v>
      </c>
      <c r="K199" s="16">
        <v>0</v>
      </c>
      <c r="L199" s="16">
        <v>0.82830000000000004</v>
      </c>
      <c r="M199" s="16">
        <v>0.89705699999999999</v>
      </c>
      <c r="N199" s="16">
        <v>0.91539099999999995</v>
      </c>
      <c r="O199" s="16">
        <v>0.88323499999999999</v>
      </c>
      <c r="P199" s="16">
        <v>0.72696099999999997</v>
      </c>
      <c r="Q199" s="16">
        <v>0.68333299999999997</v>
      </c>
      <c r="R199" s="349" t="s">
        <v>795</v>
      </c>
    </row>
    <row r="200" spans="1:18">
      <c r="A200" s="148" t="s">
        <v>173</v>
      </c>
      <c r="B200" s="16">
        <v>0.87386110531872108</v>
      </c>
      <c r="C200" s="16">
        <v>0.88950053149250619</v>
      </c>
      <c r="D200" s="16">
        <v>0.91085830323926931</v>
      </c>
      <c r="E200" s="16">
        <v>0.92395092081691321</v>
      </c>
      <c r="F200" s="16">
        <v>0.93190030186303074</v>
      </c>
      <c r="G200" s="16">
        <v>0.92958381268213597</v>
      </c>
      <c r="H200" s="16">
        <v>0.90957997132644319</v>
      </c>
      <c r="I200" s="16">
        <v>0.90793552461476579</v>
      </c>
      <c r="J200" s="16">
        <v>0</v>
      </c>
      <c r="K200" s="16">
        <v>0</v>
      </c>
      <c r="L200" s="16">
        <v>0</v>
      </c>
      <c r="M200" s="16">
        <v>0</v>
      </c>
      <c r="N200" s="16">
        <v>0</v>
      </c>
      <c r="O200" s="16">
        <v>0</v>
      </c>
      <c r="P200" s="16">
        <v>0</v>
      </c>
      <c r="Q200" s="16">
        <v>0</v>
      </c>
      <c r="R200" s="349" t="s">
        <v>860</v>
      </c>
    </row>
    <row r="201" spans="1:18">
      <c r="A201" s="148" t="s">
        <v>174</v>
      </c>
      <c r="B201" s="16">
        <v>0</v>
      </c>
      <c r="C201" s="16">
        <v>0</v>
      </c>
      <c r="D201" s="16">
        <v>0</v>
      </c>
      <c r="E201" s="16">
        <v>0</v>
      </c>
      <c r="F201" s="16">
        <v>0</v>
      </c>
      <c r="G201" s="16">
        <v>0</v>
      </c>
      <c r="H201" s="16">
        <v>0.92662364935541464</v>
      </c>
      <c r="I201" s="16">
        <v>0.94223012916286708</v>
      </c>
      <c r="J201" s="16">
        <v>0.93758384467111422</v>
      </c>
      <c r="K201" s="16">
        <v>0.94759864186420206</v>
      </c>
      <c r="L201" s="16">
        <v>0.93759258107907273</v>
      </c>
      <c r="M201" s="16">
        <v>0</v>
      </c>
      <c r="N201" s="16">
        <v>0</v>
      </c>
      <c r="O201" s="16">
        <v>0</v>
      </c>
      <c r="P201" s="16">
        <v>0</v>
      </c>
      <c r="Q201" s="16">
        <v>0</v>
      </c>
      <c r="R201" s="349" t="s">
        <v>861</v>
      </c>
    </row>
    <row r="202" spans="1:18">
      <c r="A202" s="148" t="s">
        <v>175</v>
      </c>
      <c r="B202" s="16">
        <v>0</v>
      </c>
      <c r="C202" s="16">
        <v>0</v>
      </c>
      <c r="D202" s="16">
        <v>0</v>
      </c>
      <c r="E202" s="16">
        <v>0</v>
      </c>
      <c r="F202" s="16">
        <v>0</v>
      </c>
      <c r="G202" s="16">
        <v>0</v>
      </c>
      <c r="H202" s="16">
        <v>0</v>
      </c>
      <c r="I202" s="16">
        <v>0</v>
      </c>
      <c r="J202" s="16">
        <v>0</v>
      </c>
      <c r="K202" s="16">
        <v>0</v>
      </c>
      <c r="L202" s="16">
        <v>0.94696523149410572</v>
      </c>
      <c r="M202" s="16">
        <v>0.9428152440334655</v>
      </c>
      <c r="N202" s="16">
        <v>0.93234046404100157</v>
      </c>
      <c r="O202" s="16">
        <v>0.92973513672893549</v>
      </c>
      <c r="P202" s="16">
        <v>0.93833924154328008</v>
      </c>
      <c r="Q202" s="16">
        <v>0.93844875141213069</v>
      </c>
      <c r="R202" s="349" t="s">
        <v>862</v>
      </c>
    </row>
    <row r="203" spans="1:18">
      <c r="A203" s="148" t="s">
        <v>176</v>
      </c>
      <c r="B203" s="16">
        <v>0.73136706500000004</v>
      </c>
      <c r="C203" s="16">
        <v>0.72099999999999997</v>
      </c>
      <c r="D203" s="16">
        <v>0.81156606792499997</v>
      </c>
      <c r="E203" s="16">
        <v>0.92500000000000004</v>
      </c>
      <c r="F203" s="16">
        <v>0.96599999999999997</v>
      </c>
      <c r="G203" s="16">
        <v>0.96699999999999997</v>
      </c>
      <c r="H203" s="16">
        <v>0.96599999999999997</v>
      </c>
      <c r="I203" s="16">
        <v>0.95099999999999996</v>
      </c>
      <c r="J203" s="16">
        <v>0.88900000000000001</v>
      </c>
      <c r="K203" s="16">
        <v>0.83799999999999997</v>
      </c>
      <c r="L203" s="16">
        <v>0.755</v>
      </c>
      <c r="M203" s="16">
        <v>0.65700000000000003</v>
      </c>
      <c r="N203" s="16">
        <v>0.53600000000000003</v>
      </c>
      <c r="O203" s="16">
        <v>0.38400000000000001</v>
      </c>
      <c r="P203" s="16">
        <v>0.14299999999999999</v>
      </c>
      <c r="Q203" s="16">
        <v>0.111</v>
      </c>
      <c r="R203" s="349" t="s">
        <v>831</v>
      </c>
    </row>
    <row r="204" spans="1:18">
      <c r="A204" s="148" t="s">
        <v>177</v>
      </c>
      <c r="B204" s="16">
        <v>0.19991999999999999</v>
      </c>
      <c r="C204" s="16">
        <v>0.22892999999999999</v>
      </c>
      <c r="D204" s="16">
        <v>0.44538</v>
      </c>
      <c r="E204" s="16">
        <v>0.78986000000000001</v>
      </c>
      <c r="F204" s="16">
        <v>0.88966000000000001</v>
      </c>
      <c r="G204" s="16">
        <v>0.88453999999999999</v>
      </c>
      <c r="H204" s="16">
        <v>0.89127999999999996</v>
      </c>
      <c r="I204" s="16">
        <v>0.91135999999999995</v>
      </c>
      <c r="J204" s="16">
        <v>0.93527000000000005</v>
      </c>
      <c r="K204" s="16">
        <v>0.95760000000000001</v>
      </c>
      <c r="L204" s="16">
        <v>0.97406999999999999</v>
      </c>
      <c r="M204" s="16">
        <v>0.98438000000000003</v>
      </c>
      <c r="N204" s="16">
        <v>0.98780000000000001</v>
      </c>
      <c r="O204" s="16">
        <v>0.97638000000000003</v>
      </c>
      <c r="P204" s="16">
        <v>0.65746000000000004</v>
      </c>
      <c r="Q204" s="16">
        <v>0.51488</v>
      </c>
      <c r="R204" s="349" t="s">
        <v>812</v>
      </c>
    </row>
    <row r="205" spans="1:18" ht="15" thickBot="1">
      <c r="A205" s="152" t="s">
        <v>178</v>
      </c>
      <c r="B205" s="363">
        <v>0.224</v>
      </c>
      <c r="C205" s="363">
        <v>0.28100000000000003</v>
      </c>
      <c r="D205" s="363">
        <v>0.41799999999999998</v>
      </c>
      <c r="E205" s="363">
        <v>0.66100000000000003</v>
      </c>
      <c r="F205" s="363">
        <v>0.84399999999999997</v>
      </c>
      <c r="G205" s="363">
        <v>0.84399999999999997</v>
      </c>
      <c r="H205" s="363">
        <v>0.84699999999999998</v>
      </c>
      <c r="I205" s="363">
        <v>0.85299999999999998</v>
      </c>
      <c r="J205" s="363">
        <v>0.88300000000000001</v>
      </c>
      <c r="K205" s="363">
        <v>0.91</v>
      </c>
      <c r="L205" s="363">
        <v>0.94899999999999995</v>
      </c>
      <c r="M205" s="363">
        <v>0.97199999999999998</v>
      </c>
      <c r="N205" s="363">
        <v>0.99</v>
      </c>
      <c r="O205" s="363">
        <v>0.996</v>
      </c>
      <c r="P205" s="363">
        <v>0.752</v>
      </c>
      <c r="Q205" s="363">
        <v>0.61099999999999999</v>
      </c>
      <c r="R205" s="349" t="s">
        <v>619</v>
      </c>
    </row>
    <row r="207" spans="1:18">
      <c r="A207" s="503" t="s">
        <v>603</v>
      </c>
      <c r="B207" s="504"/>
      <c r="C207" s="501">
        <v>360</v>
      </c>
      <c r="D207" s="501">
        <v>375</v>
      </c>
      <c r="E207" s="501">
        <v>400</v>
      </c>
      <c r="F207" s="501">
        <v>450</v>
      </c>
      <c r="G207" s="501">
        <v>500</v>
      </c>
      <c r="H207" s="501">
        <v>550</v>
      </c>
      <c r="I207" s="501">
        <v>600</v>
      </c>
      <c r="J207" s="501">
        <v>650</v>
      </c>
      <c r="K207" s="501">
        <v>700</v>
      </c>
      <c r="L207" s="501">
        <v>750</v>
      </c>
      <c r="M207" s="501">
        <v>800</v>
      </c>
      <c r="N207" s="501">
        <v>850</v>
      </c>
      <c r="O207" s="501">
        <v>900</v>
      </c>
      <c r="P207" s="501">
        <v>980</v>
      </c>
    </row>
    <row r="208" spans="1:18">
      <c r="A208" s="503" t="s">
        <v>810</v>
      </c>
      <c r="B208" s="504"/>
      <c r="C208" s="502">
        <v>0.21</v>
      </c>
      <c r="D208" s="502">
        <v>0.3</v>
      </c>
      <c r="E208" s="502">
        <v>0.43</v>
      </c>
      <c r="F208" s="502">
        <v>0.55000000000000004</v>
      </c>
      <c r="G208" s="502">
        <v>0.56999999999999995</v>
      </c>
      <c r="H208" s="502">
        <v>0.54</v>
      </c>
      <c r="I208" s="502">
        <v>0.5</v>
      </c>
      <c r="J208" s="502">
        <v>0.56000000000000005</v>
      </c>
      <c r="K208" s="502">
        <v>0.57999999999999996</v>
      </c>
      <c r="L208" s="502">
        <v>0.56000000000000005</v>
      </c>
      <c r="M208" s="502">
        <v>0.63</v>
      </c>
      <c r="N208" s="502">
        <v>0.63</v>
      </c>
      <c r="O208" s="502">
        <v>0.62</v>
      </c>
      <c r="P208" s="502">
        <v>0.48</v>
      </c>
    </row>
    <row r="216" spans="5:5">
      <c r="E216" s="326">
        <f>IF(AND(ISNUMBER(B189),ISNUMBER(B190),ISNUMBER(B191)),SUM(B189:B191),"")</f>
        <v>0.47932215676336842</v>
      </c>
    </row>
  </sheetData>
  <mergeCells count="11">
    <mergeCell ref="A107:Q107"/>
    <mergeCell ref="A127:Q127"/>
    <mergeCell ref="A147:Q147"/>
    <mergeCell ref="A167:Q167"/>
    <mergeCell ref="A187:Q187"/>
    <mergeCell ref="A87:Q87"/>
    <mergeCell ref="C1:P1"/>
    <mergeCell ref="A7:Q7"/>
    <mergeCell ref="A27:Q27"/>
    <mergeCell ref="A47:Q47"/>
    <mergeCell ref="A67:Q6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workbookViewId="0">
      <selection activeCell="A10" sqref="A10"/>
    </sheetView>
  </sheetViews>
  <sheetFormatPr defaultColWidth="8.88671875" defaultRowHeight="14.4"/>
  <cols>
    <col min="1" max="1" width="81" bestFit="1" customWidth="1"/>
    <col min="2" max="2" width="14.44140625" bestFit="1" customWidth="1"/>
    <col min="3" max="3" width="32.33203125" bestFit="1" customWidth="1"/>
    <col min="4" max="4" width="17.44140625" bestFit="1" customWidth="1"/>
    <col min="5" max="5" width="19" bestFit="1" customWidth="1"/>
  </cols>
  <sheetData>
    <row r="1" spans="1:26" s="128" customFormat="1">
      <c r="A1" s="128" t="s">
        <v>201</v>
      </c>
      <c r="B1" s="128" t="str">
        <f>'Cover Page'!G1</f>
        <v>v17</v>
      </c>
    </row>
    <row r="2" spans="1:26" s="128" customFormat="1">
      <c r="A2" s="128" t="s">
        <v>182</v>
      </c>
      <c r="B2" s="134">
        <f ca="1">NOW()</f>
        <v>44203.460680671298</v>
      </c>
    </row>
    <row r="3" spans="1:26" s="128" customFormat="1">
      <c r="A3" s="133" t="s">
        <v>193</v>
      </c>
    </row>
    <row r="4" spans="1:26" s="128" customFormat="1">
      <c r="A4" s="128" t="s">
        <v>192</v>
      </c>
    </row>
    <row r="5" spans="1:26" s="128" customFormat="1">
      <c r="A5" s="128" t="s">
        <v>197</v>
      </c>
    </row>
    <row r="6" spans="1:26" s="128" customFormat="1">
      <c r="A6" s="128" t="s">
        <v>198</v>
      </c>
    </row>
    <row r="7" spans="1:26">
      <c r="A7" t="s">
        <v>189</v>
      </c>
    </row>
    <row r="8" spans="1:26">
      <c r="A8" t="s">
        <v>190</v>
      </c>
    </row>
    <row r="9" spans="1:26">
      <c r="A9" t="s">
        <v>195</v>
      </c>
      <c r="B9" s="129" t="s">
        <v>194</v>
      </c>
      <c r="C9" s="129" t="s">
        <v>196</v>
      </c>
      <c r="D9" s="129" t="s">
        <v>199</v>
      </c>
      <c r="E9" s="129" t="s">
        <v>200</v>
      </c>
    </row>
    <row r="10" spans="1:26">
      <c r="A10" s="128">
        <f>Throughput!C3</f>
        <v>360</v>
      </c>
      <c r="B10" s="129">
        <f>Throughput!C97</f>
        <v>0.13270095419255937</v>
      </c>
      <c r="C10" s="129">
        <f>Throughput!C95</f>
        <v>0.49974037102515395</v>
      </c>
      <c r="D10" s="129">
        <f>Throughput!C75</f>
        <v>13.475037789077373</v>
      </c>
      <c r="E10" s="129">
        <f>Throughput!C27</f>
        <v>14.783526607036929</v>
      </c>
      <c r="Q10" s="128"/>
      <c r="R10" s="128"/>
      <c r="S10" s="128"/>
      <c r="T10" s="128"/>
      <c r="U10" s="128"/>
      <c r="V10" s="128"/>
      <c r="W10" s="128"/>
      <c r="X10" s="128"/>
      <c r="Y10" s="128"/>
      <c r="Z10" s="128"/>
    </row>
    <row r="11" spans="1:26">
      <c r="A11" s="128">
        <f>Throughput!D3</f>
        <v>375</v>
      </c>
      <c r="B11" s="129">
        <f>Throughput!D97</f>
        <v>0.20157106787592288</v>
      </c>
      <c r="C11" s="129">
        <f>Throughput!D95</f>
        <v>0.58542506791688453</v>
      </c>
      <c r="D11" s="129">
        <f>Throughput!D75</f>
        <v>13.01654440959901</v>
      </c>
      <c r="E11" s="129">
        <f>Throughput!D27</f>
        <v>14.508291213680845</v>
      </c>
    </row>
    <row r="12" spans="1:26">
      <c r="A12" s="128">
        <f>Throughput!E3</f>
        <v>400</v>
      </c>
      <c r="B12" s="129">
        <f>Throughput!E97</f>
        <v>0.27915437985318425</v>
      </c>
      <c r="C12" s="129">
        <f>Throughput!E95</f>
        <v>0.68289094754492718</v>
      </c>
      <c r="D12" s="129">
        <f>Throughput!E75</f>
        <v>12.411796426668593</v>
      </c>
      <c r="E12" s="129">
        <f>Throughput!E27</f>
        <v>13.913151402215417</v>
      </c>
    </row>
    <row r="13" spans="1:26">
      <c r="A13" s="128">
        <f>Throughput!F3</f>
        <v>450</v>
      </c>
      <c r="B13" s="129">
        <f>Throughput!F97</f>
        <v>0.3475785615539746</v>
      </c>
      <c r="C13" s="129">
        <f>Throughput!F95</f>
        <v>0.70424233455720942</v>
      </c>
      <c r="D13" s="129">
        <f>Throughput!F75</f>
        <v>11.715178791937545</v>
      </c>
      <c r="E13" s="129">
        <f>Throughput!F27</f>
        <v>13.44167030770242</v>
      </c>
    </row>
    <row r="14" spans="1:26">
      <c r="A14" s="128">
        <f>Throughput!G3</f>
        <v>500</v>
      </c>
      <c r="B14" s="129">
        <f>Throughput!G97</f>
        <v>0.36034483741549167</v>
      </c>
      <c r="C14" s="129">
        <f>Throughput!G95</f>
        <v>0.65229441863731674</v>
      </c>
      <c r="D14" s="129">
        <f>Throughput!G75</f>
        <v>10.9792787257207</v>
      </c>
      <c r="E14" s="129">
        <f>Throughput!G27</f>
        <v>12.85985244320357</v>
      </c>
    </row>
    <row r="15" spans="1:26">
      <c r="A15" s="128">
        <f>Throughput!H3</f>
        <v>550</v>
      </c>
      <c r="B15" s="129">
        <f>Throughput!H97</f>
        <v>0.34885827788252266</v>
      </c>
      <c r="C15" s="129">
        <f>Throughput!H95</f>
        <v>0.59173383361896403</v>
      </c>
      <c r="D15" s="129">
        <f>Throughput!H75</f>
        <v>11.049649032302481</v>
      </c>
      <c r="E15" s="129">
        <f>Throughput!H27</f>
        <v>12.512006337553096</v>
      </c>
    </row>
    <row r="16" spans="1:26">
      <c r="A16" s="128">
        <f>Throughput!I3</f>
        <v>600</v>
      </c>
      <c r="B16" s="129">
        <f>Throughput!I97</f>
        <v>0.39893023067135974</v>
      </c>
      <c r="C16" s="129">
        <f>Throughput!I95</f>
        <v>0.65205019821434029</v>
      </c>
      <c r="D16" s="129">
        <f>Throughput!I75</f>
        <v>11.701187039230817</v>
      </c>
      <c r="E16" s="129">
        <f>Throughput!I27</f>
        <v>12.617709778758142</v>
      </c>
    </row>
    <row r="17" spans="1:5">
      <c r="A17" s="128">
        <f>Throughput!J3</f>
        <v>650</v>
      </c>
      <c r="B17" s="129">
        <f>Throughput!J97</f>
        <v>0.42470974517382704</v>
      </c>
      <c r="C17" s="129">
        <f>Throughput!J95</f>
        <v>0.68986540008523634</v>
      </c>
      <c r="D17" s="129">
        <f>Throughput!J75</f>
        <v>12.384131787778392</v>
      </c>
      <c r="E17" s="129">
        <f>Throughput!J27</f>
        <v>13.028305023715435</v>
      </c>
    </row>
    <row r="18" spans="1:5">
      <c r="A18" s="128">
        <f>Throughput!K3</f>
        <v>700</v>
      </c>
      <c r="B18" s="129">
        <f>Throughput!K97</f>
        <v>0.42648681083554651</v>
      </c>
      <c r="C18" s="129">
        <f>Throughput!K95</f>
        <v>0.68243344472763279</v>
      </c>
      <c r="D18" s="129">
        <f>Throughput!K75</f>
        <v>12.874490848847701</v>
      </c>
      <c r="E18" s="129">
        <f>Throughput!K27</f>
        <v>13.533847256082391</v>
      </c>
    </row>
    <row r="19" spans="1:5">
      <c r="A19" s="128">
        <f>Throughput!L3</f>
        <v>750</v>
      </c>
      <c r="B19" s="129">
        <f>Throughput!L97</f>
        <v>0.39561871090908746</v>
      </c>
      <c r="C19" s="129">
        <f>Throughput!L95</f>
        <v>0.63957216527724703</v>
      </c>
      <c r="D19" s="129">
        <f>Throughput!L75</f>
        <v>13.085220357986456</v>
      </c>
      <c r="E19" s="129">
        <f>Throughput!L27</f>
        <v>14.001031437396632</v>
      </c>
    </row>
    <row r="20" spans="1:5">
      <c r="A20" s="128">
        <f>Throughput!M3</f>
        <v>800</v>
      </c>
      <c r="B20" s="129">
        <f>Throughput!M97</f>
        <v>0.48471856263362828</v>
      </c>
      <c r="C20" s="129">
        <f>Throughput!M95</f>
        <v>0.79589034522401092</v>
      </c>
      <c r="D20" s="129">
        <f>Throughput!M75</f>
        <v>12.988542700667509</v>
      </c>
      <c r="E20" s="129">
        <f>Throughput!M27</f>
        <v>14.368091376065536</v>
      </c>
    </row>
    <row r="21" spans="1:5">
      <c r="A21" s="128">
        <f>Throughput!N3</f>
        <v>850</v>
      </c>
      <c r="B21" s="129">
        <f>Throughput!N97</f>
        <v>0.49296501512130791</v>
      </c>
      <c r="C21" s="129">
        <f>Throughput!N95</f>
        <v>0.80781687081303455</v>
      </c>
      <c r="D21" s="129">
        <f>Throughput!N75</f>
        <v>12.758900117841788</v>
      </c>
      <c r="E21" s="129">
        <f>Throughput!N27</f>
        <v>14.619494213582385</v>
      </c>
    </row>
    <row r="22" spans="1:5">
      <c r="A22" s="128">
        <f>Throughput!O3</f>
        <v>900</v>
      </c>
      <c r="B22" s="129">
        <f>Throughput!O97</f>
        <v>0.48850131141677472</v>
      </c>
      <c r="C22" s="129">
        <f>Throughput!O95</f>
        <v>0.77922442353776544</v>
      </c>
      <c r="D22" s="129">
        <f>Throughput!O75</f>
        <v>12.842925645158243</v>
      </c>
      <c r="E22" s="129">
        <f>Throughput!O27</f>
        <v>14.726789544940502</v>
      </c>
    </row>
    <row r="23" spans="1:5">
      <c r="A23" s="128">
        <f>Throughput!P3</f>
        <v>980</v>
      </c>
      <c r="B23" s="129">
        <f>Throughput!P97</f>
        <v>0.28937096305184107</v>
      </c>
      <c r="C23" s="129">
        <f>Throughput!P95</f>
        <v>0.44940944169448765</v>
      </c>
      <c r="D23" s="129">
        <f>Throughput!P75</f>
        <v>12.92816207421083</v>
      </c>
      <c r="E23" s="129">
        <f>Throughput!P27</f>
        <v>14.834814812156194</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Cover Page</vt:lpstr>
      <vt:lpstr>Throughput</vt:lpstr>
      <vt:lpstr>Noise</vt:lpstr>
      <vt:lpstr>ESTIMATED overall throughput</vt:lpstr>
      <vt:lpstr>Estimated ELG SNR</vt:lpstr>
      <vt:lpstr>Estimated QSO SNR</vt:lpstr>
      <vt:lpstr>Corrector_Coating</vt:lpstr>
      <vt:lpstr>Spectrograph Throughput</vt:lpstr>
      <vt:lpstr>DESI-347-v16_Inst_throughput_fo</vt:lpstr>
      <vt:lpstr>Patrol Disk</vt:lpstr>
      <vt:lpstr>FRD losses</vt:lpstr>
      <vt:lpstr>Fiber absorption</vt:lpstr>
      <vt:lpstr>Fiber AR Coating Results</vt:lpstr>
      <vt:lpstr>barrel misalignment blur</vt:lpstr>
      <vt:lpstr>barrel misalignment lateral</vt:lpstr>
      <vt:lpstr>vignetting</vt:lpstr>
      <vt:lpstr>geometric_blur</vt:lpstr>
      <vt:lpstr>Jacoby_seeing</vt:lpstr>
      <vt:lpstr>Fiber Tilt</vt:lpstr>
      <vt:lpstr>Lateral offset throughput est</vt:lpstr>
      <vt:lpstr>Blur throughput estimate</vt:lpstr>
      <vt:lpstr>Obscuration</vt:lpstr>
      <vt:lpstr>Throughput!Print_Area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Bebek</dc:creator>
  <cp:lastModifiedBy>Stu Harris</cp:lastModifiedBy>
  <cp:lastPrinted>2015-05-04T22:33:13Z</cp:lastPrinted>
  <dcterms:created xsi:type="dcterms:W3CDTF">2011-07-20T15:16:31Z</dcterms:created>
  <dcterms:modified xsi:type="dcterms:W3CDTF">2021-01-07T19:03:22Z</dcterms:modified>
</cp:coreProperties>
</file>