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Characteristics!$A$1:$O$1799</definedName>
    <definedName name="_xlnm._FilterDatabase" localSheetId="1" hidden="1">Performance!$A$1:$I$1799</definedName>
  </definedNames>
  <calcPr calcId="124519" fullCalcOnLoad="1"/>
</workbook>
</file>

<file path=xl/sharedStrings.xml><?xml version="1.0" encoding="utf-8"?>
<sst xmlns="http://schemas.openxmlformats.org/spreadsheetml/2006/main" count="9153" uniqueCount="1834">
  <si>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</si>
  <si>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</si>
  <si>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</si>
  <si>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</si>
  <si>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</si>
  <si>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</si>
  <si>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</si>
  <si>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</si>
  <si>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</si>
  <si>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</si>
  <si>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</si>
  <si>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</si>
  <si>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</si>
  <si>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</si>
  <si>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AADI</t>
  </si>
  <si>
    <t>AAN</t>
  </si>
  <si>
    <t>AAON</t>
  </si>
  <si>
    <t>AAT</t>
  </si>
  <si>
    <t>ABCB</t>
  </si>
  <si>
    <t>ABCL</t>
  </si>
  <si>
    <t>ABG</t>
  </si>
  <si>
    <t>ABM</t>
  </si>
  <si>
    <t>ABR</t>
  </si>
  <si>
    <t>ABSI</t>
  </si>
  <si>
    <t>ABUS</t>
  </si>
  <si>
    <t>AC</t>
  </si>
  <si>
    <t>ACA</t>
  </si>
  <si>
    <t>ACAD</t>
  </si>
  <si>
    <t>ACCD</t>
  </si>
  <si>
    <t>ACCO</t>
  </si>
  <si>
    <t>ACEL</t>
  </si>
  <si>
    <t>ACET</t>
  </si>
  <si>
    <t>ACHR</t>
  </si>
  <si>
    <t>ACIW</t>
  </si>
  <si>
    <t>ACLS</t>
  </si>
  <si>
    <t>ACLX</t>
  </si>
  <si>
    <t>ACMR</t>
  </si>
  <si>
    <t>ACNB</t>
  </si>
  <si>
    <t>ACRE</t>
  </si>
  <si>
    <t>ACRS</t>
  </si>
  <si>
    <t>ACRV</t>
  </si>
  <si>
    <t>ACT</t>
  </si>
  <si>
    <t>ACVA</t>
  </si>
  <si>
    <t>ADC</t>
  </si>
  <si>
    <t>ADEA</t>
  </si>
  <si>
    <t>ADMA</t>
  </si>
  <si>
    <t>ADNT</t>
  </si>
  <si>
    <t>ADPT</t>
  </si>
  <si>
    <t>ADTH</t>
  </si>
  <si>
    <t>ADTN</t>
  </si>
  <si>
    <t>ADUS</t>
  </si>
  <si>
    <t>ADV</t>
  </si>
  <si>
    <t>AEIS</t>
  </si>
  <si>
    <t>AEL</t>
  </si>
  <si>
    <t>AEO</t>
  </si>
  <si>
    <t>AEVA</t>
  </si>
  <si>
    <t>AFCG</t>
  </si>
  <si>
    <t>AFMD</t>
  </si>
  <si>
    <t>AGEN</t>
  </si>
  <si>
    <t>AGIO</t>
  </si>
  <si>
    <t>AGM</t>
  </si>
  <si>
    <t>AGTI</t>
  </si>
  <si>
    <t>AGX</t>
  </si>
  <si>
    <t>AGYS</t>
  </si>
  <si>
    <t>AHCO</t>
  </si>
  <si>
    <t>AHH</t>
  </si>
  <si>
    <t>AHT</t>
  </si>
  <si>
    <t>AI</t>
  </si>
  <si>
    <t>AIN</t>
  </si>
  <si>
    <t>AIP</t>
  </si>
  <si>
    <t>AIR</t>
  </si>
  <si>
    <t>AIRS</t>
  </si>
  <si>
    <t>AIT</t>
  </si>
  <si>
    <t>AIV</t>
  </si>
  <si>
    <t>AJRD</t>
  </si>
  <si>
    <t>AKA</t>
  </si>
  <si>
    <t>AKR</t>
  </si>
  <si>
    <t>AKRO</t>
  </si>
  <si>
    <t>AKTS</t>
  </si>
  <si>
    <t>AKYA</t>
  </si>
  <si>
    <t>ALCO</t>
  </si>
  <si>
    <t>ALE</t>
  </si>
  <si>
    <t>ALEC</t>
  </si>
  <si>
    <t>ALEX</t>
  </si>
  <si>
    <t>ALG</t>
  </si>
  <si>
    <t>ALGT</t>
  </si>
  <si>
    <t>ALHC</t>
  </si>
  <si>
    <t>ALIT</t>
  </si>
  <si>
    <t>ALKS</t>
  </si>
  <si>
    <t>ALKT</t>
  </si>
  <si>
    <t>ALLO</t>
  </si>
  <si>
    <t>ALPN</t>
  </si>
  <si>
    <t>ALRM</t>
  </si>
  <si>
    <t>ALRS</t>
  </si>
  <si>
    <t>ALTG</t>
  </si>
  <si>
    <t>ALTO</t>
  </si>
  <si>
    <t>ALTR</t>
  </si>
  <si>
    <t>ALVR</t>
  </si>
  <si>
    <t>ALX</t>
  </si>
  <si>
    <t>ALXO</t>
  </si>
  <si>
    <t>AMAL</t>
  </si>
  <si>
    <t>AMBA</t>
  </si>
  <si>
    <t>AMBC</t>
  </si>
  <si>
    <t>AMCX</t>
  </si>
  <si>
    <t>AMEH</t>
  </si>
  <si>
    <t>AMK</t>
  </si>
  <si>
    <t>AMKR</t>
  </si>
  <si>
    <t>AMLX</t>
  </si>
  <si>
    <t>AMN</t>
  </si>
  <si>
    <t>AMNB</t>
  </si>
  <si>
    <t>AMOT</t>
  </si>
  <si>
    <t>AMPH</t>
  </si>
  <si>
    <t>AMPL</t>
  </si>
  <si>
    <t>AMPS</t>
  </si>
  <si>
    <t>AMPY</t>
  </si>
  <si>
    <t>AMR</t>
  </si>
  <si>
    <t>AMRC</t>
  </si>
  <si>
    <t>AMRK</t>
  </si>
  <si>
    <t>AMRS</t>
  </si>
  <si>
    <t>AMRX</t>
  </si>
  <si>
    <t>AMSF</t>
  </si>
  <si>
    <t>AMSWA</t>
  </si>
  <si>
    <t>AMTB</t>
  </si>
  <si>
    <t>AMTX</t>
  </si>
  <si>
    <t>AMWD</t>
  </si>
  <si>
    <t>AMWL</t>
  </si>
  <si>
    <t>ANAB</t>
  </si>
  <si>
    <t>ANDE</t>
  </si>
  <si>
    <t>ANF</t>
  </si>
  <si>
    <t>ANGO</t>
  </si>
  <si>
    <t>ANIK</t>
  </si>
  <si>
    <t>ANIP</t>
  </si>
  <si>
    <t>ANTX</t>
  </si>
  <si>
    <t>AOMR</t>
  </si>
  <si>
    <t>AORT</t>
  </si>
  <si>
    <t>AOSL</t>
  </si>
  <si>
    <t>APAM</t>
  </si>
  <si>
    <t>APEI</t>
  </si>
  <si>
    <t>APG</t>
  </si>
  <si>
    <t>APLD</t>
  </si>
  <si>
    <t>APLE</t>
  </si>
  <si>
    <t>APLS</t>
  </si>
  <si>
    <t>APOG</t>
  </si>
  <si>
    <t>APPF</t>
  </si>
  <si>
    <t>APPH</t>
  </si>
  <si>
    <t>APPN</t>
  </si>
  <si>
    <t>APPS</t>
  </si>
  <si>
    <t>ARCB</t>
  </si>
  <si>
    <t>ARCH</t>
  </si>
  <si>
    <t>ARCT</t>
  </si>
  <si>
    <t>AREN</t>
  </si>
  <si>
    <t>ARGO</t>
  </si>
  <si>
    <t>ARI</t>
  </si>
  <si>
    <t>ARIS</t>
  </si>
  <si>
    <t>ARKO</t>
  </si>
  <si>
    <t>ARL</t>
  </si>
  <si>
    <t>ARLO</t>
  </si>
  <si>
    <t>ARNC</t>
  </si>
  <si>
    <t>AROC</t>
  </si>
  <si>
    <t>AROW</t>
  </si>
  <si>
    <t>ARQT</t>
  </si>
  <si>
    <t>ARR</t>
  </si>
  <si>
    <t>ARRY</t>
  </si>
  <si>
    <t>ARTNA</t>
  </si>
  <si>
    <t>ARVN</t>
  </si>
  <si>
    <t>ARWR</t>
  </si>
  <si>
    <t>ASAN</t>
  </si>
  <si>
    <t>ASB</t>
  </si>
  <si>
    <t>ASC</t>
  </si>
  <si>
    <t>ASGN</t>
  </si>
  <si>
    <t>ASIX</t>
  </si>
  <si>
    <t>ASLE</t>
  </si>
  <si>
    <t>ASO</t>
  </si>
  <si>
    <t>ASPN</t>
  </si>
  <si>
    <t>ASTE</t>
  </si>
  <si>
    <t>ASTR</t>
  </si>
  <si>
    <t>ATEC</t>
  </si>
  <si>
    <t>ATEN</t>
  </si>
  <si>
    <t>ATER</t>
  </si>
  <si>
    <t>ATEX</t>
  </si>
  <si>
    <t>ATGE</t>
  </si>
  <si>
    <t>ATHA</t>
  </si>
  <si>
    <t>ATI</t>
  </si>
  <si>
    <t>ATIP</t>
  </si>
  <si>
    <t>ATKR</t>
  </si>
  <si>
    <t>ATLC</t>
  </si>
  <si>
    <t>ATNI</t>
  </si>
  <si>
    <t>ATOM</t>
  </si>
  <si>
    <t>ATRA</t>
  </si>
  <si>
    <t>ATRC</t>
  </si>
  <si>
    <t>ATRI</t>
  </si>
  <si>
    <t>ATRO</t>
  </si>
  <si>
    <t>ATSG</t>
  </si>
  <si>
    <t>AUB</t>
  </si>
  <si>
    <t>AUPH</t>
  </si>
  <si>
    <t>AURA</t>
  </si>
  <si>
    <t>AVA</t>
  </si>
  <si>
    <t>AVAH</t>
  </si>
  <si>
    <t>AVAV</t>
  </si>
  <si>
    <t>AVD</t>
  </si>
  <si>
    <t>AVDX</t>
  </si>
  <si>
    <t>AVID</t>
  </si>
  <si>
    <t>AVIR</t>
  </si>
  <si>
    <t>AVNS</t>
  </si>
  <si>
    <t>AVNT</t>
  </si>
  <si>
    <t>AVNW</t>
  </si>
  <si>
    <t>AVO</t>
  </si>
  <si>
    <t>AVPT</t>
  </si>
  <si>
    <t>AVTA</t>
  </si>
  <si>
    <t>AVTE</t>
  </si>
  <si>
    <t>AVXL</t>
  </si>
  <si>
    <t>AWR</t>
  </si>
  <si>
    <t>AX</t>
  </si>
  <si>
    <t>BTAI</t>
  </si>
  <si>
    <t>BTU</t>
  </si>
  <si>
    <t>BUSE</t>
  </si>
  <si>
    <t>BV</t>
  </si>
  <si>
    <t>BVH</t>
  </si>
  <si>
    <t>BVS</t>
  </si>
  <si>
    <t>BW</t>
  </si>
  <si>
    <t>BWB</t>
  </si>
  <si>
    <t>BWFG</t>
  </si>
  <si>
    <t>BXC</t>
  </si>
  <si>
    <t>BXMT</t>
  </si>
  <si>
    <t>BY</t>
  </si>
  <si>
    <t>BYND</t>
  </si>
  <si>
    <t>BZH</t>
  </si>
  <si>
    <t>CAC</t>
  </si>
  <si>
    <t>CADE</t>
  </si>
  <si>
    <t>CAKE</t>
  </si>
  <si>
    <t>CAL</t>
  </si>
  <si>
    <t>CALM</t>
  </si>
  <si>
    <t>CALX</t>
  </si>
  <si>
    <t>CANO</t>
  </si>
  <si>
    <t>CARA</t>
  </si>
  <si>
    <t>CARE</t>
  </si>
  <si>
    <t>CARG</t>
  </si>
  <si>
    <t>CARS</t>
  </si>
  <si>
    <t>CASA</t>
  </si>
  <si>
    <t>CASH</t>
  </si>
  <si>
    <t>CASS</t>
  </si>
  <si>
    <t>CATC</t>
  </si>
  <si>
    <t>CATO</t>
  </si>
  <si>
    <t>CATY</t>
  </si>
  <si>
    <t>CBAN</t>
  </si>
  <si>
    <t>CBL</t>
  </si>
  <si>
    <t>CBNK</t>
  </si>
  <si>
    <t>CBRL</t>
  </si>
  <si>
    <t>CBT</t>
  </si>
  <si>
    <t>CBU</t>
  </si>
  <si>
    <t>CBZ</t>
  </si>
  <si>
    <t>CCB</t>
  </si>
  <si>
    <t>CCBG</t>
  </si>
  <si>
    <t>CCCC</t>
  </si>
  <si>
    <t>CCF</t>
  </si>
  <si>
    <t>CCNE</t>
  </si>
  <si>
    <t>CCO</t>
  </si>
  <si>
    <t>CCOI</t>
  </si>
  <si>
    <t>CCRN</t>
  </si>
  <si>
    <t>CCS</t>
  </si>
  <si>
    <t>CCSI</t>
  </si>
  <si>
    <t>CDE</t>
  </si>
  <si>
    <t>CDLX</t>
  </si>
  <si>
    <t>CDMO</t>
  </si>
  <si>
    <t>CDNA</t>
  </si>
  <si>
    <t>CDRE</t>
  </si>
  <si>
    <t>CDXS</t>
  </si>
  <si>
    <t>CEIX</t>
  </si>
  <si>
    <t>CELH</t>
  </si>
  <si>
    <t>CELL</t>
  </si>
  <si>
    <t>CELU</t>
  </si>
  <si>
    <t>CENN</t>
  </si>
  <si>
    <t>CENT</t>
  </si>
  <si>
    <t>CENTA</t>
  </si>
  <si>
    <t>CENX</t>
  </si>
  <si>
    <t>CERE</t>
  </si>
  <si>
    <t>CERS</t>
  </si>
  <si>
    <t>CEVA</t>
  </si>
  <si>
    <t>CFB</t>
  </si>
  <si>
    <t>CFFN</t>
  </si>
  <si>
    <t>CGEM</t>
  </si>
  <si>
    <t>CHCO</t>
  </si>
  <si>
    <t>CHCT</t>
  </si>
  <si>
    <t>CHEF</t>
  </si>
  <si>
    <t>CHGG</t>
  </si>
  <si>
    <t>CHRD</t>
  </si>
  <si>
    <t>CHRS</t>
  </si>
  <si>
    <t>CHS</t>
  </si>
  <si>
    <t>CHUY</t>
  </si>
  <si>
    <t>CHX</t>
  </si>
  <si>
    <t>CIFR</t>
  </si>
  <si>
    <t>CIM</t>
  </si>
  <si>
    <t>CIO</t>
  </si>
  <si>
    <t>CIR</t>
  </si>
  <si>
    <t>CISO</t>
  </si>
  <si>
    <t>CIVB</t>
  </si>
  <si>
    <t>CIVI</t>
  </si>
  <si>
    <t>CIX</t>
  </si>
  <si>
    <t>CLAR</t>
  </si>
  <si>
    <t>CLBK</t>
  </si>
  <si>
    <t>CLDT</t>
  </si>
  <si>
    <t>CLDX</t>
  </si>
  <si>
    <t>CLFD</t>
  </si>
  <si>
    <t>CLNE</t>
  </si>
  <si>
    <t>CLOV</t>
  </si>
  <si>
    <t>CLPR</t>
  </si>
  <si>
    <t>CLSK</t>
  </si>
  <si>
    <t>CLW</t>
  </si>
  <si>
    <t>CMAX</t>
  </si>
  <si>
    <t>CMBM</t>
  </si>
  <si>
    <t>CMC</t>
  </si>
  <si>
    <t>CMCO</t>
  </si>
  <si>
    <t>CMLS</t>
  </si>
  <si>
    <t>CMP</t>
  </si>
  <si>
    <t>CMPO</t>
  </si>
  <si>
    <t>CMPR</t>
  </si>
  <si>
    <t>CMRE</t>
  </si>
  <si>
    <t>CMRX</t>
  </si>
  <si>
    <t>CMTG</t>
  </si>
  <si>
    <t>CMTL</t>
  </si>
  <si>
    <t>CNDT</t>
  </si>
  <si>
    <t>CNK</t>
  </si>
  <si>
    <t>CNMD</t>
  </si>
  <si>
    <t>CNNE</t>
  </si>
  <si>
    <t>CNO</t>
  </si>
  <si>
    <t>CNOB</t>
  </si>
  <si>
    <t>CNS</t>
  </si>
  <si>
    <t>CNSL</t>
  </si>
  <si>
    <t>CNTY</t>
  </si>
  <si>
    <t>CNX</t>
  </si>
  <si>
    <t>CNXN</t>
  </si>
  <si>
    <t>COCO</t>
  </si>
  <si>
    <t>CODI</t>
  </si>
  <si>
    <t>COGT</t>
  </si>
  <si>
    <t>COHU</t>
  </si>
  <si>
    <t>COKE</t>
  </si>
  <si>
    <t>COLL</t>
  </si>
  <si>
    <t>COMM</t>
  </si>
  <si>
    <t>COMP</t>
  </si>
  <si>
    <t>CONN</t>
  </si>
  <si>
    <t>COOK</t>
  </si>
  <si>
    <t>COOP</t>
  </si>
  <si>
    <t>CORT</t>
  </si>
  <si>
    <t>COUR</t>
  </si>
  <si>
    <t>CPE</t>
  </si>
  <si>
    <t>CPF</t>
  </si>
  <si>
    <t>CPK</t>
  </si>
  <si>
    <t>CPRX</t>
  </si>
  <si>
    <t>CPSI</t>
  </si>
  <si>
    <t>CPSS</t>
  </si>
  <si>
    <t>CPTN</t>
  </si>
  <si>
    <t>CRAI</t>
  </si>
  <si>
    <t>CRBU</t>
  </si>
  <si>
    <t>CRC</t>
  </si>
  <si>
    <t>CRDA</t>
  </si>
  <si>
    <t>CRDO</t>
  </si>
  <si>
    <t>CRGE</t>
  </si>
  <si>
    <t>CRGY</t>
  </si>
  <si>
    <t>CRK</t>
  </si>
  <si>
    <t>CRMT</t>
  </si>
  <si>
    <t>CRNC</t>
  </si>
  <si>
    <t>CRNX</t>
  </si>
  <si>
    <t>CROX</t>
  </si>
  <si>
    <t>CRS</t>
  </si>
  <si>
    <t>CRSR</t>
  </si>
  <si>
    <t>CRVL</t>
  </si>
  <si>
    <t>CSGS</t>
  </si>
  <si>
    <t>CSR</t>
  </si>
  <si>
    <t>CSTE</t>
  </si>
  <si>
    <t>CSTL</t>
  </si>
  <si>
    <t>CSTM</t>
  </si>
  <si>
    <t>CSTR</t>
  </si>
  <si>
    <t>CSV</t>
  </si>
  <si>
    <t>CSWI</t>
  </si>
  <si>
    <t>CTBI</t>
  </si>
  <si>
    <t>CTIC</t>
  </si>
  <si>
    <t>CTKB</t>
  </si>
  <si>
    <t>CTLP</t>
  </si>
  <si>
    <t>CTO</t>
  </si>
  <si>
    <t>CTOS</t>
  </si>
  <si>
    <t>CTRE</t>
  </si>
  <si>
    <t>CTRN</t>
  </si>
  <si>
    <t>CTS</t>
  </si>
  <si>
    <t>CTV</t>
  </si>
  <si>
    <t>CUBI</t>
  </si>
  <si>
    <t>CURO</t>
  </si>
  <si>
    <t>CURV</t>
  </si>
  <si>
    <t>CUTR</t>
  </si>
  <si>
    <t>CVBF</t>
  </si>
  <si>
    <t>CVCO</t>
  </si>
  <si>
    <t>CVGW</t>
  </si>
  <si>
    <t>CVI</t>
  </si>
  <si>
    <t>CVLG</t>
  </si>
  <si>
    <t>CVLT</t>
  </si>
  <si>
    <t>CVT</t>
  </si>
  <si>
    <t>CWEN</t>
  </si>
  <si>
    <t>CWENA</t>
  </si>
  <si>
    <t>CWH</t>
  </si>
  <si>
    <t>CWK</t>
  </si>
  <si>
    <t>CWST</t>
  </si>
  <si>
    <t>CWT</t>
  </si>
  <si>
    <t>CXW</t>
  </si>
  <si>
    <t>CYH</t>
  </si>
  <si>
    <t>CYRX</t>
  </si>
  <si>
    <t>CYTK</t>
  </si>
  <si>
    <t>CZNC</t>
  </si>
  <si>
    <t>DAN</t>
  </si>
  <si>
    <t>DAWN</t>
  </si>
  <si>
    <t>DBI</t>
  </si>
  <si>
    <t>DBRG</t>
  </si>
  <si>
    <t>DC</t>
  </si>
  <si>
    <t>DCGO</t>
  </si>
  <si>
    <t>DCO</t>
  </si>
  <si>
    <t>DCOM</t>
  </si>
  <si>
    <t>DCPH</t>
  </si>
  <si>
    <t>DDD</t>
  </si>
  <si>
    <t>DDS</t>
  </si>
  <si>
    <t>DEA</t>
  </si>
  <si>
    <t>DEN</t>
  </si>
  <si>
    <t>DENN</t>
  </si>
  <si>
    <t>DFH</t>
  </si>
  <si>
    <t>DFIN</t>
  </si>
  <si>
    <t>DGICA</t>
  </si>
  <si>
    <t>DGII</t>
  </si>
  <si>
    <t>DHC</t>
  </si>
  <si>
    <t>DHIL</t>
  </si>
  <si>
    <t>DHT</t>
  </si>
  <si>
    <t>DHX</t>
  </si>
  <si>
    <t>DIBS</t>
  </si>
  <si>
    <t>DICE</t>
  </si>
  <si>
    <t>DIN</t>
  </si>
  <si>
    <t>DIOD</t>
  </si>
  <si>
    <t>DJCO</t>
  </si>
  <si>
    <t>DK</t>
  </si>
  <si>
    <t>DLTH</t>
  </si>
  <si>
    <t>DLX</t>
  </si>
  <si>
    <t>DM</t>
  </si>
  <si>
    <t>DMRC</t>
  </si>
  <si>
    <t>DNLI</t>
  </si>
  <si>
    <t>DNMR</t>
  </si>
  <si>
    <t>DNOW</t>
  </si>
  <si>
    <t>DNUT</t>
  </si>
  <si>
    <t>DO</t>
  </si>
  <si>
    <t>DOC</t>
  </si>
  <si>
    <t>DOCN</t>
  </si>
  <si>
    <t>DOMA</t>
  </si>
  <si>
    <t>DOMO</t>
  </si>
  <si>
    <t>DOOR</t>
  </si>
  <si>
    <t>DORM</t>
  </si>
  <si>
    <t>DOUG</t>
  </si>
  <si>
    <t>DRH</t>
  </si>
  <si>
    <t>DRQ</t>
  </si>
  <si>
    <t>DSEY</t>
  </si>
  <si>
    <t>DSGN</t>
  </si>
  <si>
    <t>DSGR</t>
  </si>
  <si>
    <t>DSKE</t>
  </si>
  <si>
    <t>DSP</t>
  </si>
  <si>
    <t>DTC</t>
  </si>
  <si>
    <t>DUOL</t>
  </si>
  <si>
    <t>DVAX</t>
  </si>
  <si>
    <t>DX</t>
  </si>
  <si>
    <t>DXLG</t>
  </si>
  <si>
    <t>DXPE</t>
  </si>
  <si>
    <t>DY</t>
  </si>
  <si>
    <t>DYN</t>
  </si>
  <si>
    <t>DZSI</t>
  </si>
  <si>
    <t>EAF</t>
  </si>
  <si>
    <t>EAT</t>
  </si>
  <si>
    <t>EB</t>
  </si>
  <si>
    <t>EBC</t>
  </si>
  <si>
    <t>EBF</t>
  </si>
  <si>
    <t>EBIX</t>
  </si>
  <si>
    <t>EBS</t>
  </si>
  <si>
    <t>EBTC</t>
  </si>
  <si>
    <t>ECPG</t>
  </si>
  <si>
    <t>ECVT</t>
  </si>
  <si>
    <t>EDIT</t>
  </si>
  <si>
    <t>EE</t>
  </si>
  <si>
    <t>EFC</t>
  </si>
  <si>
    <t>EFSC</t>
  </si>
  <si>
    <t>EGAN</t>
  </si>
  <si>
    <t>EGBN</t>
  </si>
  <si>
    <t>EGHT</t>
  </si>
  <si>
    <t>EGIO</t>
  </si>
  <si>
    <t>EGLE</t>
  </si>
  <si>
    <t>EGRX</t>
  </si>
  <si>
    <t>EGY</t>
  </si>
  <si>
    <t>EHTH</t>
  </si>
  <si>
    <t>EIG</t>
  </si>
  <si>
    <t>EIGR</t>
  </si>
  <si>
    <t>ELF</t>
  </si>
  <si>
    <t>ELME</t>
  </si>
  <si>
    <t>EMBC</t>
  </si>
  <si>
    <t>EME</t>
  </si>
  <si>
    <t>ENFN</t>
  </si>
  <si>
    <t>ENOB</t>
  </si>
  <si>
    <t>ENR</t>
  </si>
  <si>
    <t>ENS</t>
  </si>
  <si>
    <t>ENSG</t>
  </si>
  <si>
    <t>ENTA</t>
  </si>
  <si>
    <t>ENV</t>
  </si>
  <si>
    <t>ENVA</t>
  </si>
  <si>
    <t>ENVX</t>
  </si>
  <si>
    <t>EOLS</t>
  </si>
  <si>
    <t>EP</t>
  </si>
  <si>
    <t>EPAC</t>
  </si>
  <si>
    <t>EPC</t>
  </si>
  <si>
    <t>EPRT</t>
  </si>
  <si>
    <t>EQBK</t>
  </si>
  <si>
    <t>EQC</t>
  </si>
  <si>
    <t>EQRX</t>
  </si>
  <si>
    <t>ERAS</t>
  </si>
  <si>
    <t>ERII</t>
  </si>
  <si>
    <t>ESE</t>
  </si>
  <si>
    <t>ESGR</t>
  </si>
  <si>
    <t>ESMT</t>
  </si>
  <si>
    <t>ESNT</t>
  </si>
  <si>
    <t>ESPR</t>
  </si>
  <si>
    <t>ESQ</t>
  </si>
  <si>
    <t>ESRT</t>
  </si>
  <si>
    <t>ESTE</t>
  </si>
  <si>
    <t>ETD</t>
  </si>
  <si>
    <t>ETRN</t>
  </si>
  <si>
    <t>ETWO</t>
  </si>
  <si>
    <t>EVBG</t>
  </si>
  <si>
    <t>EVC</t>
  </si>
  <si>
    <t>EVCM</t>
  </si>
  <si>
    <t>EVER</t>
  </si>
  <si>
    <t>EVGO</t>
  </si>
  <si>
    <t>EVH</t>
  </si>
  <si>
    <t>EVLV</t>
  </si>
  <si>
    <t>EVRI</t>
  </si>
  <si>
    <t>EVTC</t>
  </si>
  <si>
    <t>EWCZ</t>
  </si>
  <si>
    <t>EWTX</t>
  </si>
  <si>
    <t>EXLS</t>
  </si>
  <si>
    <t>EXPI</t>
  </si>
  <si>
    <t>EXPO</t>
  </si>
  <si>
    <t>EXPR</t>
  </si>
  <si>
    <t>EXTR</t>
  </si>
  <si>
    <t>EYE</t>
  </si>
  <si>
    <t>EYPT</t>
  </si>
  <si>
    <t>EZPW</t>
  </si>
  <si>
    <t>FA</t>
  </si>
  <si>
    <t>FARO</t>
  </si>
  <si>
    <t>FATE</t>
  </si>
  <si>
    <t>FBIZ</t>
  </si>
  <si>
    <t>FBK</t>
  </si>
  <si>
    <t>FBMS</t>
  </si>
  <si>
    <t>FBNC</t>
  </si>
  <si>
    <t>FBP</t>
  </si>
  <si>
    <t>FBRT</t>
  </si>
  <si>
    <t>FC</t>
  </si>
  <si>
    <t>FCBC</t>
  </si>
  <si>
    <t>FCEL</t>
  </si>
  <si>
    <t>FCF</t>
  </si>
  <si>
    <t>FCFS</t>
  </si>
  <si>
    <t>FCPT</t>
  </si>
  <si>
    <t>FCUV</t>
  </si>
  <si>
    <t>FDMT</t>
  </si>
  <si>
    <t>FDP</t>
  </si>
  <si>
    <t>FEAM</t>
  </si>
  <si>
    <t>FELE</t>
  </si>
  <si>
    <t>FF</t>
  </si>
  <si>
    <t>FFBC</t>
  </si>
  <si>
    <t>FFIC</t>
  </si>
  <si>
    <t>FFIE</t>
  </si>
  <si>
    <t>FFIN</t>
  </si>
  <si>
    <t>FFWM</t>
  </si>
  <si>
    <t>FGBI</t>
  </si>
  <si>
    <t>FGEN</t>
  </si>
  <si>
    <t>FHI</t>
  </si>
  <si>
    <t>FHTX</t>
  </si>
  <si>
    <t>FIBK</t>
  </si>
  <si>
    <t>FIGS</t>
  </si>
  <si>
    <t>FISI</t>
  </si>
  <si>
    <t>FIX</t>
  </si>
  <si>
    <t>FIZZ</t>
  </si>
  <si>
    <t>FL</t>
  </si>
  <si>
    <t>FLGT</t>
  </si>
  <si>
    <t>FLIC</t>
  </si>
  <si>
    <t>FLL</t>
  </si>
  <si>
    <t>FLNC</t>
  </si>
  <si>
    <t>FLNG</t>
  </si>
  <si>
    <t>FLR</t>
  </si>
  <si>
    <t>FLWS</t>
  </si>
  <si>
    <t>FLYW</t>
  </si>
  <si>
    <t>FMAO</t>
  </si>
  <si>
    <t>FMBH</t>
  </si>
  <si>
    <t>FMNB</t>
  </si>
  <si>
    <t>FN</t>
  </si>
  <si>
    <t>FNA</t>
  </si>
  <si>
    <t>FNKO</t>
  </si>
  <si>
    <t>FNLC</t>
  </si>
  <si>
    <t>FOA</t>
  </si>
  <si>
    <t>FOCS</t>
  </si>
  <si>
    <t>FOLD</t>
  </si>
  <si>
    <t>FOR</t>
  </si>
  <si>
    <t>FORG</t>
  </si>
  <si>
    <t>FORM</t>
  </si>
  <si>
    <t>FORR</t>
  </si>
  <si>
    <t>FOSL</t>
  </si>
  <si>
    <t>FOXF</t>
  </si>
  <si>
    <t>FPI</t>
  </si>
  <si>
    <t>FRBA</t>
  </si>
  <si>
    <t>FRBK</t>
  </si>
  <si>
    <t>FREE</t>
  </si>
  <si>
    <t>FRG</t>
  </si>
  <si>
    <t>FRME</t>
  </si>
  <si>
    <t>FRO</t>
  </si>
  <si>
    <t>FRPH</t>
  </si>
  <si>
    <t>FRST</t>
  </si>
  <si>
    <t>FSBC</t>
  </si>
  <si>
    <t>FSLY</t>
  </si>
  <si>
    <t>FSP</t>
  </si>
  <si>
    <t>FSR</t>
  </si>
  <si>
    <t>FSS</t>
  </si>
  <si>
    <t>FTCI</t>
  </si>
  <si>
    <t>FTDR</t>
  </si>
  <si>
    <t>FUBO</t>
  </si>
  <si>
    <t>FUL</t>
  </si>
  <si>
    <t>FULC</t>
  </si>
  <si>
    <t>FULT</t>
  </si>
  <si>
    <t>FVCB</t>
  </si>
  <si>
    <t>FWRD</t>
  </si>
  <si>
    <t>FWRG</t>
  </si>
  <si>
    <t>FXLV</t>
  </si>
  <si>
    <t>GABC</t>
  </si>
  <si>
    <t>GAMB</t>
  </si>
  <si>
    <t>GATX</t>
  </si>
  <si>
    <t>GBCI</t>
  </si>
  <si>
    <t>GBIO</t>
  </si>
  <si>
    <t>GBX</t>
  </si>
  <si>
    <t>GCBC</t>
  </si>
  <si>
    <t>GCI</t>
  </si>
  <si>
    <t>GCMG</t>
  </si>
  <si>
    <t>GCO</t>
  </si>
  <si>
    <t>GDEN</t>
  </si>
  <si>
    <t>GDOT</t>
  </si>
  <si>
    <t>GDYN</t>
  </si>
  <si>
    <t>GEF</t>
  </si>
  <si>
    <t>GEFB</t>
  </si>
  <si>
    <t>GEO</t>
  </si>
  <si>
    <t>GERN</t>
  </si>
  <si>
    <t>GES</t>
  </si>
  <si>
    <t>GEVO</t>
  </si>
  <si>
    <t>GFF</t>
  </si>
  <si>
    <t>GHC</t>
  </si>
  <si>
    <t>GIC</t>
  </si>
  <si>
    <t>GIII</t>
  </si>
  <si>
    <t>GKOS</t>
  </si>
  <si>
    <t>GLDD</t>
  </si>
  <si>
    <t>GLNG</t>
  </si>
  <si>
    <t>GLRE</t>
  </si>
  <si>
    <t>GLT</t>
  </si>
  <si>
    <t>GLUE</t>
  </si>
  <si>
    <t>GMRE</t>
  </si>
  <si>
    <t>GMS</t>
  </si>
  <si>
    <t>GNK</t>
  </si>
  <si>
    <t>GNL</t>
  </si>
  <si>
    <t>GNTY</t>
  </si>
  <si>
    <t>GNW</t>
  </si>
  <si>
    <t>GOEV</t>
  </si>
  <si>
    <t>GOGL</t>
  </si>
  <si>
    <t>GOGO</t>
  </si>
  <si>
    <t>GOLF</t>
  </si>
  <si>
    <t>GOOD</t>
  </si>
  <si>
    <t>GOSS</t>
  </si>
  <si>
    <t>GPI</t>
  </si>
  <si>
    <t>GPMT</t>
  </si>
  <si>
    <t>GPOR</t>
  </si>
  <si>
    <t>GPRE</t>
  </si>
  <si>
    <t>GPRO</t>
  </si>
  <si>
    <t>GRBK</t>
  </si>
  <si>
    <t>GRC</t>
  </si>
  <si>
    <t>GREE</t>
  </si>
  <si>
    <t>GRNA</t>
  </si>
  <si>
    <t>GRPN</t>
  </si>
  <si>
    <t>GRWG</t>
  </si>
  <si>
    <t>GSAT</t>
  </si>
  <si>
    <t>GSBC</t>
  </si>
  <si>
    <t>GSHD</t>
  </si>
  <si>
    <t>GT</t>
  </si>
  <si>
    <t>GTLS</t>
  </si>
  <si>
    <t>GTN</t>
  </si>
  <si>
    <t>GTY</t>
  </si>
  <si>
    <t>GVA</t>
  </si>
  <si>
    <t>GWH</t>
  </si>
  <si>
    <t>GWRS</t>
  </si>
  <si>
    <t>HA</t>
  </si>
  <si>
    <t>HAE</t>
  </si>
  <si>
    <t>HAFC</t>
  </si>
  <si>
    <t>HAIN</t>
  </si>
  <si>
    <t>HALO</t>
  </si>
  <si>
    <t>HASI</t>
  </si>
  <si>
    <t>HAYN</t>
  </si>
  <si>
    <t>HBCP</t>
  </si>
  <si>
    <t>HBNC</t>
  </si>
  <si>
    <t>HBT</t>
  </si>
  <si>
    <t>HCAT</t>
  </si>
  <si>
    <t>HCC</t>
  </si>
  <si>
    <t>HCCI</t>
  </si>
  <si>
    <t>HCI</t>
  </si>
  <si>
    <t>HCKT</t>
  </si>
  <si>
    <t>HCSG</t>
  </si>
  <si>
    <t>HDSN</t>
  </si>
  <si>
    <t>HEAR</t>
  </si>
  <si>
    <t>HEES</t>
  </si>
  <si>
    <t>HELE</t>
  </si>
  <si>
    <t>HFFG</t>
  </si>
  <si>
    <t>HFWA</t>
  </si>
  <si>
    <t>HGV</t>
  </si>
  <si>
    <t>HI</t>
  </si>
  <si>
    <t>HIBB</t>
  </si>
  <si>
    <t>HIFS</t>
  </si>
  <si>
    <t>HIMS</t>
  </si>
  <si>
    <t>HIPO</t>
  </si>
  <si>
    <t>HL</t>
  </si>
  <si>
    <t>HLF</t>
  </si>
  <si>
    <t>HLGN</t>
  </si>
  <si>
    <t>HLI</t>
  </si>
  <si>
    <t>HLIO</t>
  </si>
  <si>
    <t>HLIT</t>
  </si>
  <si>
    <t>HLLY</t>
  </si>
  <si>
    <t>HLMN</t>
  </si>
  <si>
    <t>HLNE</t>
  </si>
  <si>
    <t>HLTH</t>
  </si>
  <si>
    <t>HLVX</t>
  </si>
  <si>
    <t>HLX</t>
  </si>
  <si>
    <t>HMN</t>
  </si>
  <si>
    <t>HMPT</t>
  </si>
  <si>
    <t>HMST</t>
  </si>
  <si>
    <t>HNI</t>
  </si>
  <si>
    <t>HNST</t>
  </si>
  <si>
    <t>HOMB</t>
  </si>
  <si>
    <t>HONE</t>
  </si>
  <si>
    <t>HOPE</t>
  </si>
  <si>
    <t>HOUS</t>
  </si>
  <si>
    <t>HOV</t>
  </si>
  <si>
    <t>HP</t>
  </si>
  <si>
    <t>HPK</t>
  </si>
  <si>
    <t>HQY</t>
  </si>
  <si>
    <t>HRI</t>
  </si>
  <si>
    <t>HRMY</t>
  </si>
  <si>
    <t>HRT</t>
  </si>
  <si>
    <t>HRTX</t>
  </si>
  <si>
    <t>HSC</t>
  </si>
  <si>
    <t>HSII</t>
  </si>
  <si>
    <t>HSTM</t>
  </si>
  <si>
    <t>HT</t>
  </si>
  <si>
    <t>HTBI</t>
  </si>
  <si>
    <t>HTBK</t>
  </si>
  <si>
    <t>HTH</t>
  </si>
  <si>
    <t>HTLD</t>
  </si>
  <si>
    <t>HTLF</t>
  </si>
  <si>
    <t>HUBG</t>
  </si>
  <si>
    <t>HUMA</t>
  </si>
  <si>
    <t>HURN</t>
  </si>
  <si>
    <t>HVT</t>
  </si>
  <si>
    <t>HWC</t>
  </si>
  <si>
    <t>HWKN</t>
  </si>
  <si>
    <t>HY</t>
  </si>
  <si>
    <t>HYFM</t>
  </si>
  <si>
    <t>HYLN</t>
  </si>
  <si>
    <t>HYMC</t>
  </si>
  <si>
    <t>HYZN</t>
  </si>
  <si>
    <t>HZO</t>
  </si>
  <si>
    <t>IAS</t>
  </si>
  <si>
    <t>IBCP</t>
  </si>
  <si>
    <t>IBEX</t>
  </si>
  <si>
    <t>IBOC</t>
  </si>
  <si>
    <t>IBP</t>
  </si>
  <si>
    <t>IBRX</t>
  </si>
  <si>
    <t>IBTX</t>
  </si>
  <si>
    <t>ICFI</t>
  </si>
  <si>
    <t>ICHR</t>
  </si>
  <si>
    <t>ICPT</t>
  </si>
  <si>
    <t>ICVX</t>
  </si>
  <si>
    <t>IDCC</t>
  </si>
  <si>
    <t>IDT</t>
  </si>
  <si>
    <t>IDYA</t>
  </si>
  <si>
    <t>IE</t>
  </si>
  <si>
    <t>IESC</t>
  </si>
  <si>
    <t>IGMS</t>
  </si>
  <si>
    <t>IGT</t>
  </si>
  <si>
    <t>IHRT</t>
  </si>
  <si>
    <t>III</t>
  </si>
  <si>
    <t>IIIN</t>
  </si>
  <si>
    <t>IIIV</t>
  </si>
  <si>
    <t>IIPR</t>
  </si>
  <si>
    <t>ILPT</t>
  </si>
  <si>
    <t>IMAX</t>
  </si>
  <si>
    <t>IMGN</t>
  </si>
  <si>
    <t>IMKTA</t>
  </si>
  <si>
    <t>IMVT</t>
  </si>
  <si>
    <t>IMXI</t>
  </si>
  <si>
    <t>INBK</t>
  </si>
  <si>
    <t>INBX</t>
  </si>
  <si>
    <t>INDB</t>
  </si>
  <si>
    <t>INDI</t>
  </si>
  <si>
    <t>INDT</t>
  </si>
  <si>
    <t>INFN</t>
  </si>
  <si>
    <t>INGN</t>
  </si>
  <si>
    <t>INN</t>
  </si>
  <si>
    <t>INNV</t>
  </si>
  <si>
    <t>INO</t>
  </si>
  <si>
    <t>INSE</t>
  </si>
  <si>
    <t>INSG</t>
  </si>
  <si>
    <t>INSM</t>
  </si>
  <si>
    <t>INSP</t>
  </si>
  <si>
    <t>INST</t>
  </si>
  <si>
    <t>INSW</t>
  </si>
  <si>
    <t>INT</t>
  </si>
  <si>
    <t>INTA</t>
  </si>
  <si>
    <t>INVA</t>
  </si>
  <si>
    <t>INVE</t>
  </si>
  <si>
    <t>IONQ</t>
  </si>
  <si>
    <t>IOSP</t>
  </si>
  <si>
    <t>IOVA</t>
  </si>
  <si>
    <t>IPAR</t>
  </si>
  <si>
    <t>IPI</t>
  </si>
  <si>
    <t>IPSC</t>
  </si>
  <si>
    <t>IRBT</t>
  </si>
  <si>
    <t>IRDM</t>
  </si>
  <si>
    <t>IRMD</t>
  </si>
  <si>
    <t>IRNT</t>
  </si>
  <si>
    <t>IRT</t>
  </si>
  <si>
    <t>IRTC</t>
  </si>
  <si>
    <t>IRWD</t>
  </si>
  <si>
    <t>ISEE</t>
  </si>
  <si>
    <t>ISPO</t>
  </si>
  <si>
    <t>ITCI</t>
  </si>
  <si>
    <t>ITGR</t>
  </si>
  <si>
    <t>ITIC</t>
  </si>
  <si>
    <t>ITOS</t>
  </si>
  <si>
    <t>ITRI</t>
  </si>
  <si>
    <t>IVR</t>
  </si>
  <si>
    <t>IVT</t>
  </si>
  <si>
    <t>IVVD</t>
  </si>
  <si>
    <t>JACK</t>
  </si>
  <si>
    <t>JANX</t>
  </si>
  <si>
    <t>JBI</t>
  </si>
  <si>
    <t>JBSS</t>
  </si>
  <si>
    <t>JBT</t>
  </si>
  <si>
    <t>JELD</t>
  </si>
  <si>
    <t>JJSF</t>
  </si>
  <si>
    <t>JMSB</t>
  </si>
  <si>
    <t>JOAN</t>
  </si>
  <si>
    <t>JOBY</t>
  </si>
  <si>
    <t>JOE</t>
  </si>
  <si>
    <t>JOUT</t>
  </si>
  <si>
    <t>JRVR</t>
  </si>
  <si>
    <t>JXN</t>
  </si>
  <si>
    <t>JYNT</t>
  </si>
  <si>
    <t>KAI</t>
  </si>
  <si>
    <t>KALU</t>
  </si>
  <si>
    <t>KALV</t>
  </si>
  <si>
    <t>KAMN</t>
  </si>
  <si>
    <t>KAR</t>
  </si>
  <si>
    <t>KBH</t>
  </si>
  <si>
    <t>KDNY</t>
  </si>
  <si>
    <t>KE</t>
  </si>
  <si>
    <t>KELYA</t>
  </si>
  <si>
    <t>KFRC</t>
  </si>
  <si>
    <t>KFY</t>
  </si>
  <si>
    <t>KIDS</t>
  </si>
  <si>
    <t>KLIC</t>
  </si>
  <si>
    <t>KLR</t>
  </si>
  <si>
    <t>KMT</t>
  </si>
  <si>
    <t>KN</t>
  </si>
  <si>
    <t>KNSA</t>
  </si>
  <si>
    <t>KNSL</t>
  </si>
  <si>
    <t>KNTE</t>
  </si>
  <si>
    <t>KNTK</t>
  </si>
  <si>
    <t>KOD</t>
  </si>
  <si>
    <t>KODK</t>
  </si>
  <si>
    <t>KOP</t>
  </si>
  <si>
    <t>KORE</t>
  </si>
  <si>
    <t>KOS</t>
  </si>
  <si>
    <t>KPTI</t>
  </si>
  <si>
    <t>KREF</t>
  </si>
  <si>
    <t>KRG</t>
  </si>
  <si>
    <t>KRNY</t>
  </si>
  <si>
    <t>KRO</t>
  </si>
  <si>
    <t>KRON</t>
  </si>
  <si>
    <t>KROS</t>
  </si>
  <si>
    <t>KRT</t>
  </si>
  <si>
    <t>KRTX</t>
  </si>
  <si>
    <t>KRUS</t>
  </si>
  <si>
    <t>KRYS</t>
  </si>
  <si>
    <t>KTB</t>
  </si>
  <si>
    <t>KTOS</t>
  </si>
  <si>
    <t>KURA</t>
  </si>
  <si>
    <t>KW</t>
  </si>
  <si>
    <t>KWR</t>
  </si>
  <si>
    <t>KYMR</t>
  </si>
  <si>
    <t>KZR</t>
  </si>
  <si>
    <t>LADR</t>
  </si>
  <si>
    <t>LANC</t>
  </si>
  <si>
    <t>LAND</t>
  </si>
  <si>
    <t>LASR</t>
  </si>
  <si>
    <t>LAUR</t>
  </si>
  <si>
    <t>LAW</t>
  </si>
  <si>
    <t>LAZR</t>
  </si>
  <si>
    <t>LBAI</t>
  </si>
  <si>
    <t>LBC</t>
  </si>
  <si>
    <t>LBRT</t>
  </si>
  <si>
    <t>LC</t>
  </si>
  <si>
    <t>LCII</t>
  </si>
  <si>
    <t>LCUT</t>
  </si>
  <si>
    <t>LE</t>
  </si>
  <si>
    <t>LEGH</t>
  </si>
  <si>
    <t>LEU</t>
  </si>
  <si>
    <t>LFCR</t>
  </si>
  <si>
    <t>LFST</t>
  </si>
  <si>
    <t>LGFA</t>
  </si>
  <si>
    <t>LGFB</t>
  </si>
  <si>
    <t>LGIH</t>
  </si>
  <si>
    <t>LGND</t>
  </si>
  <si>
    <t>LICY</t>
  </si>
  <si>
    <t>LIDR</t>
  </si>
  <si>
    <t>LILA</t>
  </si>
  <si>
    <t>LILAK</t>
  </si>
  <si>
    <t>LIND</t>
  </si>
  <si>
    <t>LIVN</t>
  </si>
  <si>
    <t>LKFN</t>
  </si>
  <si>
    <t>LL</t>
  </si>
  <si>
    <t>LLAP</t>
  </si>
  <si>
    <t>LMAT</t>
  </si>
  <si>
    <t>LMND</t>
  </si>
  <si>
    <t>LNN</t>
  </si>
  <si>
    <t>LNTH</t>
  </si>
  <si>
    <t>LNW</t>
  </si>
  <si>
    <t>LOB</t>
  </si>
  <si>
    <t>LOCL</t>
  </si>
  <si>
    <t>LOCO</t>
  </si>
  <si>
    <t>LOVE</t>
  </si>
  <si>
    <t>LPG</t>
  </si>
  <si>
    <t>LPRO</t>
  </si>
  <si>
    <t>LPSN</t>
  </si>
  <si>
    <t>LQDA</t>
  </si>
  <si>
    <t>LQDT</t>
  </si>
  <si>
    <t>LRN</t>
  </si>
  <si>
    <t>LSEA</t>
  </si>
  <si>
    <t>LTC</t>
  </si>
  <si>
    <t>LTCH</t>
  </si>
  <si>
    <t>LTH</t>
  </si>
  <si>
    <t>LTHM</t>
  </si>
  <si>
    <t>LUNG</t>
  </si>
  <si>
    <t>LVLU</t>
  </si>
  <si>
    <t>LVOX</t>
  </si>
  <si>
    <t>LWLG</t>
  </si>
  <si>
    <t>LXFR</t>
  </si>
  <si>
    <t>LXP</t>
  </si>
  <si>
    <t>LXRX</t>
  </si>
  <si>
    <t>LXU</t>
  </si>
  <si>
    <t>LYEL</t>
  </si>
  <si>
    <t>LZ</t>
  </si>
  <si>
    <t>LZB</t>
  </si>
  <si>
    <t>MAC</t>
  </si>
  <si>
    <t>MAPS</t>
  </si>
  <si>
    <t>MARA</t>
  </si>
  <si>
    <t>MASS</t>
  </si>
  <si>
    <t>MATV</t>
  </si>
  <si>
    <t>MATW</t>
  </si>
  <si>
    <t>MATX</t>
  </si>
  <si>
    <t>MAX</t>
  </si>
  <si>
    <t>MBI</t>
  </si>
  <si>
    <t>MBIN</t>
  </si>
  <si>
    <t>MBUU</t>
  </si>
  <si>
    <t>MBWM</t>
  </si>
  <si>
    <t>MC</t>
  </si>
  <si>
    <t>MCB</t>
  </si>
  <si>
    <t>MCBC</t>
  </si>
  <si>
    <t>MCBS</t>
  </si>
  <si>
    <t>MCFT</t>
  </si>
  <si>
    <t>MCRB</t>
  </si>
  <si>
    <t>MCRI</t>
  </si>
  <si>
    <t>MCS</t>
  </si>
  <si>
    <t>MCY</t>
  </si>
  <si>
    <t>MD</t>
  </si>
  <si>
    <t>MDC</t>
  </si>
  <si>
    <t>MDGL</t>
  </si>
  <si>
    <t>MDRX</t>
  </si>
  <si>
    <t>MDXG</t>
  </si>
  <si>
    <t>ME</t>
  </si>
  <si>
    <t>MED</t>
  </si>
  <si>
    <t>MEDP</t>
  </si>
  <si>
    <t>MEG</t>
  </si>
  <si>
    <t>MEI</t>
  </si>
  <si>
    <t>METC</t>
  </si>
  <si>
    <t>MFA</t>
  </si>
  <si>
    <t>MGEE</t>
  </si>
  <si>
    <t>MGNI</t>
  </si>
  <si>
    <t>MGNX</t>
  </si>
  <si>
    <t>MGPI</t>
  </si>
  <si>
    <t>MGRC</t>
  </si>
  <si>
    <t>MGTX</t>
  </si>
  <si>
    <t>MGY</t>
  </si>
  <si>
    <t>MHO</t>
  </si>
  <si>
    <t>MIR</t>
  </si>
  <si>
    <t>MIRM</t>
  </si>
  <si>
    <t>MITK</t>
  </si>
  <si>
    <t>MKFG</t>
  </si>
  <si>
    <t>MKTW</t>
  </si>
  <si>
    <t>ML</t>
  </si>
  <si>
    <t>MLAB</t>
  </si>
  <si>
    <t>MLI</t>
  </si>
  <si>
    <t>MLKN</t>
  </si>
  <si>
    <t>MLNK</t>
  </si>
  <si>
    <t>MLR</t>
  </si>
  <si>
    <t>MLYS</t>
  </si>
  <si>
    <t>MMI</t>
  </si>
  <si>
    <t>MMS</t>
  </si>
  <si>
    <t>MMSI</t>
  </si>
  <si>
    <t>MNKD</t>
  </si>
  <si>
    <t>MNRO</t>
  </si>
  <si>
    <t>MNTK</t>
  </si>
  <si>
    <t>MNTS</t>
  </si>
  <si>
    <t>MOD</t>
  </si>
  <si>
    <t>MODG</t>
  </si>
  <si>
    <t>MODN</t>
  </si>
  <si>
    <t>MODV</t>
  </si>
  <si>
    <t>MOFG</t>
  </si>
  <si>
    <t>MOGA</t>
  </si>
  <si>
    <t>MORF</t>
  </si>
  <si>
    <t>MOV</t>
  </si>
  <si>
    <t>MPAA</t>
  </si>
  <si>
    <t>MPB</t>
  </si>
  <si>
    <t>MPLN</t>
  </si>
  <si>
    <t>MPX</t>
  </si>
  <si>
    <t>MQ</t>
  </si>
  <si>
    <t>MRC</t>
  </si>
  <si>
    <t>MRSN</t>
  </si>
  <si>
    <t>MRTN</t>
  </si>
  <si>
    <t>MSBI</t>
  </si>
  <si>
    <t>MSEX</t>
  </si>
  <si>
    <t>MSGE</t>
  </si>
  <si>
    <t>MSTR</t>
  </si>
  <si>
    <t>MTDR</t>
  </si>
  <si>
    <t>MTH</t>
  </si>
  <si>
    <t>MTRN</t>
  </si>
  <si>
    <t>MTSI</t>
  </si>
  <si>
    <t>MTTR</t>
  </si>
  <si>
    <t>MTW</t>
  </si>
  <si>
    <t>MTX</t>
  </si>
  <si>
    <t>MULN</t>
  </si>
  <si>
    <t>MUR</t>
  </si>
  <si>
    <t>MUSA</t>
  </si>
  <si>
    <t>MVBF</t>
  </si>
  <si>
    <t>MVIS</t>
  </si>
  <si>
    <t>MVST</t>
  </si>
  <si>
    <t>MWA</t>
  </si>
  <si>
    <t>MXCT</t>
  </si>
  <si>
    <t>MXL</t>
  </si>
  <si>
    <t>MYE</t>
  </si>
  <si>
    <t>MYFW</t>
  </si>
  <si>
    <t>MYGN</t>
  </si>
  <si>
    <t>MYPS</t>
  </si>
  <si>
    <t>MYRG</t>
  </si>
  <si>
    <t>NABL</t>
  </si>
  <si>
    <t>NAPA</t>
  </si>
  <si>
    <t>NARI</t>
  </si>
  <si>
    <t>NAT</t>
  </si>
  <si>
    <t>NATR</t>
  </si>
  <si>
    <t>NAUT</t>
  </si>
  <si>
    <t>NAVI</t>
  </si>
  <si>
    <t>NBHC</t>
  </si>
  <si>
    <t>NBN</t>
  </si>
  <si>
    <t>NBR</t>
  </si>
  <si>
    <t>NBTB</t>
  </si>
  <si>
    <t>NC</t>
  </si>
  <si>
    <t>NDLS</t>
  </si>
  <si>
    <t>NE</t>
  </si>
  <si>
    <t>NEO</t>
  </si>
  <si>
    <t>NEOG</t>
  </si>
  <si>
    <t>NETI</t>
  </si>
  <si>
    <t>NEX</t>
  </si>
  <si>
    <t>NEXT</t>
  </si>
  <si>
    <t>NFBK</t>
  </si>
  <si>
    <t>NG</t>
  </si>
  <si>
    <t>NGM</t>
  </si>
  <si>
    <t>NGMS</t>
  </si>
  <si>
    <t>NGVC</t>
  </si>
  <si>
    <t>NGVT</t>
  </si>
  <si>
    <t>NHC</t>
  </si>
  <si>
    <t>NHI</t>
  </si>
  <si>
    <t>NIC</t>
  </si>
  <si>
    <t>NJR</t>
  </si>
  <si>
    <t>NKLA</t>
  </si>
  <si>
    <t>NKTR</t>
  </si>
  <si>
    <t>NKTX</t>
  </si>
  <si>
    <t>NL</t>
  </si>
  <si>
    <t>NMIH</t>
  </si>
  <si>
    <t>NMRK</t>
  </si>
  <si>
    <t>NN</t>
  </si>
  <si>
    <t>NNI</t>
  </si>
  <si>
    <t>NNOX</t>
  </si>
  <si>
    <t>NODK</t>
  </si>
  <si>
    <t>NOG</t>
  </si>
  <si>
    <t>NOTV</t>
  </si>
  <si>
    <t>NOVA</t>
  </si>
  <si>
    <t>NOVT</t>
  </si>
  <si>
    <t>NPK</t>
  </si>
  <si>
    <t>NPO</t>
  </si>
  <si>
    <t>NR</t>
  </si>
  <si>
    <t>NRC</t>
  </si>
  <si>
    <t>NRDS</t>
  </si>
  <si>
    <t>NRDY</t>
  </si>
  <si>
    <t>NREF</t>
  </si>
  <si>
    <t>NRGV</t>
  </si>
  <si>
    <t>NRIX</t>
  </si>
  <si>
    <t>NSIT</t>
  </si>
  <si>
    <t>NSP</t>
  </si>
  <si>
    <t>NSSC</t>
  </si>
  <si>
    <t>NSTG</t>
  </si>
  <si>
    <t>NTB</t>
  </si>
  <si>
    <t>NTCT</t>
  </si>
  <si>
    <t>NTGR</t>
  </si>
  <si>
    <t>NTLA</t>
  </si>
  <si>
    <t>NTST</t>
  </si>
  <si>
    <t>NUS</t>
  </si>
  <si>
    <t>NUTX</t>
  </si>
  <si>
    <t>NUVA</t>
  </si>
  <si>
    <t>NUVB</t>
  </si>
  <si>
    <t>NUVL</t>
  </si>
  <si>
    <t>NVEE</t>
  </si>
  <si>
    <t>NVRO</t>
  </si>
  <si>
    <t>NVTA</t>
  </si>
  <si>
    <t>NWBI</t>
  </si>
  <si>
    <t>NWE</t>
  </si>
  <si>
    <t>NWLI</t>
  </si>
  <si>
    <t>NWN</t>
  </si>
  <si>
    <t>NWPX</t>
  </si>
  <si>
    <t>NX</t>
  </si>
  <si>
    <t>NXGN</t>
  </si>
  <si>
    <t>NXRT</t>
  </si>
  <si>
    <t>NXT</t>
  </si>
  <si>
    <t>NYMT</t>
  </si>
  <si>
    <t>OABI</t>
  </si>
  <si>
    <t>OB</t>
  </si>
  <si>
    <t>OBK</t>
  </si>
  <si>
    <t>OCFC</t>
  </si>
  <si>
    <t>OCGN</t>
  </si>
  <si>
    <t>OCTO</t>
  </si>
  <si>
    <t>OCUL</t>
  </si>
  <si>
    <t>ODP</t>
  </si>
  <si>
    <t>OEC</t>
  </si>
  <si>
    <t>OFC</t>
  </si>
  <si>
    <t>OFG</t>
  </si>
  <si>
    <t>OFIX</t>
  </si>
  <si>
    <t>OFLX</t>
  </si>
  <si>
    <t>OGS</t>
  </si>
  <si>
    <t>OI</t>
  </si>
  <si>
    <t>OII</t>
  </si>
  <si>
    <t>OIS</t>
  </si>
  <si>
    <t>OLO</t>
  </si>
  <si>
    <t>OLP</t>
  </si>
  <si>
    <t>OM</t>
  </si>
  <si>
    <t>OMCL</t>
  </si>
  <si>
    <t>OMI</t>
  </si>
  <si>
    <t>OMIC</t>
  </si>
  <si>
    <t>ONB</t>
  </si>
  <si>
    <t>ONDS</t>
  </si>
  <si>
    <t>ONEW</t>
  </si>
  <si>
    <t>ONL</t>
  </si>
  <si>
    <t>ONTF</t>
  </si>
  <si>
    <t>ONTO</t>
  </si>
  <si>
    <t>OOMA</t>
  </si>
  <si>
    <t>OPAD</t>
  </si>
  <si>
    <t>OPCH</t>
  </si>
  <si>
    <t>OPFI</t>
  </si>
  <si>
    <t>OPI</t>
  </si>
  <si>
    <t>OPK</t>
  </si>
  <si>
    <t>OPRT</t>
  </si>
  <si>
    <t>OPRX</t>
  </si>
  <si>
    <t>OPY</t>
  </si>
  <si>
    <t>ORA</t>
  </si>
  <si>
    <t>ORC</t>
  </si>
  <si>
    <t>ORGN</t>
  </si>
  <si>
    <t>ORGO</t>
  </si>
  <si>
    <t>ORRF</t>
  </si>
  <si>
    <t>OSBC</t>
  </si>
  <si>
    <t>OSCR</t>
  </si>
  <si>
    <t>OSIS</t>
  </si>
  <si>
    <t>OSPN</t>
  </si>
  <si>
    <t>OSTK</t>
  </si>
  <si>
    <t>OSUR</t>
  </si>
  <si>
    <t>OSW</t>
  </si>
  <si>
    <t>OTLK</t>
  </si>
  <si>
    <t>OTTR</t>
  </si>
  <si>
    <t>OUST</t>
  </si>
  <si>
    <t>OUT</t>
  </si>
  <si>
    <t>OXM</t>
  </si>
  <si>
    <t>PACB</t>
  </si>
  <si>
    <t>PACK</t>
  </si>
  <si>
    <t>PAHC</t>
  </si>
  <si>
    <t>PAR</t>
  </si>
  <si>
    <t>PARR</t>
  </si>
  <si>
    <t>PATK</t>
  </si>
  <si>
    <t>PAYO</t>
  </si>
  <si>
    <t>PBF</t>
  </si>
  <si>
    <t>PBFS</t>
  </si>
  <si>
    <t>PBH</t>
  </si>
  <si>
    <t>PBI</t>
  </si>
  <si>
    <t>PCB</t>
  </si>
  <si>
    <t>PCH</t>
  </si>
  <si>
    <t>PCRX</t>
  </si>
  <si>
    <t>PCT</t>
  </si>
  <si>
    <t>PCVX</t>
  </si>
  <si>
    <t>PCYO</t>
  </si>
  <si>
    <t>PD</t>
  </si>
  <si>
    <t>PDCO</t>
  </si>
  <si>
    <t>PDFS</t>
  </si>
  <si>
    <t>PDLI</t>
  </si>
  <si>
    <t>PDM</t>
  </si>
  <si>
    <t>PEB</t>
  </si>
  <si>
    <t>PEBO</t>
  </si>
  <si>
    <t>PECO</t>
  </si>
  <si>
    <t>PEPG</t>
  </si>
  <si>
    <t>PETQ</t>
  </si>
  <si>
    <t>PETS</t>
  </si>
  <si>
    <t>PFBC</t>
  </si>
  <si>
    <t>PFC</t>
  </si>
  <si>
    <t>PFHC</t>
  </si>
  <si>
    <t>PFIS</t>
  </si>
  <si>
    <t>PFS</t>
  </si>
  <si>
    <t>PFSI</t>
  </si>
  <si>
    <t>PFSW</t>
  </si>
  <si>
    <t>PGC</t>
  </si>
  <si>
    <t>PGEN</t>
  </si>
  <si>
    <t>PGNY</t>
  </si>
  <si>
    <t>PGRE</t>
  </si>
  <si>
    <t>PGTI</t>
  </si>
  <si>
    <t>PHAT</t>
  </si>
  <si>
    <t>PHR</t>
  </si>
  <si>
    <t>PI</t>
  </si>
  <si>
    <t>PIII</t>
  </si>
  <si>
    <t>PIPR</t>
  </si>
  <si>
    <t>PJT</t>
  </si>
  <si>
    <t>PKBK</t>
  </si>
  <si>
    <t>PKE</t>
  </si>
  <si>
    <t>PL</t>
  </si>
  <si>
    <t>PLAB</t>
  </si>
  <si>
    <t>PLAY</t>
  </si>
  <si>
    <t>PLBY</t>
  </si>
  <si>
    <t>PLCE</t>
  </si>
  <si>
    <t>PLL</t>
  </si>
  <si>
    <t>PLM</t>
  </si>
  <si>
    <t>PLMR</t>
  </si>
  <si>
    <t>PLOW</t>
  </si>
  <si>
    <t>PLPC</t>
  </si>
  <si>
    <t>PLUS</t>
  </si>
  <si>
    <t>PLXS</t>
  </si>
  <si>
    <t>PLYM</t>
  </si>
  <si>
    <t>PMT</t>
  </si>
  <si>
    <t>PMVP</t>
  </si>
  <si>
    <t>PNM</t>
  </si>
  <si>
    <t>PNT</t>
  </si>
  <si>
    <t>PNTG</t>
  </si>
  <si>
    <t>POR</t>
  </si>
  <si>
    <t>POWI</t>
  </si>
  <si>
    <t>POWL</t>
  </si>
  <si>
    <t>POWW</t>
  </si>
  <si>
    <t>PPBI</t>
  </si>
  <si>
    <t>PR</t>
  </si>
  <si>
    <t>PRA</t>
  </si>
  <si>
    <t>PRAA</t>
  </si>
  <si>
    <t>PRAX</t>
  </si>
  <si>
    <t>PRCH</t>
  </si>
  <si>
    <t>PRCT</t>
  </si>
  <si>
    <t>PRDO</t>
  </si>
  <si>
    <t>PRDS</t>
  </si>
  <si>
    <t>PRFT</t>
  </si>
  <si>
    <t>PRG</t>
  </si>
  <si>
    <t>PRGS</t>
  </si>
  <si>
    <t>PRIM</t>
  </si>
  <si>
    <t>PRK</t>
  </si>
  <si>
    <t>PRLB</t>
  </si>
  <si>
    <t>PRM</t>
  </si>
  <si>
    <t>PRME</t>
  </si>
  <si>
    <t>PRMW</t>
  </si>
  <si>
    <t>PRO</t>
  </si>
  <si>
    <t>PRPL</t>
  </si>
  <si>
    <t>PRTA</t>
  </si>
  <si>
    <t>PRTH</t>
  </si>
  <si>
    <t>PRTS</t>
  </si>
  <si>
    <t>PRVA</t>
  </si>
  <si>
    <t>PSFE</t>
  </si>
  <si>
    <t>PSMT</t>
  </si>
  <si>
    <t>PSN</t>
  </si>
  <si>
    <t>PSTL</t>
  </si>
  <si>
    <t>PTCT</t>
  </si>
  <si>
    <t>PTEN</t>
  </si>
  <si>
    <t>PTGX</t>
  </si>
  <si>
    <t>PTLO</t>
  </si>
  <si>
    <t>PTRA</t>
  </si>
  <si>
    <t>PTSI</t>
  </si>
  <si>
    <t>PTVE</t>
  </si>
  <si>
    <t>PUBM</t>
  </si>
  <si>
    <t>PUMP</t>
  </si>
  <si>
    <t>PVBC</t>
  </si>
  <si>
    <t>PWP</t>
  </si>
  <si>
    <t>PWSC</t>
  </si>
  <si>
    <t>PZZA</t>
  </si>
  <si>
    <t>QCRH</t>
  </si>
  <si>
    <t>QLYS</t>
  </si>
  <si>
    <t>QNST</t>
  </si>
  <si>
    <t>QRTEA</t>
  </si>
  <si>
    <t>QSI</t>
  </si>
  <si>
    <t>QTRX</t>
  </si>
  <si>
    <t>QTWO</t>
  </si>
  <si>
    <t>QUAD</t>
  </si>
  <si>
    <t>QUOT</t>
  </si>
  <si>
    <t>RAD</t>
  </si>
  <si>
    <t>RADI</t>
  </si>
  <si>
    <t>RAMP</t>
  </si>
  <si>
    <t>RAPT</t>
  </si>
  <si>
    <t>RBB</t>
  </si>
  <si>
    <t>RBBN</t>
  </si>
  <si>
    <t>RBC</t>
  </si>
  <si>
    <t>RBCAA</t>
  </si>
  <si>
    <t>RBOT</t>
  </si>
  <si>
    <t>RC</t>
  </si>
  <si>
    <t>RCKT</t>
  </si>
  <si>
    <t>RCKY</t>
  </si>
  <si>
    <t>RCM</t>
  </si>
  <si>
    <t>RCUS</t>
  </si>
  <si>
    <t>RDFN</t>
  </si>
  <si>
    <t>RDN</t>
  </si>
  <si>
    <t>RDNT</t>
  </si>
  <si>
    <t>RDVT</t>
  </si>
  <si>
    <t>RDW</t>
  </si>
  <si>
    <t>REAL</t>
  </si>
  <si>
    <t>REFI</t>
  </si>
  <si>
    <t>REI</t>
  </si>
  <si>
    <t>RELY</t>
  </si>
  <si>
    <t>RENT</t>
  </si>
  <si>
    <t>REPL</t>
  </si>
  <si>
    <t>REPX</t>
  </si>
  <si>
    <t>RES</t>
  </si>
  <si>
    <t>RETA</t>
  </si>
  <si>
    <t>REVG</t>
  </si>
  <si>
    <t>REX</t>
  </si>
  <si>
    <t>REZI</t>
  </si>
  <si>
    <t>RGNX</t>
  </si>
  <si>
    <t>RGP</t>
  </si>
  <si>
    <t>RGR</t>
  </si>
  <si>
    <t>RGTI</t>
  </si>
  <si>
    <t>RHP</t>
  </si>
  <si>
    <t>RICK</t>
  </si>
  <si>
    <t>RIDE</t>
  </si>
  <si>
    <t>RIGL</t>
  </si>
  <si>
    <t>RILY</t>
  </si>
  <si>
    <t>RIOT</t>
  </si>
  <si>
    <t>RKLB</t>
  </si>
  <si>
    <t>RLAY</t>
  </si>
  <si>
    <t>RLGT</t>
  </si>
  <si>
    <t>RLI</t>
  </si>
  <si>
    <t>RLJ</t>
  </si>
  <si>
    <t>RLMD</t>
  </si>
  <si>
    <t>RLYB</t>
  </si>
  <si>
    <t>RM</t>
  </si>
  <si>
    <t>RMAX</t>
  </si>
  <si>
    <t>RMBL</t>
  </si>
  <si>
    <t>RMBS</t>
  </si>
  <si>
    <t>RMNI</t>
  </si>
  <si>
    <t>RMR</t>
  </si>
  <si>
    <t>RNA</t>
  </si>
  <si>
    <t>RNST</t>
  </si>
  <si>
    <t>ROAD</t>
  </si>
  <si>
    <t>ROCC</t>
  </si>
  <si>
    <t>ROCK</t>
  </si>
  <si>
    <t>ROG</t>
  </si>
  <si>
    <t>ROIC</t>
  </si>
  <si>
    <t>ROOT</t>
  </si>
  <si>
    <t>ROVR</t>
  </si>
  <si>
    <t>RPAY</t>
  </si>
  <si>
    <t>RPD</t>
  </si>
  <si>
    <t>RPT</t>
  </si>
  <si>
    <t>RRBI</t>
  </si>
  <si>
    <t>RRR</t>
  </si>
  <si>
    <t>RSI</t>
  </si>
  <si>
    <t>RSVR</t>
  </si>
  <si>
    <t>RTL</t>
  </si>
  <si>
    <t>RUSHA</t>
  </si>
  <si>
    <t>RUSHB</t>
  </si>
  <si>
    <t>RVLV</t>
  </si>
  <si>
    <t>RVMD</t>
  </si>
  <si>
    <t>RVNC</t>
  </si>
  <si>
    <t>RWT</t>
  </si>
  <si>
    <t>RXDX</t>
  </si>
  <si>
    <t>RXRX</t>
  </si>
  <si>
    <t>RXST</t>
  </si>
  <si>
    <t>RXT</t>
  </si>
  <si>
    <t>RYAM</t>
  </si>
  <si>
    <t>RYI</t>
  </si>
  <si>
    <t>SABR</t>
  </si>
  <si>
    <t>SAFE</t>
  </si>
  <si>
    <t>SAFT</t>
  </si>
  <si>
    <t>SAGE</t>
  </si>
  <si>
    <t>SAH</t>
  </si>
  <si>
    <t>SAIA</t>
  </si>
  <si>
    <t>SAMG</t>
  </si>
  <si>
    <t>SANA</t>
  </si>
  <si>
    <t>SANM</t>
  </si>
  <si>
    <t>SASR</t>
  </si>
  <si>
    <t>SATS</t>
  </si>
  <si>
    <t>SAVA</t>
  </si>
  <si>
    <t>SAVE</t>
  </si>
  <si>
    <t>SB</t>
  </si>
  <si>
    <t>SBCF</t>
  </si>
  <si>
    <t>SBGI</t>
  </si>
  <si>
    <t>SBH</t>
  </si>
  <si>
    <t>SBOW</t>
  </si>
  <si>
    <t>SBRA</t>
  </si>
  <si>
    <t>SBSI</t>
  </si>
  <si>
    <t>SBT</t>
  </si>
  <si>
    <t>SCHL</t>
  </si>
  <si>
    <t>SCHN</t>
  </si>
  <si>
    <t>SCL</t>
  </si>
  <si>
    <t>SCS</t>
  </si>
  <si>
    <t>SCSC</t>
  </si>
  <si>
    <t>SCU</t>
  </si>
  <si>
    <t>SCVL</t>
  </si>
  <si>
    <t>SCWX</t>
  </si>
  <si>
    <t>SD</t>
  </si>
  <si>
    <t>SDGR</t>
  </si>
  <si>
    <t>SEAS</t>
  </si>
  <si>
    <t>SEAT</t>
  </si>
  <si>
    <t>SEER</t>
  </si>
  <si>
    <t>SEM</t>
  </si>
  <si>
    <t>SENEA</t>
  </si>
  <si>
    <t>SENS</t>
  </si>
  <si>
    <t>SFBS</t>
  </si>
  <si>
    <t>SFIX</t>
  </si>
  <si>
    <t>SFL</t>
  </si>
  <si>
    <t>SFM</t>
  </si>
  <si>
    <t>SFNC</t>
  </si>
  <si>
    <t>SFST</t>
  </si>
  <si>
    <t>SG</t>
  </si>
  <si>
    <t>SGC</t>
  </si>
  <si>
    <t>SGH</t>
  </si>
  <si>
    <t>SGHT</t>
  </si>
  <si>
    <t>SGMO</t>
  </si>
  <si>
    <t>SGRY</t>
  </si>
  <si>
    <t>SHAK</t>
  </si>
  <si>
    <t>SHBI</t>
  </si>
  <si>
    <t>SHCR</t>
  </si>
  <si>
    <t>SHEN</t>
  </si>
  <si>
    <t>SHLS</t>
  </si>
  <si>
    <t>SHO</t>
  </si>
  <si>
    <t>SHOO</t>
  </si>
  <si>
    <t>SHYF</t>
  </si>
  <si>
    <t>SIBN</t>
  </si>
  <si>
    <t>SIG</t>
  </si>
  <si>
    <t>SIGA</t>
  </si>
  <si>
    <t>SIGI</t>
  </si>
  <si>
    <t>SILK</t>
  </si>
  <si>
    <t>SITC</t>
  </si>
  <si>
    <t>SITM</t>
  </si>
  <si>
    <t>SJW</t>
  </si>
  <si>
    <t>SKIL</t>
  </si>
  <si>
    <t>SKIN</t>
  </si>
  <si>
    <t>SKLZ</t>
  </si>
  <si>
    <t>SKT</t>
  </si>
  <si>
    <t>SKWD</t>
  </si>
  <si>
    <t>SKY</t>
  </si>
  <si>
    <t>SKYT</t>
  </si>
  <si>
    <t>SKYW</t>
  </si>
  <si>
    <t>SLAB</t>
  </si>
  <si>
    <t>SLCA</t>
  </si>
  <si>
    <t>SLDP</t>
  </si>
  <si>
    <t>SLGC</t>
  </si>
  <si>
    <t>SLP</t>
  </si>
  <si>
    <t>SLQT</t>
  </si>
  <si>
    <t>SLVM</t>
  </si>
  <si>
    <t>SM</t>
  </si>
  <si>
    <t>SMBC</t>
  </si>
  <si>
    <t>SMBK</t>
  </si>
  <si>
    <t>SMCI</t>
  </si>
  <si>
    <t>SMMF</t>
  </si>
  <si>
    <t>SMP</t>
  </si>
  <si>
    <t>SMPL</t>
  </si>
  <si>
    <t>SMR</t>
  </si>
  <si>
    <t>SMRT</t>
  </si>
  <si>
    <t>SMTC</t>
  </si>
  <si>
    <t>SNBR</t>
  </si>
  <si>
    <t>SNCE</t>
  </si>
  <si>
    <t>SNCY</t>
  </si>
  <si>
    <t>SNDX</t>
  </si>
  <si>
    <t>SNEX</t>
  </si>
  <si>
    <t>SNPO</t>
  </si>
  <si>
    <t>SOI</t>
  </si>
  <si>
    <t>SOND</t>
  </si>
  <si>
    <t>SONO</t>
  </si>
  <si>
    <t>SOVO</t>
  </si>
  <si>
    <t>SP</t>
  </si>
  <si>
    <t>SPCE</t>
  </si>
  <si>
    <t>SPFI</t>
  </si>
  <si>
    <t>SPHR</t>
  </si>
  <si>
    <t>SPIR</t>
  </si>
  <si>
    <t>SPNS</t>
  </si>
  <si>
    <t>SPNT</t>
  </si>
  <si>
    <t>SPSC</t>
  </si>
  <si>
    <t>SPT</t>
  </si>
  <si>
    <t>SPTN</t>
  </si>
  <si>
    <t>SPWH</t>
  </si>
  <si>
    <t>SPWR</t>
  </si>
  <si>
    <t>SPXC</t>
  </si>
  <si>
    <t>SQSP</t>
  </si>
  <si>
    <t>SR</t>
  </si>
  <si>
    <t>SRCE</t>
  </si>
  <si>
    <t>SRDX</t>
  </si>
  <si>
    <t>SRI</t>
  </si>
  <si>
    <t>SSB</t>
  </si>
  <si>
    <t>SSD</t>
  </si>
  <si>
    <t>SSP</t>
  </si>
  <si>
    <t>SSTI</t>
  </si>
  <si>
    <t>SSTK</t>
  </si>
  <si>
    <t>STAA</t>
  </si>
  <si>
    <t>STAG</t>
  </si>
  <si>
    <t>STBA</t>
  </si>
  <si>
    <t>STC</t>
  </si>
  <si>
    <t>STEL</t>
  </si>
  <si>
    <t>STEM</t>
  </si>
  <si>
    <t>STEP</t>
  </si>
  <si>
    <t>STER</t>
  </si>
  <si>
    <t>STGW</t>
  </si>
  <si>
    <t>STHO</t>
  </si>
  <si>
    <t>STKL</t>
  </si>
  <si>
    <t>STKS</t>
  </si>
  <si>
    <t>STNE</t>
  </si>
  <si>
    <t>STNG</t>
  </si>
  <si>
    <t>STOK</t>
  </si>
  <si>
    <t>STR</t>
  </si>
  <si>
    <t>STRA</t>
  </si>
  <si>
    <t>STRC</t>
  </si>
  <si>
    <t>STRL</t>
  </si>
  <si>
    <t>STRO</t>
  </si>
  <si>
    <t>STRS</t>
  </si>
  <si>
    <t>SUM</t>
  </si>
  <si>
    <t>SUNL</t>
  </si>
  <si>
    <t>SUPN</t>
  </si>
  <si>
    <t>SVC</t>
  </si>
  <si>
    <t>SWAV</t>
  </si>
  <si>
    <t>SWBI</t>
  </si>
  <si>
    <t>SWI</t>
  </si>
  <si>
    <t>SWIM</t>
  </si>
  <si>
    <t>SWKH</t>
  </si>
  <si>
    <t>SWTX</t>
  </si>
  <si>
    <t>SWX</t>
  </si>
  <si>
    <t>SXC</t>
  </si>
  <si>
    <t>SXI</t>
  </si>
  <si>
    <t>SXT</t>
  </si>
  <si>
    <t>SYBT</t>
  </si>
  <si>
    <t>SYNA</t>
  </si>
  <si>
    <t>TALO</t>
  </si>
  <si>
    <t>TALS</t>
  </si>
  <si>
    <t>TARS</t>
  </si>
  <si>
    <t>TBBK</t>
  </si>
  <si>
    <t>TBI</t>
  </si>
  <si>
    <t>TBPH</t>
  </si>
  <si>
    <t>TCBI</t>
  </si>
  <si>
    <t>TCBK</t>
  </si>
  <si>
    <t>TCBX</t>
  </si>
  <si>
    <t>TCI</t>
  </si>
  <si>
    <t>TCMD</t>
  </si>
  <si>
    <t>TCS</t>
  </si>
  <si>
    <t>TCX</t>
  </si>
  <si>
    <t>TDS</t>
  </si>
  <si>
    <t>TDUP</t>
  </si>
  <si>
    <t>TDW</t>
  </si>
  <si>
    <t>TELL</t>
  </si>
  <si>
    <t>TENB</t>
  </si>
  <si>
    <t>TEX</t>
  </si>
  <si>
    <t>TFIN</t>
  </si>
  <si>
    <t>TFM</t>
  </si>
  <si>
    <t>TG</t>
  </si>
  <si>
    <t>TGAN</t>
  </si>
  <si>
    <t>TGH</t>
  </si>
  <si>
    <t>TGI</t>
  </si>
  <si>
    <t>TGNA</t>
  </si>
  <si>
    <t>TGTX</t>
  </si>
  <si>
    <t>TH</t>
  </si>
  <si>
    <t>THFF</t>
  </si>
  <si>
    <t>THR</t>
  </si>
  <si>
    <t>THRD</t>
  </si>
  <si>
    <t>THRM</t>
  </si>
  <si>
    <t>THRN</t>
  </si>
  <si>
    <t>THRX</t>
  </si>
  <si>
    <t>THRY</t>
  </si>
  <si>
    <t>THS</t>
  </si>
  <si>
    <t>TIL</t>
  </si>
  <si>
    <t>TILE</t>
  </si>
  <si>
    <t>TIPT</t>
  </si>
  <si>
    <t>TITN</t>
  </si>
  <si>
    <t>TK</t>
  </si>
  <si>
    <t>TKNO</t>
  </si>
  <si>
    <t>TLS</t>
  </si>
  <si>
    <t>TLYS</t>
  </si>
  <si>
    <t>TMCI</t>
  </si>
  <si>
    <t>TMDX</t>
  </si>
  <si>
    <t>TMHC</t>
  </si>
  <si>
    <t>TMP</t>
  </si>
  <si>
    <t>TMST</t>
  </si>
  <si>
    <t>TNC</t>
  </si>
  <si>
    <t>TNET</t>
  </si>
  <si>
    <t>TNGX</t>
  </si>
  <si>
    <t>TNK</t>
  </si>
  <si>
    <t>TNYA</t>
  </si>
  <si>
    <t>TOI</t>
  </si>
  <si>
    <t>TOWN</t>
  </si>
  <si>
    <t>TPB</t>
  </si>
  <si>
    <t>TPC</t>
  </si>
  <si>
    <t>TPH</t>
  </si>
  <si>
    <t>TPIC</t>
  </si>
  <si>
    <t>TR</t>
  </si>
  <si>
    <t>TRC</t>
  </si>
  <si>
    <t>TREE</t>
  </si>
  <si>
    <t>TRMK</t>
  </si>
  <si>
    <t>TRN</t>
  </si>
  <si>
    <t>TRNO</t>
  </si>
  <si>
    <t>TRNS</t>
  </si>
  <si>
    <t>TROX</t>
  </si>
  <si>
    <t>TRS</t>
  </si>
  <si>
    <t>TRST</t>
  </si>
  <si>
    <t>TRTN</t>
  </si>
  <si>
    <t>TRTX</t>
  </si>
  <si>
    <t>TRUE</t>
  </si>
  <si>
    <t>TRUP</t>
  </si>
  <si>
    <t>TSE</t>
  </si>
  <si>
    <t>TSP</t>
  </si>
  <si>
    <t>TSVT</t>
  </si>
  <si>
    <t>TTCF</t>
  </si>
  <si>
    <t>TTEC</t>
  </si>
  <si>
    <t>TTGT</t>
  </si>
  <si>
    <t>TTI</t>
  </si>
  <si>
    <t>TTMI</t>
  </si>
  <si>
    <t>TTSH</t>
  </si>
  <si>
    <t>TUP</t>
  </si>
  <si>
    <t>TVTX</t>
  </si>
  <si>
    <t>TWI</t>
  </si>
  <si>
    <t>TWNK</t>
  </si>
  <si>
    <t>TWO</t>
  </si>
  <si>
    <t>TWOU</t>
  </si>
  <si>
    <t>TWST</t>
  </si>
  <si>
    <t>TXRH</t>
  </si>
  <si>
    <t>TYRA</t>
  </si>
  <si>
    <t>UBA</t>
  </si>
  <si>
    <t>UBSI</t>
  </si>
  <si>
    <t>UCBI</t>
  </si>
  <si>
    <t>UCTT</t>
  </si>
  <si>
    <t>UDMY</t>
  </si>
  <si>
    <t>UE</t>
  </si>
  <si>
    <t>UEC</t>
  </si>
  <si>
    <t>UEIC</t>
  </si>
  <si>
    <t>UFCS</t>
  </si>
  <si>
    <t>UFI</t>
  </si>
  <si>
    <t>UFPI</t>
  </si>
  <si>
    <t>UFPT</t>
  </si>
  <si>
    <t>UHT</t>
  </si>
  <si>
    <t>UIS</t>
  </si>
  <si>
    <t>ULCC</t>
  </si>
  <si>
    <t>ULH</t>
  </si>
  <si>
    <t>UMBF</t>
  </si>
  <si>
    <t>UMH</t>
  </si>
  <si>
    <t>UNF</t>
  </si>
  <si>
    <t>UNFI</t>
  </si>
  <si>
    <t>UNIT</t>
  </si>
  <si>
    <t>UNTY</t>
  </si>
  <si>
    <t>UONE</t>
  </si>
  <si>
    <t>UONEK</t>
  </si>
  <si>
    <t>UP</t>
  </si>
  <si>
    <t>UPBD</t>
  </si>
  <si>
    <t>UPLD</t>
  </si>
  <si>
    <t>UPWK</t>
  </si>
  <si>
    <t>URBN</t>
  </si>
  <si>
    <t>URG</t>
  </si>
  <si>
    <t>USCB</t>
  </si>
  <si>
    <t>USLM</t>
  </si>
  <si>
    <t>USM</t>
  </si>
  <si>
    <t>USNA</t>
  </si>
  <si>
    <t>USPH</t>
  </si>
  <si>
    <t>UTI</t>
  </si>
  <si>
    <t>UTL</t>
  </si>
  <si>
    <t>UTMD</t>
  </si>
  <si>
    <t>UTZ</t>
  </si>
  <si>
    <t>UUUU</t>
  </si>
  <si>
    <t>UVE</t>
  </si>
  <si>
    <t>UVSP</t>
  </si>
  <si>
    <t>UVV</t>
  </si>
  <si>
    <t>VAL</t>
  </si>
  <si>
    <t>VALU</t>
  </si>
  <si>
    <t>VBIV</t>
  </si>
  <si>
    <t>VBTX</t>
  </si>
  <si>
    <t>VC</t>
  </si>
  <si>
    <t>VCEL</t>
  </si>
  <si>
    <t>VCSA</t>
  </si>
  <si>
    <t>VCTR</t>
  </si>
  <si>
    <t>VCYT</t>
  </si>
  <si>
    <t>VECO</t>
  </si>
  <si>
    <t>VEL</t>
  </si>
  <si>
    <t>VERA</t>
  </si>
  <si>
    <t>VERI</t>
  </si>
  <si>
    <t>VERU</t>
  </si>
  <si>
    <t>VERV</t>
  </si>
  <si>
    <t>VGR</t>
  </si>
  <si>
    <t>VHI</t>
  </si>
  <si>
    <t>VIA</t>
  </si>
  <si>
    <t>VIAV</t>
  </si>
  <si>
    <t>VICR</t>
  </si>
  <si>
    <t>VIEW</t>
  </si>
  <si>
    <t>VIR</t>
  </si>
  <si>
    <t>VITL</t>
  </si>
  <si>
    <t>VLD</t>
  </si>
  <si>
    <t>VLGEA</t>
  </si>
  <si>
    <t>VLY</t>
  </si>
  <si>
    <t>VMEO</t>
  </si>
  <si>
    <t>VNDA</t>
  </si>
  <si>
    <t>VPG</t>
  </si>
  <si>
    <t>VRAY</t>
  </si>
  <si>
    <t>VRDN</t>
  </si>
  <si>
    <t>VRE</t>
  </si>
  <si>
    <t>VREX</t>
  </si>
  <si>
    <t>VRNS</t>
  </si>
  <si>
    <t>VRNT</t>
  </si>
  <si>
    <t>VRRM</t>
  </si>
  <si>
    <t>VRTS</t>
  </si>
  <si>
    <t>VRTV</t>
  </si>
  <si>
    <t>VSEC</t>
  </si>
  <si>
    <t>VSH</t>
  </si>
  <si>
    <t>VSTO</t>
  </si>
  <si>
    <t>VTGN</t>
  </si>
  <si>
    <t>VTLE</t>
  </si>
  <si>
    <t>VTNR</t>
  </si>
  <si>
    <t>VTOL</t>
  </si>
  <si>
    <t>VTYX</t>
  </si>
  <si>
    <t>VUZI</t>
  </si>
  <si>
    <t>VVI</t>
  </si>
  <si>
    <t>VVX</t>
  </si>
  <si>
    <t>VWE</t>
  </si>
  <si>
    <t>VXRT</t>
  </si>
  <si>
    <t>VZIO</t>
  </si>
  <si>
    <t>WABC</t>
  </si>
  <si>
    <t>WAFD</t>
  </si>
  <si>
    <t>WASH</t>
  </si>
  <si>
    <t>WD</t>
  </si>
  <si>
    <t>WDFC</t>
  </si>
  <si>
    <t>WEAV</t>
  </si>
  <si>
    <t>WERN</t>
  </si>
  <si>
    <t>WEYS</t>
  </si>
  <si>
    <t>WFRD</t>
  </si>
  <si>
    <t>WGO</t>
  </si>
  <si>
    <t>WGS</t>
  </si>
  <si>
    <t>WHD</t>
  </si>
  <si>
    <t>WINA</t>
  </si>
  <si>
    <t>WING</t>
  </si>
  <si>
    <t>WIRE</t>
  </si>
  <si>
    <t>WISH</t>
  </si>
  <si>
    <t>WK</t>
  </si>
  <si>
    <t>WKHS</t>
  </si>
  <si>
    <t>WLDN</t>
  </si>
  <si>
    <t>WLLAW</t>
  </si>
  <si>
    <t>WLLBW</t>
  </si>
  <si>
    <t>WLY</t>
  </si>
  <si>
    <t>WMK</t>
  </si>
  <si>
    <t>WNC</t>
  </si>
  <si>
    <t>WOR</t>
  </si>
  <si>
    <t>WOW</t>
  </si>
  <si>
    <t>WRBY</t>
  </si>
  <si>
    <t>WRLD</t>
  </si>
  <si>
    <t>WSBC</t>
  </si>
  <si>
    <t>WSBF</t>
  </si>
  <si>
    <t>WSFS</t>
  </si>
  <si>
    <t>WSR</t>
  </si>
  <si>
    <t>WT</t>
  </si>
  <si>
    <t>WTBA</t>
  </si>
  <si>
    <t>WTI</t>
  </si>
  <si>
    <t>WTS</t>
  </si>
  <si>
    <t>WTTR</t>
  </si>
  <si>
    <t>WULF</t>
  </si>
  <si>
    <t>WW</t>
  </si>
  <si>
    <t>WWW</t>
  </si>
  <si>
    <t>XERS</t>
  </si>
  <si>
    <t>XHR</t>
  </si>
  <si>
    <t>XMTR</t>
  </si>
  <si>
    <t>XNCR</t>
  </si>
  <si>
    <t>XOS</t>
  </si>
  <si>
    <t>XPEL</t>
  </si>
  <si>
    <t>XPER</t>
  </si>
  <si>
    <t>XPOF</t>
  </si>
  <si>
    <t>XPRO</t>
  </si>
  <si>
    <t>XRX</t>
  </si>
  <si>
    <t>XXII</t>
  </si>
  <si>
    <t>YELP</t>
  </si>
  <si>
    <t>YEXT</t>
  </si>
  <si>
    <t>YMAB</t>
  </si>
  <si>
    <t>YORW</t>
  </si>
  <si>
    <t>YOU</t>
  </si>
  <si>
    <t>ZD</t>
  </si>
  <si>
    <t>ZETA</t>
  </si>
  <si>
    <t>ZEUS</t>
  </si>
  <si>
    <t>ZEV</t>
  </si>
  <si>
    <t>ZGN</t>
  </si>
  <si>
    <t>ZIMV</t>
  </si>
  <si>
    <t>ZIP</t>
  </si>
  <si>
    <t>ZNTL</t>
  </si>
  <si>
    <t>ZUMZ</t>
  </si>
  <si>
    <t>ZUO</t>
  </si>
  <si>
    <t>ZWS</t>
  </si>
  <si>
    <t>ZYXI</t>
  </si>
  <si>
    <t>N/A</t>
  </si>
  <si>
    <t>Industrials</t>
  </si>
  <si>
    <t>Real Estate</t>
  </si>
  <si>
    <t>Financial Services</t>
  </si>
  <si>
    <t>Consumer Cyclical</t>
  </si>
  <si>
    <t>Healthcare</t>
  </si>
  <si>
    <t>Technology</t>
  </si>
  <si>
    <t>Consumer Defensive</t>
  </si>
  <si>
    <t>Utilities</t>
  </si>
  <si>
    <t>Communication Services</t>
  </si>
  <si>
    <t>Energy</t>
  </si>
  <si>
    <t>Basic Materials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</si>
  <si>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</si>
  <si>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</si>
  <si>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</si>
  <si>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</si>
  <si>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</si>
  <si>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</si>
  <si>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</si>
  <si>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</si>
  <si>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</si>
  <si>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2023-08-04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</si>
</sst>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7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HYPERLINK("https://www.suredividend.com/sure-analysis-research-database/","Aadi Bioscience Inc")</f>
        <v>0</v>
      </c>
      <c r="C2" t="s">
        <v>1812</v>
      </c>
      <c r="D2">
        <v>5.66</v>
      </c>
      <c r="E2">
        <v>0</v>
      </c>
      <c r="F2" t="s">
        <v>1812</v>
      </c>
      <c r="G2" t="s">
        <v>1812</v>
      </c>
      <c r="H2">
        <v>0</v>
      </c>
      <c r="I2">
        <v>138.313363</v>
      </c>
      <c r="J2">
        <v>0</v>
      </c>
      <c r="K2" t="s">
        <v>1812</v>
      </c>
      <c r="L2">
        <v>0.583575143208804</v>
      </c>
      <c r="M2">
        <v>14.77</v>
      </c>
      <c r="N2">
        <v>5.09</v>
      </c>
    </row>
    <row r="3" spans="1:14">
      <c r="A3" s="1" t="s">
        <v>15</v>
      </c>
      <c r="B3">
        <f>HYPERLINK("https://www.suredividend.com/sure-analysis-research-database/","Aarons Company Inc (The)")</f>
        <v>0</v>
      </c>
      <c r="C3" t="s">
        <v>1813</v>
      </c>
      <c r="D3">
        <v>13.15</v>
      </c>
      <c r="E3">
        <v>0.03561047730197901</v>
      </c>
      <c r="F3" t="s">
        <v>1812</v>
      </c>
      <c r="G3" t="s">
        <v>1812</v>
      </c>
      <c r="H3">
        <v>0.468277776521035</v>
      </c>
      <c r="I3">
        <v>405.927429</v>
      </c>
      <c r="J3" t="s">
        <v>1812</v>
      </c>
      <c r="K3" t="s">
        <v>1812</v>
      </c>
      <c r="L3">
        <v>1.305356579560398</v>
      </c>
      <c r="M3">
        <v>16.16</v>
      </c>
      <c r="N3">
        <v>7.42</v>
      </c>
    </row>
    <row r="4" spans="1:14">
      <c r="A4" s="1" t="s">
        <v>16</v>
      </c>
      <c r="B4">
        <f>HYPERLINK("https://www.suredividend.com/sure-analysis-research-database/","AAON Inc.")</f>
        <v>0</v>
      </c>
      <c r="C4" t="s">
        <v>1813</v>
      </c>
      <c r="D4">
        <v>104.125</v>
      </c>
      <c r="E4">
        <v>0.004595204128505</v>
      </c>
      <c r="F4" t="s">
        <v>1812</v>
      </c>
      <c r="G4" t="s">
        <v>1812</v>
      </c>
      <c r="H4">
        <v>0.478475629880687</v>
      </c>
      <c r="I4">
        <v>5653.9875</v>
      </c>
      <c r="J4">
        <v>47.46025383821172</v>
      </c>
      <c r="K4">
        <v>0.2184820227765694</v>
      </c>
      <c r="L4">
        <v>1.047799190142531</v>
      </c>
      <c r="M4">
        <v>107.09</v>
      </c>
      <c r="N4">
        <v>51.78</v>
      </c>
    </row>
    <row r="5" spans="1:14">
      <c r="A5" s="1" t="s">
        <v>17</v>
      </c>
      <c r="B5">
        <f>HYPERLINK("https://www.suredividend.com/sure-analysis-AAT/","American Assets Trust Inc")</f>
        <v>0</v>
      </c>
      <c r="C5" t="s">
        <v>1814</v>
      </c>
      <c r="D5">
        <v>22.31</v>
      </c>
      <c r="E5">
        <v>0.05916629314208875</v>
      </c>
      <c r="F5">
        <v>0.03125</v>
      </c>
      <c r="G5">
        <v>0.04095039696925684</v>
      </c>
      <c r="H5">
        <v>1.271339089319556</v>
      </c>
      <c r="I5">
        <v>1354.766495</v>
      </c>
      <c r="J5">
        <v>26.81643894101346</v>
      </c>
      <c r="K5">
        <v>1.919581895394166</v>
      </c>
      <c r="L5">
        <v>0.9021506310675441</v>
      </c>
      <c r="M5">
        <v>29.18</v>
      </c>
      <c r="N5">
        <v>15.77</v>
      </c>
    </row>
    <row r="6" spans="1:14">
      <c r="A6" s="1" t="s">
        <v>18</v>
      </c>
      <c r="B6">
        <f>HYPERLINK("https://www.suredividend.com/sure-analysis-research-database/","Ameris Bancorp")</f>
        <v>0</v>
      </c>
      <c r="C6" t="s">
        <v>1815</v>
      </c>
      <c r="D6">
        <v>44.36</v>
      </c>
      <c r="E6">
        <v>0.013398700967905</v>
      </c>
      <c r="F6">
        <v>0</v>
      </c>
      <c r="G6">
        <v>0.08447177119769855</v>
      </c>
      <c r="H6">
        <v>0.5943663749362821</v>
      </c>
      <c r="I6">
        <v>3077.424563</v>
      </c>
      <c r="J6">
        <v>9.461342245137011</v>
      </c>
      <c r="K6">
        <v>0.1267305703488874</v>
      </c>
      <c r="L6">
        <v>1.103567250641941</v>
      </c>
      <c r="M6">
        <v>53.37</v>
      </c>
      <c r="N6">
        <v>28.08</v>
      </c>
    </row>
    <row r="7" spans="1:14">
      <c r="A7" s="1" t="s">
        <v>19</v>
      </c>
      <c r="B7">
        <f>HYPERLINK("https://www.suredividend.com/sure-analysis-research-database/","AbCellera Biologics Inc")</f>
        <v>0</v>
      </c>
      <c r="C7" t="s">
        <v>1812</v>
      </c>
      <c r="D7">
        <v>6.97</v>
      </c>
      <c r="E7">
        <v>0</v>
      </c>
      <c r="F7" t="s">
        <v>1812</v>
      </c>
      <c r="G7" t="s">
        <v>1812</v>
      </c>
      <c r="H7">
        <v>0</v>
      </c>
      <c r="I7">
        <v>2012.434815</v>
      </c>
      <c r="J7">
        <v>0</v>
      </c>
      <c r="K7" t="s">
        <v>1812</v>
      </c>
      <c r="L7">
        <v>1.272127175470477</v>
      </c>
      <c r="M7">
        <v>14.97</v>
      </c>
      <c r="N7">
        <v>5.53</v>
      </c>
    </row>
    <row r="8" spans="1:14">
      <c r="A8" s="1" t="s">
        <v>20</v>
      </c>
      <c r="B8">
        <f>HYPERLINK("https://www.suredividend.com/sure-analysis-research-database/","Asbury Automotive Group Inc")</f>
        <v>0</v>
      </c>
      <c r="C8" t="s">
        <v>1816</v>
      </c>
      <c r="D8">
        <v>224.43</v>
      </c>
      <c r="E8">
        <v>0</v>
      </c>
      <c r="F8" t="s">
        <v>1812</v>
      </c>
      <c r="G8" t="s">
        <v>1812</v>
      </c>
      <c r="H8">
        <v>0</v>
      </c>
      <c r="I8">
        <v>4617.688096</v>
      </c>
      <c r="J8">
        <v>4.933427453269231</v>
      </c>
      <c r="K8">
        <v>0</v>
      </c>
      <c r="L8">
        <v>1.310865805640236</v>
      </c>
      <c r="M8">
        <v>256.39</v>
      </c>
      <c r="N8">
        <v>138.88</v>
      </c>
    </row>
    <row r="9" spans="1:14">
      <c r="A9" s="1" t="s">
        <v>21</v>
      </c>
      <c r="B9">
        <f>HYPERLINK("https://www.suredividend.com/sure-analysis-ABM/","ABM Industries Inc.")</f>
        <v>0</v>
      </c>
      <c r="C9" t="s">
        <v>1813</v>
      </c>
      <c r="D9">
        <v>45.42</v>
      </c>
      <c r="E9">
        <v>0.01937472479084104</v>
      </c>
      <c r="F9">
        <v>0.1282051282051282</v>
      </c>
      <c r="G9">
        <v>0.04683184708394994</v>
      </c>
      <c r="H9">
        <v>0.851950134393582</v>
      </c>
      <c r="I9">
        <v>3004.35291</v>
      </c>
      <c r="J9">
        <v>15.32833117193878</v>
      </c>
      <c r="K9">
        <v>0.2907679639568539</v>
      </c>
      <c r="L9">
        <v>0.891929474152598</v>
      </c>
      <c r="M9">
        <v>49.47</v>
      </c>
      <c r="N9">
        <v>37.13</v>
      </c>
    </row>
    <row r="10" spans="1:14">
      <c r="A10" s="1" t="s">
        <v>22</v>
      </c>
      <c r="B10">
        <f>HYPERLINK("https://www.suredividend.com/sure-analysis-ABR/","Arbor Realty Trust Inc.")</f>
        <v>0</v>
      </c>
      <c r="C10" t="s">
        <v>1814</v>
      </c>
      <c r="D10">
        <v>16.48</v>
      </c>
      <c r="E10">
        <v>0.1043689320388349</v>
      </c>
      <c r="F10">
        <v>0.07692307692307687</v>
      </c>
      <c r="G10">
        <v>0.2286596790831472</v>
      </c>
      <c r="H10">
        <v>1.5198654734313</v>
      </c>
      <c r="I10">
        <v>3073.552548</v>
      </c>
      <c r="J10">
        <v>9.871822820913067</v>
      </c>
      <c r="K10">
        <v>1.033922090769592</v>
      </c>
      <c r="L10">
        <v>1.183557500678329</v>
      </c>
      <c r="M10">
        <v>17.74</v>
      </c>
      <c r="N10">
        <v>9.77</v>
      </c>
    </row>
    <row r="11" spans="1:14">
      <c r="A11" s="1" t="s">
        <v>23</v>
      </c>
      <c r="B11">
        <f>HYPERLINK("https://www.suredividend.com/sure-analysis-research-database/","Absci Corp")</f>
        <v>0</v>
      </c>
      <c r="C11" t="s">
        <v>1812</v>
      </c>
      <c r="D11">
        <v>1.95</v>
      </c>
      <c r="E11">
        <v>0</v>
      </c>
      <c r="F11" t="s">
        <v>1812</v>
      </c>
      <c r="G11" t="s">
        <v>1812</v>
      </c>
      <c r="H11">
        <v>0</v>
      </c>
      <c r="I11">
        <v>180.381505</v>
      </c>
      <c r="J11">
        <v>0</v>
      </c>
      <c r="K11" t="s">
        <v>1812</v>
      </c>
      <c r="L11">
        <v>2.028699969151791</v>
      </c>
      <c r="M11">
        <v>7.04</v>
      </c>
      <c r="N11">
        <v>1.13</v>
      </c>
    </row>
    <row r="12" spans="1:14">
      <c r="A12" s="1" t="s">
        <v>24</v>
      </c>
      <c r="B12">
        <f>HYPERLINK("https://www.suredividend.com/sure-analysis-research-database/","Arbutus Biopharma Corp")</f>
        <v>0</v>
      </c>
      <c r="C12" t="s">
        <v>1817</v>
      </c>
      <c r="D12">
        <v>2.06</v>
      </c>
      <c r="E12">
        <v>0</v>
      </c>
      <c r="F12" t="s">
        <v>1812</v>
      </c>
      <c r="G12" t="s">
        <v>1812</v>
      </c>
      <c r="H12">
        <v>0</v>
      </c>
      <c r="I12">
        <v>342.23514</v>
      </c>
      <c r="J12" t="s">
        <v>1812</v>
      </c>
      <c r="K12">
        <v>-0</v>
      </c>
      <c r="L12">
        <v>0.8755945364278861</v>
      </c>
      <c r="M12">
        <v>3.15</v>
      </c>
      <c r="N12">
        <v>1.85</v>
      </c>
    </row>
    <row r="13" spans="1:14">
      <c r="A13" s="1" t="s">
        <v>25</v>
      </c>
      <c r="B13">
        <f>HYPERLINK("https://www.suredividend.com/sure-analysis-research-database/","Associated Capital Group Inc")</f>
        <v>0</v>
      </c>
      <c r="C13" t="s">
        <v>1815</v>
      </c>
      <c r="D13">
        <v>36.9</v>
      </c>
      <c r="E13">
        <v>0.005412456825738</v>
      </c>
      <c r="F13" t="s">
        <v>1812</v>
      </c>
      <c r="G13" t="s">
        <v>1812</v>
      </c>
      <c r="H13">
        <v>0.19971965686975</v>
      </c>
      <c r="I13">
        <v>107.892316</v>
      </c>
      <c r="J13">
        <v>0</v>
      </c>
      <c r="K13" t="s">
        <v>1812</v>
      </c>
      <c r="M13">
        <v>44.26</v>
      </c>
      <c r="N13">
        <v>30.92</v>
      </c>
    </row>
    <row r="14" spans="1:14">
      <c r="A14" s="1" t="s">
        <v>26</v>
      </c>
      <c r="B14">
        <f>HYPERLINK("https://www.suredividend.com/sure-analysis-research-database/","Arcosa Inc")</f>
        <v>0</v>
      </c>
      <c r="C14" t="s">
        <v>1813</v>
      </c>
      <c r="D14">
        <v>76.02</v>
      </c>
      <c r="E14">
        <v>0.002627947576731</v>
      </c>
      <c r="F14" t="s">
        <v>1812</v>
      </c>
      <c r="G14" t="s">
        <v>1812</v>
      </c>
      <c r="H14">
        <v>0.199776574783119</v>
      </c>
      <c r="I14">
        <v>3679.368</v>
      </c>
      <c r="J14">
        <v>13.13122055674518</v>
      </c>
      <c r="K14">
        <v>0.03456342124275415</v>
      </c>
      <c r="L14">
        <v>0.9781427366181281</v>
      </c>
      <c r="M14">
        <v>78.2</v>
      </c>
      <c r="N14">
        <v>51.92</v>
      </c>
    </row>
    <row r="15" spans="1:14">
      <c r="A15" s="1" t="s">
        <v>27</v>
      </c>
      <c r="B15">
        <f>HYPERLINK("https://www.suredividend.com/sure-analysis-research-database/","Acadia Pharmaceuticals Inc")</f>
        <v>0</v>
      </c>
      <c r="C15" t="s">
        <v>1817</v>
      </c>
      <c r="D15">
        <v>27.2</v>
      </c>
      <c r="E15">
        <v>0</v>
      </c>
      <c r="F15" t="s">
        <v>1812</v>
      </c>
      <c r="G15" t="s">
        <v>1812</v>
      </c>
      <c r="H15">
        <v>0</v>
      </c>
      <c r="I15">
        <v>4423.536</v>
      </c>
      <c r="J15" t="s">
        <v>1812</v>
      </c>
      <c r="K15">
        <v>-0</v>
      </c>
      <c r="L15">
        <v>1.152935921481117</v>
      </c>
      <c r="M15">
        <v>33.99</v>
      </c>
      <c r="N15">
        <v>13.73</v>
      </c>
    </row>
    <row r="16" spans="1:14">
      <c r="A16" s="1" t="s">
        <v>28</v>
      </c>
      <c r="B16">
        <f>HYPERLINK("https://www.suredividend.com/sure-analysis-research-database/","Accolade Inc")</f>
        <v>0</v>
      </c>
      <c r="C16" t="s">
        <v>1812</v>
      </c>
      <c r="D16">
        <v>14.32</v>
      </c>
      <c r="E16">
        <v>0</v>
      </c>
      <c r="F16" t="s">
        <v>1812</v>
      </c>
      <c r="G16" t="s">
        <v>1812</v>
      </c>
      <c r="H16">
        <v>0</v>
      </c>
      <c r="I16">
        <v>1083.036307</v>
      </c>
      <c r="J16">
        <v>0</v>
      </c>
      <c r="K16" t="s">
        <v>1812</v>
      </c>
      <c r="L16">
        <v>2.118632207149</v>
      </c>
      <c r="M16">
        <v>17.01</v>
      </c>
      <c r="N16">
        <v>6.83</v>
      </c>
    </row>
    <row r="17" spans="1:14">
      <c r="A17" s="1" t="s">
        <v>29</v>
      </c>
      <c r="B17">
        <f>HYPERLINK("https://www.suredividend.com/sure-analysis-research-database/","Acco Brands Corporation")</f>
        <v>0</v>
      </c>
      <c r="C17" t="s">
        <v>1813</v>
      </c>
      <c r="D17">
        <v>6.1</v>
      </c>
      <c r="E17">
        <v>0.048157452672344</v>
      </c>
      <c r="F17">
        <v>0</v>
      </c>
      <c r="G17">
        <v>0.04563955259127317</v>
      </c>
      <c r="H17">
        <v>0.2937604613013</v>
      </c>
      <c r="I17">
        <v>578.995981</v>
      </c>
      <c r="J17" t="s">
        <v>1812</v>
      </c>
      <c r="K17" t="s">
        <v>1812</v>
      </c>
      <c r="L17">
        <v>1.084377993731968</v>
      </c>
      <c r="M17">
        <v>6.88</v>
      </c>
      <c r="N17">
        <v>4.09</v>
      </c>
    </row>
    <row r="18" spans="1:14">
      <c r="A18" s="1" t="s">
        <v>30</v>
      </c>
      <c r="B18">
        <f>HYPERLINK("https://www.suredividend.com/sure-analysis-research-database/","Accel Entertainment Inc")</f>
        <v>0</v>
      </c>
      <c r="C18" t="s">
        <v>1816</v>
      </c>
      <c r="D18">
        <v>11.15</v>
      </c>
      <c r="E18">
        <v>0</v>
      </c>
      <c r="F18" t="s">
        <v>1812</v>
      </c>
      <c r="G18" t="s">
        <v>1812</v>
      </c>
      <c r="H18">
        <v>0</v>
      </c>
      <c r="I18">
        <v>958.957144</v>
      </c>
      <c r="J18">
        <v>0</v>
      </c>
      <c r="K18" t="s">
        <v>1812</v>
      </c>
      <c r="L18">
        <v>0.866076872107412</v>
      </c>
      <c r="M18">
        <v>12</v>
      </c>
      <c r="N18">
        <v>7.26</v>
      </c>
    </row>
    <row r="19" spans="1:14">
      <c r="A19" s="1" t="s">
        <v>31</v>
      </c>
      <c r="B19">
        <f>HYPERLINK("https://www.suredividend.com/sure-analysis-research-database/","Adicet Bio Inc")</f>
        <v>0</v>
      </c>
      <c r="C19" t="s">
        <v>1812</v>
      </c>
      <c r="D19">
        <v>2.37</v>
      </c>
      <c r="E19">
        <v>0</v>
      </c>
      <c r="F19" t="s">
        <v>1812</v>
      </c>
      <c r="G19" t="s">
        <v>1812</v>
      </c>
      <c r="H19">
        <v>0</v>
      </c>
      <c r="I19">
        <v>101.809479</v>
      </c>
      <c r="J19">
        <v>0</v>
      </c>
      <c r="K19" t="s">
        <v>1812</v>
      </c>
      <c r="L19">
        <v>0.75153024711974</v>
      </c>
      <c r="M19">
        <v>21.87</v>
      </c>
      <c r="N19">
        <v>1.98</v>
      </c>
    </row>
    <row r="20" spans="1:14">
      <c r="A20" s="1" t="s">
        <v>32</v>
      </c>
      <c r="B20">
        <f>HYPERLINK("https://www.suredividend.com/sure-analysis-research-database/","Archer Aviation Inc")</f>
        <v>0</v>
      </c>
      <c r="C20" t="s">
        <v>1812</v>
      </c>
      <c r="D20">
        <v>6.04</v>
      </c>
      <c r="E20">
        <v>0</v>
      </c>
      <c r="F20" t="s">
        <v>1812</v>
      </c>
      <c r="G20" t="s">
        <v>1812</v>
      </c>
      <c r="H20">
        <v>0</v>
      </c>
      <c r="I20">
        <v>1116.147787</v>
      </c>
      <c r="J20">
        <v>0</v>
      </c>
      <c r="K20" t="s">
        <v>1812</v>
      </c>
      <c r="L20">
        <v>1.769346208791857</v>
      </c>
      <c r="M20">
        <v>7.1</v>
      </c>
      <c r="N20">
        <v>1.62</v>
      </c>
    </row>
    <row r="21" spans="1:14">
      <c r="A21" s="1" t="s">
        <v>33</v>
      </c>
      <c r="B21">
        <f>HYPERLINK("https://www.suredividend.com/sure-analysis-research-database/","ACI Worldwide Inc")</f>
        <v>0</v>
      </c>
      <c r="C21" t="s">
        <v>1818</v>
      </c>
      <c r="D21">
        <v>23.8</v>
      </c>
      <c r="E21">
        <v>0</v>
      </c>
      <c r="F21" t="s">
        <v>1812</v>
      </c>
      <c r="G21" t="s">
        <v>1812</v>
      </c>
      <c r="H21">
        <v>0</v>
      </c>
      <c r="I21">
        <v>2577.54</v>
      </c>
      <c r="J21">
        <v>27.31052458703737</v>
      </c>
      <c r="K21">
        <v>0</v>
      </c>
      <c r="L21">
        <v>1.132868291084249</v>
      </c>
      <c r="M21">
        <v>29.14</v>
      </c>
      <c r="N21">
        <v>19.68</v>
      </c>
    </row>
    <row r="22" spans="1:14">
      <c r="A22" s="1" t="s">
        <v>34</v>
      </c>
      <c r="B22">
        <f>HYPERLINK("https://www.suredividend.com/sure-analysis-research-database/","Axcelis Technologies Inc")</f>
        <v>0</v>
      </c>
      <c r="C22" t="s">
        <v>1818</v>
      </c>
      <c r="D22">
        <v>186.61</v>
      </c>
      <c r="E22">
        <v>0</v>
      </c>
      <c r="F22" t="s">
        <v>1812</v>
      </c>
      <c r="G22" t="s">
        <v>1812</v>
      </c>
      <c r="H22">
        <v>0</v>
      </c>
      <c r="I22">
        <v>6104.223969</v>
      </c>
      <c r="J22">
        <v>32.26982147207156</v>
      </c>
      <c r="K22">
        <v>0</v>
      </c>
      <c r="L22">
        <v>1.732135402429888</v>
      </c>
      <c r="M22">
        <v>201</v>
      </c>
      <c r="N22">
        <v>49.78</v>
      </c>
    </row>
    <row r="23" spans="1:14">
      <c r="A23" s="1" t="s">
        <v>35</v>
      </c>
      <c r="B23">
        <f>HYPERLINK("https://www.suredividend.com/sure-analysis-research-database/","Arcellx Inc")</f>
        <v>0</v>
      </c>
      <c r="C23" t="s">
        <v>1812</v>
      </c>
      <c r="D23">
        <v>33.86</v>
      </c>
      <c r="E23">
        <v>0</v>
      </c>
      <c r="F23" t="s">
        <v>1812</v>
      </c>
      <c r="G23" t="s">
        <v>1812</v>
      </c>
      <c r="H23">
        <v>0</v>
      </c>
      <c r="I23">
        <v>1625.28</v>
      </c>
      <c r="J23">
        <v>0</v>
      </c>
      <c r="K23" t="s">
        <v>1812</v>
      </c>
      <c r="L23">
        <v>0.719662348397582</v>
      </c>
      <c r="M23">
        <v>48.92</v>
      </c>
      <c r="N23">
        <v>15.63</v>
      </c>
    </row>
    <row r="24" spans="1:14">
      <c r="A24" s="1" t="s">
        <v>36</v>
      </c>
      <c r="B24">
        <f>HYPERLINK("https://www.suredividend.com/sure-analysis-research-database/","ACM Research Inc")</f>
        <v>0</v>
      </c>
      <c r="C24" t="s">
        <v>1818</v>
      </c>
      <c r="D24">
        <v>11.97</v>
      </c>
      <c r="E24">
        <v>0</v>
      </c>
      <c r="F24" t="s">
        <v>1812</v>
      </c>
      <c r="G24" t="s">
        <v>1812</v>
      </c>
      <c r="H24">
        <v>0</v>
      </c>
      <c r="I24">
        <v>656.586592</v>
      </c>
      <c r="J24">
        <v>12.57973314116565</v>
      </c>
      <c r="K24">
        <v>0</v>
      </c>
      <c r="L24">
        <v>2.190099423160978</v>
      </c>
      <c r="M24">
        <v>20.24</v>
      </c>
      <c r="N24">
        <v>5.46</v>
      </c>
    </row>
    <row r="25" spans="1:14">
      <c r="A25" s="1" t="s">
        <v>37</v>
      </c>
      <c r="B25">
        <f>HYPERLINK("https://www.suredividend.com/sure-analysis-research-database/","ACNB Corp.")</f>
        <v>0</v>
      </c>
      <c r="C25" t="s">
        <v>1815</v>
      </c>
      <c r="D25">
        <v>34.77</v>
      </c>
      <c r="E25">
        <v>0.031053143506241</v>
      </c>
      <c r="F25">
        <v>0.07692307692307709</v>
      </c>
      <c r="G25">
        <v>0.04012620718096094</v>
      </c>
      <c r="H25">
        <v>1.079717799712018</v>
      </c>
      <c r="I25">
        <v>296.353611</v>
      </c>
      <c r="J25">
        <v>0</v>
      </c>
      <c r="K25" t="s">
        <v>1812</v>
      </c>
      <c r="L25">
        <v>0.78324287668457</v>
      </c>
      <c r="M25">
        <v>40.25</v>
      </c>
      <c r="N25">
        <v>26.52</v>
      </c>
    </row>
    <row r="26" spans="1:14">
      <c r="A26" s="1" t="s">
        <v>38</v>
      </c>
      <c r="B26">
        <f>HYPERLINK("https://www.suredividend.com/sure-analysis-ACRE/","Ares Commercial Real Estate Corp")</f>
        <v>0</v>
      </c>
      <c r="C26" t="s">
        <v>1814</v>
      </c>
      <c r="D26">
        <v>10.58</v>
      </c>
      <c r="E26">
        <v>0.1247637051039698</v>
      </c>
      <c r="F26">
        <v>-0.9393939393939394</v>
      </c>
      <c r="G26">
        <v>-0.4291747031827589</v>
      </c>
      <c r="H26">
        <v>1.313615019340706</v>
      </c>
      <c r="I26">
        <v>572.761768</v>
      </c>
      <c r="J26">
        <v>80.16259878796362</v>
      </c>
      <c r="K26">
        <v>9.899133529319561</v>
      </c>
      <c r="L26">
        <v>1.279583556510808</v>
      </c>
      <c r="M26">
        <v>12.63</v>
      </c>
      <c r="N26">
        <v>7.28</v>
      </c>
    </row>
    <row r="27" spans="1:14">
      <c r="A27" s="1" t="s">
        <v>39</v>
      </c>
      <c r="B27">
        <f>HYPERLINK("https://www.suredividend.com/sure-analysis-research-database/","Aclaris Therapeutics Inc")</f>
        <v>0</v>
      </c>
      <c r="C27" t="s">
        <v>1817</v>
      </c>
      <c r="D27">
        <v>9.83</v>
      </c>
      <c r="E27">
        <v>0</v>
      </c>
      <c r="F27" t="s">
        <v>1812</v>
      </c>
      <c r="G27" t="s">
        <v>1812</v>
      </c>
      <c r="H27">
        <v>0</v>
      </c>
      <c r="I27">
        <v>694.778453</v>
      </c>
      <c r="J27" t="s">
        <v>1812</v>
      </c>
      <c r="K27">
        <v>-0</v>
      </c>
      <c r="L27">
        <v>0.844672974827248</v>
      </c>
      <c r="M27">
        <v>18.96</v>
      </c>
      <c r="N27">
        <v>5.77</v>
      </c>
    </row>
    <row r="28" spans="1:14">
      <c r="A28" s="1" t="s">
        <v>40</v>
      </c>
      <c r="B28">
        <f>HYPERLINK("https://www.suredividend.com/sure-analysis-research-database/","Acrivon Therapeutics Inc")</f>
        <v>0</v>
      </c>
      <c r="C28" t="s">
        <v>1812</v>
      </c>
      <c r="D28">
        <v>11.8</v>
      </c>
      <c r="E28">
        <v>0</v>
      </c>
      <c r="F28" t="s">
        <v>1812</v>
      </c>
      <c r="G28" t="s">
        <v>1812</v>
      </c>
      <c r="H28">
        <v>0</v>
      </c>
      <c r="I28">
        <v>258.726588</v>
      </c>
      <c r="J28">
        <v>0</v>
      </c>
      <c r="K28" t="s">
        <v>1812</v>
      </c>
      <c r="L28">
        <v>0.557106962843237</v>
      </c>
      <c r="M28">
        <v>25.47</v>
      </c>
      <c r="N28">
        <v>8.06</v>
      </c>
    </row>
    <row r="29" spans="1:14">
      <c r="A29" s="1" t="s">
        <v>41</v>
      </c>
      <c r="B29">
        <f>HYPERLINK("https://www.suredividend.com/sure-analysis-research-database/","Enact Holdings Inc")</f>
        <v>0</v>
      </c>
      <c r="D29">
        <v>28.6</v>
      </c>
      <c r="E29">
        <v>0.020008541097165</v>
      </c>
      <c r="F29" t="s">
        <v>1812</v>
      </c>
      <c r="G29" t="s">
        <v>1812</v>
      </c>
      <c r="H29">
        <v>0.5722442753789221</v>
      </c>
      <c r="I29">
        <v>4621.211652</v>
      </c>
      <c r="J29">
        <v>0</v>
      </c>
      <c r="K29" t="s">
        <v>1812</v>
      </c>
      <c r="L29">
        <v>0.6578904329698301</v>
      </c>
      <c r="M29">
        <v>29.74</v>
      </c>
      <c r="N29">
        <v>20.57</v>
      </c>
    </row>
    <row r="30" spans="1:14">
      <c r="A30" s="1" t="s">
        <v>42</v>
      </c>
      <c r="B30">
        <f>HYPERLINK("https://www.suredividend.com/sure-analysis-research-database/","ACV Auctions Inc")</f>
        <v>0</v>
      </c>
      <c r="C30" t="s">
        <v>1812</v>
      </c>
      <c r="D30">
        <v>16.84</v>
      </c>
      <c r="E30">
        <v>0</v>
      </c>
      <c r="F30" t="s">
        <v>1812</v>
      </c>
      <c r="G30" t="s">
        <v>1812</v>
      </c>
      <c r="H30">
        <v>0</v>
      </c>
      <c r="I30">
        <v>2182.403881</v>
      </c>
      <c r="J30">
        <v>0</v>
      </c>
      <c r="K30" t="s">
        <v>1812</v>
      </c>
      <c r="L30">
        <v>1.942423855192512</v>
      </c>
      <c r="M30">
        <v>18.68</v>
      </c>
      <c r="N30">
        <v>6.51</v>
      </c>
    </row>
    <row r="31" spans="1:14">
      <c r="A31" s="1" t="s">
        <v>43</v>
      </c>
      <c r="B31">
        <f>HYPERLINK("https://www.suredividend.com/sure-analysis-ADC/","Agree Realty Corp.")</f>
        <v>0</v>
      </c>
      <c r="C31" t="s">
        <v>1814</v>
      </c>
      <c r="D31">
        <v>64.5</v>
      </c>
      <c r="E31">
        <v>0.04589147286821706</v>
      </c>
      <c r="F31">
        <v>0.01249999999999996</v>
      </c>
      <c r="G31">
        <v>0.01371549124416771</v>
      </c>
      <c r="H31">
        <v>2.824330859787645</v>
      </c>
      <c r="I31">
        <v>6011.29938</v>
      </c>
      <c r="J31">
        <v>38.77582214710986</v>
      </c>
      <c r="K31">
        <v>1.613903348450083</v>
      </c>
      <c r="L31">
        <v>0.459385654797383</v>
      </c>
      <c r="M31">
        <v>77.14</v>
      </c>
      <c r="N31">
        <v>61.13</v>
      </c>
    </row>
    <row r="32" spans="1:14">
      <c r="A32" s="1" t="s">
        <v>44</v>
      </c>
      <c r="B32">
        <f>HYPERLINK("https://www.suredividend.com/sure-analysis-research-database/","Adeia Inc")</f>
        <v>0</v>
      </c>
      <c r="C32" t="s">
        <v>1812</v>
      </c>
      <c r="D32">
        <v>12.09</v>
      </c>
      <c r="E32">
        <v>0.01643051630334</v>
      </c>
      <c r="F32" t="s">
        <v>1812</v>
      </c>
      <c r="G32" t="s">
        <v>1812</v>
      </c>
      <c r="H32">
        <v>0.198644942107382</v>
      </c>
      <c r="I32">
        <v>1285.599072</v>
      </c>
      <c r="J32">
        <v>0</v>
      </c>
      <c r="K32" t="s">
        <v>1812</v>
      </c>
      <c r="L32">
        <v>0.256545323698389</v>
      </c>
      <c r="M32">
        <v>16.84</v>
      </c>
      <c r="N32">
        <v>6.38</v>
      </c>
    </row>
    <row r="33" spans="1:14">
      <c r="A33" s="1" t="s">
        <v>45</v>
      </c>
      <c r="B33">
        <f>HYPERLINK("https://www.suredividend.com/sure-analysis-research-database/","Adma Biologics Inc")</f>
        <v>0</v>
      </c>
      <c r="C33" t="s">
        <v>1817</v>
      </c>
      <c r="D33">
        <v>4.14</v>
      </c>
      <c r="E33">
        <v>0</v>
      </c>
      <c r="F33" t="s">
        <v>1812</v>
      </c>
      <c r="G33" t="s">
        <v>1812</v>
      </c>
      <c r="H33">
        <v>0</v>
      </c>
      <c r="I33">
        <v>920.210063</v>
      </c>
      <c r="J33">
        <v>0</v>
      </c>
      <c r="K33" t="s">
        <v>1812</v>
      </c>
      <c r="L33">
        <v>1.434971471784313</v>
      </c>
      <c r="M33">
        <v>4.3</v>
      </c>
      <c r="N33">
        <v>1.97</v>
      </c>
    </row>
    <row r="34" spans="1:14">
      <c r="A34" s="1" t="s">
        <v>46</v>
      </c>
      <c r="B34">
        <f>HYPERLINK("https://www.suredividend.com/sure-analysis-research-database/","Adient plc")</f>
        <v>0</v>
      </c>
      <c r="C34" t="s">
        <v>1816</v>
      </c>
      <c r="D34">
        <v>44.59</v>
      </c>
      <c r="E34">
        <v>0</v>
      </c>
      <c r="F34" t="s">
        <v>1812</v>
      </c>
      <c r="G34" t="s">
        <v>1812</v>
      </c>
      <c r="H34">
        <v>0</v>
      </c>
      <c r="I34">
        <v>4176.15154</v>
      </c>
      <c r="J34">
        <v>348.0126282966667</v>
      </c>
      <c r="K34">
        <v>0</v>
      </c>
      <c r="L34">
        <v>1.67517354272739</v>
      </c>
      <c r="M34">
        <v>47.5</v>
      </c>
      <c r="N34">
        <v>27.74</v>
      </c>
    </row>
    <row r="35" spans="1:14">
      <c r="A35" s="1" t="s">
        <v>47</v>
      </c>
      <c r="B35">
        <f>HYPERLINK("https://www.suredividend.com/sure-analysis-research-database/","Adaptive Biotechnologies Corp")</f>
        <v>0</v>
      </c>
      <c r="C35" t="s">
        <v>1817</v>
      </c>
      <c r="D35">
        <v>6.97</v>
      </c>
      <c r="E35">
        <v>0</v>
      </c>
      <c r="F35" t="s">
        <v>1812</v>
      </c>
      <c r="G35" t="s">
        <v>1812</v>
      </c>
      <c r="H35">
        <v>0</v>
      </c>
      <c r="I35">
        <v>1008.176472</v>
      </c>
      <c r="J35" t="s">
        <v>1812</v>
      </c>
      <c r="K35">
        <v>-0</v>
      </c>
      <c r="L35">
        <v>2.522920255878961</v>
      </c>
      <c r="M35">
        <v>13.21</v>
      </c>
      <c r="N35">
        <v>5.96</v>
      </c>
    </row>
    <row r="36" spans="1:14">
      <c r="A36" s="1" t="s">
        <v>48</v>
      </c>
      <c r="B36">
        <f>HYPERLINK("https://www.suredividend.com/sure-analysis-research-database/","AdTheorent Holding Company Inc")</f>
        <v>0</v>
      </c>
      <c r="C36" t="s">
        <v>1812</v>
      </c>
      <c r="D36">
        <v>1.63</v>
      </c>
      <c r="E36">
        <v>0</v>
      </c>
      <c r="F36" t="s">
        <v>1812</v>
      </c>
      <c r="G36" t="s">
        <v>1812</v>
      </c>
      <c r="H36">
        <v>0</v>
      </c>
      <c r="I36">
        <v>143.130826</v>
      </c>
      <c r="J36">
        <v>0</v>
      </c>
      <c r="K36" t="s">
        <v>1812</v>
      </c>
      <c r="L36">
        <v>0.6982682565285331</v>
      </c>
      <c r="M36">
        <v>3.67</v>
      </c>
      <c r="N36">
        <v>1.15</v>
      </c>
    </row>
    <row r="37" spans="1:14">
      <c r="A37" s="1" t="s">
        <v>49</v>
      </c>
      <c r="B37">
        <f>HYPERLINK("https://www.suredividend.com/sure-analysis-research-database/","ADTRAN Holdings Inc")</f>
        <v>0</v>
      </c>
      <c r="C37" t="s">
        <v>1818</v>
      </c>
      <c r="D37">
        <v>8.960000000000001</v>
      </c>
      <c r="E37">
        <v>0.039416189794982</v>
      </c>
      <c r="F37" t="s">
        <v>1812</v>
      </c>
      <c r="G37" t="s">
        <v>1812</v>
      </c>
      <c r="H37">
        <v>0.353169060563044</v>
      </c>
      <c r="I37">
        <v>704.751784</v>
      </c>
      <c r="J37">
        <v>0</v>
      </c>
      <c r="K37" t="s">
        <v>1812</v>
      </c>
      <c r="L37">
        <v>1.156831735196481</v>
      </c>
      <c r="M37">
        <v>24.71</v>
      </c>
      <c r="N37">
        <v>7.74</v>
      </c>
    </row>
    <row r="38" spans="1:14">
      <c r="A38" s="1" t="s">
        <v>50</v>
      </c>
      <c r="B38">
        <f>HYPERLINK("https://www.suredividend.com/sure-analysis-research-database/","Addus HomeCare Corporation")</f>
        <v>0</v>
      </c>
      <c r="C38" t="s">
        <v>1817</v>
      </c>
      <c r="D38">
        <v>94.73999999999999</v>
      </c>
      <c r="E38">
        <v>0</v>
      </c>
      <c r="F38" t="s">
        <v>1812</v>
      </c>
      <c r="G38" t="s">
        <v>1812</v>
      </c>
      <c r="H38">
        <v>0</v>
      </c>
      <c r="I38">
        <v>1536.176225</v>
      </c>
      <c r="J38">
        <v>28.5364880595185</v>
      </c>
      <c r="K38">
        <v>0</v>
      </c>
      <c r="L38">
        <v>0.5266451909091651</v>
      </c>
      <c r="M38">
        <v>114.99</v>
      </c>
      <c r="N38">
        <v>77.3</v>
      </c>
    </row>
    <row r="39" spans="1:14">
      <c r="A39" s="1" t="s">
        <v>51</v>
      </c>
      <c r="B39">
        <f>HYPERLINK("https://www.suredividend.com/sure-analysis-research-database/","Advantage Solutions Inc.")</f>
        <v>0</v>
      </c>
      <c r="C39" t="s">
        <v>1812</v>
      </c>
      <c r="D39">
        <v>2.59</v>
      </c>
      <c r="E39">
        <v>0</v>
      </c>
      <c r="F39" t="s">
        <v>1812</v>
      </c>
      <c r="G39" t="s">
        <v>1812</v>
      </c>
      <c r="H39">
        <v>0</v>
      </c>
      <c r="I39">
        <v>839.56403</v>
      </c>
      <c r="J39">
        <v>0</v>
      </c>
      <c r="K39" t="s">
        <v>1812</v>
      </c>
      <c r="L39">
        <v>0.919393038263664</v>
      </c>
      <c r="M39">
        <v>4.64</v>
      </c>
      <c r="N39">
        <v>1.13</v>
      </c>
    </row>
    <row r="40" spans="1:14">
      <c r="A40" s="1" t="s">
        <v>52</v>
      </c>
      <c r="B40">
        <f>HYPERLINK("https://www.suredividend.com/sure-analysis-research-database/","Advanced Energy Industries Inc.")</f>
        <v>0</v>
      </c>
      <c r="C40" t="s">
        <v>1813</v>
      </c>
      <c r="D40">
        <v>122.61</v>
      </c>
      <c r="E40">
        <v>0.003254452177694</v>
      </c>
      <c r="F40" t="s">
        <v>1812</v>
      </c>
      <c r="G40" t="s">
        <v>1812</v>
      </c>
      <c r="H40">
        <v>0.399028381507168</v>
      </c>
      <c r="I40">
        <v>4602.012474</v>
      </c>
      <c r="J40">
        <v>23.74582681614836</v>
      </c>
      <c r="K40">
        <v>0.07763198083797043</v>
      </c>
      <c r="L40">
        <v>1.358863366839864</v>
      </c>
      <c r="M40">
        <v>126.38</v>
      </c>
      <c r="N40">
        <v>67.70999999999999</v>
      </c>
    </row>
    <row r="41" spans="1:14">
      <c r="A41" s="1" t="s">
        <v>53</v>
      </c>
      <c r="B41">
        <f>HYPERLINK("https://www.suredividend.com/sure-analysis-AEL/","American Equity Investment Life Holding Co")</f>
        <v>0</v>
      </c>
      <c r="C41" t="s">
        <v>1815</v>
      </c>
      <c r="D41">
        <v>53.5</v>
      </c>
      <c r="E41">
        <v>0.007102803738317757</v>
      </c>
      <c r="F41" t="s">
        <v>1812</v>
      </c>
      <c r="G41" t="s">
        <v>1812</v>
      </c>
      <c r="H41">
        <v>0.360000014305114</v>
      </c>
      <c r="I41">
        <v>4169.85725</v>
      </c>
      <c r="J41">
        <v>9.163474173281296</v>
      </c>
      <c r="K41">
        <v>0.06949807225967453</v>
      </c>
      <c r="L41">
        <v>0.8965611105715651</v>
      </c>
      <c r="M41">
        <v>54.3</v>
      </c>
      <c r="N41">
        <v>28.05</v>
      </c>
    </row>
    <row r="42" spans="1:14">
      <c r="A42" s="1" t="s">
        <v>54</v>
      </c>
      <c r="B42">
        <f>HYPERLINK("https://www.suredividend.com/sure-analysis-research-database/","American Eagle Outfitters Inc.")</f>
        <v>0</v>
      </c>
      <c r="C42" t="s">
        <v>1816</v>
      </c>
      <c r="D42">
        <v>14.86</v>
      </c>
      <c r="E42">
        <v>0.013403018374201</v>
      </c>
      <c r="F42" t="s">
        <v>1812</v>
      </c>
      <c r="G42" t="s">
        <v>1812</v>
      </c>
      <c r="H42">
        <v>0.199168853040627</v>
      </c>
      <c r="I42">
        <v>2934.128785</v>
      </c>
      <c r="J42">
        <v>26.23294606800239</v>
      </c>
      <c r="K42">
        <v>0.3554048055685707</v>
      </c>
      <c r="L42">
        <v>1.40983293810458</v>
      </c>
      <c r="M42">
        <v>16.82</v>
      </c>
      <c r="N42">
        <v>9.31</v>
      </c>
    </row>
    <row r="43" spans="1:14">
      <c r="A43" s="1" t="s">
        <v>55</v>
      </c>
      <c r="B43">
        <f>HYPERLINK("https://www.suredividend.com/sure-analysis-research-database/","Aeva Technologies Inc")</f>
        <v>0</v>
      </c>
      <c r="C43" t="s">
        <v>1812</v>
      </c>
      <c r="D43">
        <v>1.12</v>
      </c>
      <c r="E43">
        <v>0</v>
      </c>
      <c r="F43" t="s">
        <v>1812</v>
      </c>
      <c r="G43" t="s">
        <v>1812</v>
      </c>
      <c r="H43">
        <v>0</v>
      </c>
      <c r="I43">
        <v>246.804196</v>
      </c>
      <c r="J43">
        <v>0</v>
      </c>
      <c r="K43" t="s">
        <v>1812</v>
      </c>
      <c r="L43">
        <v>2.286744777711269</v>
      </c>
      <c r="M43">
        <v>4.64</v>
      </c>
      <c r="N43">
        <v>0.8901</v>
      </c>
    </row>
    <row r="44" spans="1:14">
      <c r="A44" s="1" t="s">
        <v>56</v>
      </c>
      <c r="B44">
        <f>HYPERLINK("https://www.suredividend.com/sure-analysis-research-database/","AFC Gamma Inc")</f>
        <v>0</v>
      </c>
      <c r="C44" t="s">
        <v>1812</v>
      </c>
      <c r="D44">
        <v>13.6</v>
      </c>
      <c r="E44">
        <v>0.145550423556945</v>
      </c>
      <c r="F44" t="s">
        <v>1812</v>
      </c>
      <c r="G44" t="s">
        <v>1812</v>
      </c>
      <c r="H44">
        <v>1.979485760374453</v>
      </c>
      <c r="I44">
        <v>278.208917</v>
      </c>
      <c r="J44">
        <v>0</v>
      </c>
      <c r="K44" t="s">
        <v>1812</v>
      </c>
      <c r="L44">
        <v>0.8114829412622501</v>
      </c>
      <c r="M44">
        <v>15.76</v>
      </c>
      <c r="N44">
        <v>9.220000000000001</v>
      </c>
    </row>
    <row r="45" spans="1:14">
      <c r="A45" s="1" t="s">
        <v>57</v>
      </c>
      <c r="B45">
        <f>HYPERLINK("https://www.suredividend.com/sure-analysis-research-database/","Affimed N.V.")</f>
        <v>0</v>
      </c>
      <c r="C45" t="s">
        <v>1817</v>
      </c>
      <c r="D45">
        <v>0.587</v>
      </c>
      <c r="E45">
        <v>0</v>
      </c>
      <c r="F45" t="s">
        <v>1812</v>
      </c>
      <c r="G45" t="s">
        <v>1812</v>
      </c>
      <c r="H45">
        <v>0</v>
      </c>
      <c r="I45">
        <v>87.66219</v>
      </c>
      <c r="J45">
        <v>0</v>
      </c>
      <c r="K45" t="s">
        <v>1812</v>
      </c>
      <c r="L45">
        <v>1.473230061871292</v>
      </c>
      <c r="M45">
        <v>3.4</v>
      </c>
      <c r="N45">
        <v>0.52</v>
      </c>
    </row>
    <row r="46" spans="1:14">
      <c r="A46" s="1" t="s">
        <v>58</v>
      </c>
      <c r="B46">
        <f>HYPERLINK("https://www.suredividend.com/sure-analysis-research-database/","Agenus Inc")</f>
        <v>0</v>
      </c>
      <c r="C46" t="s">
        <v>1817</v>
      </c>
      <c r="D46">
        <v>1.45</v>
      </c>
      <c r="E46">
        <v>0</v>
      </c>
      <c r="F46" t="s">
        <v>1812</v>
      </c>
      <c r="G46" t="s">
        <v>1812</v>
      </c>
      <c r="H46">
        <v>0</v>
      </c>
      <c r="I46">
        <v>505.870141</v>
      </c>
      <c r="J46" t="s">
        <v>1812</v>
      </c>
      <c r="K46">
        <v>-0</v>
      </c>
      <c r="L46">
        <v>1.948189005163858</v>
      </c>
      <c r="M46">
        <v>3.24</v>
      </c>
      <c r="N46">
        <v>1.25</v>
      </c>
    </row>
    <row r="47" spans="1:14">
      <c r="A47" s="1" t="s">
        <v>59</v>
      </c>
      <c r="B47">
        <f>HYPERLINK("https://www.suredividend.com/sure-analysis-research-database/","Agios Pharmaceuticals Inc")</f>
        <v>0</v>
      </c>
      <c r="C47" t="s">
        <v>1817</v>
      </c>
      <c r="D47">
        <v>25.94</v>
      </c>
      <c r="E47">
        <v>0</v>
      </c>
      <c r="F47" t="s">
        <v>1812</v>
      </c>
      <c r="G47" t="s">
        <v>1812</v>
      </c>
      <c r="H47">
        <v>0</v>
      </c>
      <c r="I47">
        <v>1441.765719</v>
      </c>
      <c r="J47">
        <v>0.9001555977236471</v>
      </c>
      <c r="K47">
        <v>0</v>
      </c>
      <c r="L47">
        <v>1.301093568110202</v>
      </c>
      <c r="M47">
        <v>34.76</v>
      </c>
      <c r="N47">
        <v>21.07</v>
      </c>
    </row>
    <row r="48" spans="1:14">
      <c r="A48" s="1" t="s">
        <v>60</v>
      </c>
      <c r="B48">
        <f>HYPERLINK("https://www.suredividend.com/sure-analysis-AGM/","Federal Agricultural Mortgage Corp.")</f>
        <v>0</v>
      </c>
      <c r="C48" t="s">
        <v>1815</v>
      </c>
      <c r="D48">
        <v>165.82</v>
      </c>
      <c r="E48">
        <v>0.02653479676757931</v>
      </c>
      <c r="F48">
        <v>0.1578947368421053</v>
      </c>
      <c r="G48">
        <v>0.1365614939721804</v>
      </c>
      <c r="H48">
        <v>4.05456802399433</v>
      </c>
      <c r="I48">
        <v>1681.841832</v>
      </c>
      <c r="J48">
        <v>11.19906398569688</v>
      </c>
      <c r="K48">
        <v>0.2940223367653612</v>
      </c>
      <c r="L48">
        <v>0.979953752999803</v>
      </c>
      <c r="M48">
        <v>166.17</v>
      </c>
      <c r="N48">
        <v>95.45999999999999</v>
      </c>
    </row>
    <row r="49" spans="1:14">
      <c r="A49" s="1" t="s">
        <v>61</v>
      </c>
      <c r="B49">
        <f>HYPERLINK("https://www.suredividend.com/sure-analysis-research-database/","Agiliti Inc")</f>
        <v>0</v>
      </c>
      <c r="C49" t="s">
        <v>1812</v>
      </c>
      <c r="D49">
        <v>17.36</v>
      </c>
      <c r="E49">
        <v>0</v>
      </c>
      <c r="F49" t="s">
        <v>1812</v>
      </c>
      <c r="G49" t="s">
        <v>1812</v>
      </c>
      <c r="H49">
        <v>0</v>
      </c>
      <c r="I49">
        <v>2334.229836</v>
      </c>
      <c r="J49">
        <v>175.071614478362</v>
      </c>
      <c r="K49">
        <v>0</v>
      </c>
      <c r="L49">
        <v>1.113788536912546</v>
      </c>
      <c r="M49">
        <v>20.25</v>
      </c>
      <c r="N49">
        <v>14.15</v>
      </c>
    </row>
    <row r="50" spans="1:14">
      <c r="A50" s="1" t="s">
        <v>62</v>
      </c>
      <c r="B50">
        <f>HYPERLINK("https://www.suredividend.com/sure-analysis-research-database/","Argan, Inc.")</f>
        <v>0</v>
      </c>
      <c r="C50" t="s">
        <v>1813</v>
      </c>
      <c r="D50">
        <v>39.47</v>
      </c>
      <c r="E50">
        <v>0.025092011910919</v>
      </c>
      <c r="F50">
        <v>0</v>
      </c>
      <c r="G50">
        <v>0</v>
      </c>
      <c r="H50">
        <v>0.9903817101240081</v>
      </c>
      <c r="I50">
        <v>529.318158</v>
      </c>
      <c r="J50">
        <v>19.09379403181589</v>
      </c>
      <c r="K50">
        <v>0.4927272189671683</v>
      </c>
      <c r="L50">
        <v>0.6807399807731771</v>
      </c>
      <c r="M50">
        <v>44.98</v>
      </c>
      <c r="N50">
        <v>30.43</v>
      </c>
    </row>
    <row r="51" spans="1:14">
      <c r="A51" s="1" t="s">
        <v>63</v>
      </c>
      <c r="B51">
        <f>HYPERLINK("https://www.suredividend.com/sure-analysis-research-database/","Agilysys, Inc")</f>
        <v>0</v>
      </c>
      <c r="C51" t="s">
        <v>1818</v>
      </c>
      <c r="D51">
        <v>73.15000000000001</v>
      </c>
      <c r="E51">
        <v>0</v>
      </c>
      <c r="F51" t="s">
        <v>1812</v>
      </c>
      <c r="G51" t="s">
        <v>1812</v>
      </c>
      <c r="H51">
        <v>0</v>
      </c>
      <c r="I51">
        <v>1854.639102</v>
      </c>
      <c r="J51">
        <v>164.7835718969347</v>
      </c>
      <c r="K51">
        <v>0</v>
      </c>
      <c r="L51">
        <v>0.523393436543177</v>
      </c>
      <c r="M51">
        <v>88.16</v>
      </c>
      <c r="N51">
        <v>45.91</v>
      </c>
    </row>
    <row r="52" spans="1:14">
      <c r="A52" s="1" t="s">
        <v>64</v>
      </c>
      <c r="B52">
        <f>HYPERLINK("https://www.suredividend.com/sure-analysis-research-database/","AdaptHealth Corp")</f>
        <v>0</v>
      </c>
      <c r="C52" t="s">
        <v>1817</v>
      </c>
      <c r="D52">
        <v>13.43</v>
      </c>
      <c r="E52">
        <v>0</v>
      </c>
      <c r="F52" t="s">
        <v>1812</v>
      </c>
      <c r="G52" t="s">
        <v>1812</v>
      </c>
      <c r="H52">
        <v>0</v>
      </c>
      <c r="I52">
        <v>1801.935896</v>
      </c>
      <c r="J52">
        <v>45.48505391912359</v>
      </c>
      <c r="K52">
        <v>0</v>
      </c>
      <c r="L52">
        <v>1.1472564712185</v>
      </c>
      <c r="M52">
        <v>26.49</v>
      </c>
      <c r="N52">
        <v>9.32</v>
      </c>
    </row>
    <row r="53" spans="1:14">
      <c r="A53" s="1" t="s">
        <v>65</v>
      </c>
      <c r="B53">
        <f>HYPERLINK("https://www.suredividend.com/sure-analysis-research-database/","Armada Hoffler Properties Inc")</f>
        <v>0</v>
      </c>
      <c r="C53" t="s">
        <v>1814</v>
      </c>
      <c r="D53">
        <v>12.05</v>
      </c>
      <c r="E53">
        <v>0.061933965940691</v>
      </c>
      <c r="F53" t="s">
        <v>1812</v>
      </c>
      <c r="G53" t="s">
        <v>1812</v>
      </c>
      <c r="H53">
        <v>0.746304289585332</v>
      </c>
      <c r="I53">
        <v>818.662456</v>
      </c>
      <c r="J53">
        <v>14.1355858698092</v>
      </c>
      <c r="K53">
        <v>0.8728705141348913</v>
      </c>
      <c r="L53">
        <v>1.040613099265085</v>
      </c>
      <c r="M53">
        <v>13.67</v>
      </c>
      <c r="N53">
        <v>9.550000000000001</v>
      </c>
    </row>
    <row r="54" spans="1:14">
      <c r="A54" s="1" t="s">
        <v>66</v>
      </c>
      <c r="B54">
        <f>HYPERLINK("https://www.suredividend.com/sure-analysis-research-database/","Ashford Hospitality Trust Inc")</f>
        <v>0</v>
      </c>
      <c r="C54" t="s">
        <v>1814</v>
      </c>
      <c r="D54">
        <v>3.53</v>
      </c>
      <c r="E54">
        <v>0</v>
      </c>
      <c r="F54" t="s">
        <v>1812</v>
      </c>
      <c r="G54" t="s">
        <v>1812</v>
      </c>
      <c r="H54">
        <v>0</v>
      </c>
      <c r="I54">
        <v>121.707171</v>
      </c>
      <c r="J54" t="s">
        <v>1812</v>
      </c>
      <c r="K54">
        <v>-0</v>
      </c>
      <c r="L54">
        <v>1.93352455334574</v>
      </c>
      <c r="M54">
        <v>12.09</v>
      </c>
      <c r="N54">
        <v>2.61</v>
      </c>
    </row>
    <row r="55" spans="1:14">
      <c r="A55" s="1" t="s">
        <v>67</v>
      </c>
      <c r="B55">
        <f>HYPERLINK("https://www.suredividend.com/sure-analysis-research-database/","C3.ai Inc")</f>
        <v>0</v>
      </c>
      <c r="C55" t="s">
        <v>1814</v>
      </c>
      <c r="D55">
        <v>39.28</v>
      </c>
      <c r="E55">
        <v>0</v>
      </c>
      <c r="F55" t="s">
        <v>1812</v>
      </c>
      <c r="G55" t="s">
        <v>1812</v>
      </c>
      <c r="H55">
        <v>0</v>
      </c>
      <c r="I55">
        <v>4403.807517</v>
      </c>
      <c r="J55" t="s">
        <v>1812</v>
      </c>
      <c r="K55">
        <v>-0</v>
      </c>
      <c r="L55">
        <v>2.367310451724934</v>
      </c>
      <c r="M55">
        <v>48.87</v>
      </c>
      <c r="N55">
        <v>10.16</v>
      </c>
    </row>
    <row r="56" spans="1:14">
      <c r="A56" s="1" t="s">
        <v>68</v>
      </c>
      <c r="B56">
        <f>HYPERLINK("https://www.suredividend.com/sure-analysis-research-database/","Albany International Corp.")</f>
        <v>0</v>
      </c>
      <c r="C56" t="s">
        <v>1816</v>
      </c>
      <c r="D56">
        <v>95.11</v>
      </c>
      <c r="E56">
        <v>0.010053231122023</v>
      </c>
      <c r="F56">
        <v>0.1904761904761905</v>
      </c>
      <c r="G56">
        <v>0.0801851873035635</v>
      </c>
      <c r="H56">
        <v>0.9561628120156741</v>
      </c>
      <c r="I56">
        <v>2967.432</v>
      </c>
      <c r="J56">
        <v>36.01908114341203</v>
      </c>
      <c r="K56">
        <v>0.3621828833392705</v>
      </c>
      <c r="L56">
        <v>0.91727119426341</v>
      </c>
      <c r="M56">
        <v>114.74</v>
      </c>
      <c r="N56">
        <v>76.34</v>
      </c>
    </row>
    <row r="57" spans="1:14">
      <c r="A57" s="1" t="s">
        <v>69</v>
      </c>
      <c r="B57">
        <f>HYPERLINK("https://www.suredividend.com/sure-analysis-research-database/","Arteris Inc")</f>
        <v>0</v>
      </c>
      <c r="C57" t="s">
        <v>1812</v>
      </c>
      <c r="D57">
        <v>6.95</v>
      </c>
      <c r="E57">
        <v>0</v>
      </c>
      <c r="F57" t="s">
        <v>1812</v>
      </c>
      <c r="G57" t="s">
        <v>1812</v>
      </c>
      <c r="H57">
        <v>0</v>
      </c>
      <c r="I57">
        <v>245.813334</v>
      </c>
      <c r="J57" t="s">
        <v>1812</v>
      </c>
      <c r="K57">
        <v>-0</v>
      </c>
      <c r="L57">
        <v>1.486482764880926</v>
      </c>
      <c r="M57">
        <v>9.07</v>
      </c>
      <c r="N57">
        <v>3.27</v>
      </c>
    </row>
    <row r="58" spans="1:14">
      <c r="A58" s="1" t="s">
        <v>70</v>
      </c>
      <c r="B58">
        <f>HYPERLINK("https://www.suredividend.com/sure-analysis-research-database/","AAR Corp.")</f>
        <v>0</v>
      </c>
      <c r="C58" t="s">
        <v>1813</v>
      </c>
      <c r="D58">
        <v>59.24</v>
      </c>
      <c r="E58">
        <v>0</v>
      </c>
      <c r="F58" t="s">
        <v>1812</v>
      </c>
      <c r="G58" t="s">
        <v>1812</v>
      </c>
      <c r="H58">
        <v>0</v>
      </c>
      <c r="I58">
        <v>2069.546853</v>
      </c>
      <c r="J58">
        <v>22.94397841108648</v>
      </c>
      <c r="K58">
        <v>0</v>
      </c>
      <c r="L58">
        <v>0.977172179251466</v>
      </c>
      <c r="M58">
        <v>63.88</v>
      </c>
      <c r="N58">
        <v>33.75</v>
      </c>
    </row>
    <row r="59" spans="1:14">
      <c r="A59" s="1" t="s">
        <v>71</v>
      </c>
      <c r="B59">
        <f>HYPERLINK("https://www.suredividend.com/sure-analysis-research-database/","Airsculpt Technologies Inc")</f>
        <v>0</v>
      </c>
      <c r="C59" t="s">
        <v>1812</v>
      </c>
      <c r="D59">
        <v>8.949999999999999</v>
      </c>
      <c r="E59">
        <v>0</v>
      </c>
      <c r="F59" t="s">
        <v>1812</v>
      </c>
      <c r="G59" t="s">
        <v>1812</v>
      </c>
      <c r="H59">
        <v>0</v>
      </c>
      <c r="I59">
        <v>508.225464</v>
      </c>
      <c r="J59">
        <v>0</v>
      </c>
      <c r="K59" t="s">
        <v>1812</v>
      </c>
      <c r="L59">
        <v>1.664362057123255</v>
      </c>
      <c r="M59">
        <v>11.26</v>
      </c>
      <c r="N59">
        <v>2.69</v>
      </c>
    </row>
    <row r="60" spans="1:14">
      <c r="A60" s="1" t="s">
        <v>72</v>
      </c>
      <c r="B60">
        <f>HYPERLINK("https://www.suredividend.com/sure-analysis-AIT/","Applied Industrial Technologies Inc.")</f>
        <v>0</v>
      </c>
      <c r="C60" t="s">
        <v>1813</v>
      </c>
      <c r="D60">
        <v>143.21</v>
      </c>
      <c r="E60">
        <v>0.00977585364150548</v>
      </c>
      <c r="F60">
        <v>0.02941176470588247</v>
      </c>
      <c r="G60">
        <v>0.03131030647754507</v>
      </c>
      <c r="H60">
        <v>1.374617633406791</v>
      </c>
      <c r="I60">
        <v>5535.657098</v>
      </c>
      <c r="J60">
        <v>16.59185611320088</v>
      </c>
      <c r="K60">
        <v>0.1613400978176985</v>
      </c>
      <c r="L60">
        <v>0.9808249886669461</v>
      </c>
      <c r="M60">
        <v>150.07</v>
      </c>
      <c r="N60">
        <v>95.67</v>
      </c>
    </row>
    <row r="61" spans="1:14">
      <c r="A61" s="1" t="s">
        <v>73</v>
      </c>
      <c r="B61">
        <f>HYPERLINK("https://www.suredividend.com/sure-analysis-research-database/","Apartment Investment &amp; Management Co.")</f>
        <v>0</v>
      </c>
      <c r="C61" t="s">
        <v>1814</v>
      </c>
      <c r="D61">
        <v>8.1</v>
      </c>
      <c r="E61">
        <v>0</v>
      </c>
      <c r="F61" t="s">
        <v>1812</v>
      </c>
      <c r="G61" t="s">
        <v>1812</v>
      </c>
      <c r="H61">
        <v>0</v>
      </c>
      <c r="I61">
        <v>1203.791358</v>
      </c>
      <c r="J61">
        <v>20.50751887052811</v>
      </c>
      <c r="K61">
        <v>0</v>
      </c>
      <c r="L61">
        <v>1.117212825483027</v>
      </c>
      <c r="M61">
        <v>9.77</v>
      </c>
      <c r="N61">
        <v>6.47</v>
      </c>
    </row>
    <row r="62" spans="1:14">
      <c r="A62" s="1" t="s">
        <v>74</v>
      </c>
      <c r="B62">
        <f>HYPERLINK("https://www.suredividend.com/sure-analysis-research-database/","Aerojet Rocketdyne Holdings Inc")</f>
        <v>0</v>
      </c>
      <c r="C62" t="s">
        <v>1813</v>
      </c>
      <c r="D62">
        <v>57.99</v>
      </c>
      <c r="E62">
        <v>0</v>
      </c>
      <c r="F62" t="s">
        <v>1812</v>
      </c>
      <c r="G62" t="s">
        <v>1812</v>
      </c>
      <c r="H62">
        <v>0</v>
      </c>
      <c r="I62">
        <v>4683.208089</v>
      </c>
      <c r="J62">
        <v>63.45810418821138</v>
      </c>
      <c r="K62">
        <v>0</v>
      </c>
      <c r="L62">
        <v>0.4693327369242961</v>
      </c>
      <c r="M62">
        <v>58.01</v>
      </c>
      <c r="N62">
        <v>39.18</v>
      </c>
    </row>
    <row r="63" spans="1:14">
      <c r="A63" s="1" t="s">
        <v>75</v>
      </c>
      <c r="B63">
        <f>HYPERLINK("https://www.suredividend.com/sure-analysis-research-database/","a.k.a. Brands Holding Corp")</f>
        <v>0</v>
      </c>
      <c r="C63" t="s">
        <v>1812</v>
      </c>
      <c r="D63">
        <v>0.524</v>
      </c>
      <c r="E63">
        <v>0</v>
      </c>
      <c r="F63" t="s">
        <v>1812</v>
      </c>
      <c r="G63" t="s">
        <v>1812</v>
      </c>
      <c r="H63">
        <v>0</v>
      </c>
      <c r="I63">
        <v>67.655269</v>
      </c>
      <c r="J63">
        <v>0</v>
      </c>
      <c r="K63" t="s">
        <v>1812</v>
      </c>
      <c r="L63">
        <v>1.062942119552069</v>
      </c>
      <c r="M63">
        <v>3</v>
      </c>
      <c r="N63">
        <v>0.3</v>
      </c>
    </row>
    <row r="64" spans="1:14">
      <c r="A64" s="1" t="s">
        <v>76</v>
      </c>
      <c r="B64">
        <f>HYPERLINK("https://www.suredividend.com/sure-analysis-AKR/","Acadia Realty Trust")</f>
        <v>0</v>
      </c>
      <c r="C64" t="s">
        <v>1814</v>
      </c>
      <c r="D64">
        <v>16.02</v>
      </c>
      <c r="E64">
        <v>0.0449438202247191</v>
      </c>
      <c r="F64" t="s">
        <v>1812</v>
      </c>
      <c r="G64" t="s">
        <v>1812</v>
      </c>
      <c r="H64">
        <v>0.7061583891916871</v>
      </c>
      <c r="I64">
        <v>1525.301447</v>
      </c>
      <c r="J64" t="s">
        <v>1812</v>
      </c>
      <c r="K64" t="s">
        <v>1812</v>
      </c>
      <c r="L64">
        <v>1.20069283333747</v>
      </c>
      <c r="M64">
        <v>17.18</v>
      </c>
      <c r="N64">
        <v>11.81</v>
      </c>
    </row>
    <row r="65" spans="1:14">
      <c r="A65" s="1" t="s">
        <v>77</v>
      </c>
      <c r="B65">
        <f>HYPERLINK("https://www.suredividend.com/sure-analysis-research-database/","Akero Therapeutics Inc")</f>
        <v>0</v>
      </c>
      <c r="C65" t="s">
        <v>1817</v>
      </c>
      <c r="D65">
        <v>44.01</v>
      </c>
      <c r="E65">
        <v>0</v>
      </c>
      <c r="F65" t="s">
        <v>1812</v>
      </c>
      <c r="G65" t="s">
        <v>1812</v>
      </c>
      <c r="H65">
        <v>0</v>
      </c>
      <c r="I65">
        <v>2204.901</v>
      </c>
      <c r="J65">
        <v>0</v>
      </c>
      <c r="K65" t="s">
        <v>1812</v>
      </c>
      <c r="L65">
        <v>-0.9546849578729381</v>
      </c>
      <c r="M65">
        <v>58.38</v>
      </c>
      <c r="N65">
        <v>10.48</v>
      </c>
    </row>
    <row r="66" spans="1:14">
      <c r="A66" s="1" t="s">
        <v>78</v>
      </c>
      <c r="B66">
        <f>HYPERLINK("https://www.suredividend.com/sure-analysis-research-database/","Akoustis Technologies Inc")</f>
        <v>0</v>
      </c>
      <c r="C66" t="s">
        <v>1818</v>
      </c>
      <c r="D66">
        <v>2.28</v>
      </c>
      <c r="E66">
        <v>0</v>
      </c>
      <c r="F66" t="s">
        <v>1812</v>
      </c>
      <c r="G66" t="s">
        <v>1812</v>
      </c>
      <c r="H66">
        <v>0</v>
      </c>
      <c r="I66">
        <v>163.33954</v>
      </c>
      <c r="J66">
        <v>0</v>
      </c>
      <c r="K66" t="s">
        <v>1812</v>
      </c>
      <c r="L66">
        <v>2.082972853505482</v>
      </c>
      <c r="M66">
        <v>5.24</v>
      </c>
      <c r="N66">
        <v>2.23</v>
      </c>
    </row>
    <row r="67" spans="1:14">
      <c r="A67" s="1" t="s">
        <v>79</v>
      </c>
      <c r="B67">
        <f>HYPERLINK("https://www.suredividend.com/sure-analysis-research-database/","Akoya Biosciences Inc")</f>
        <v>0</v>
      </c>
      <c r="C67" t="s">
        <v>1812</v>
      </c>
      <c r="D67">
        <v>6.56</v>
      </c>
      <c r="E67">
        <v>0</v>
      </c>
      <c r="F67" t="s">
        <v>1812</v>
      </c>
      <c r="G67" t="s">
        <v>1812</v>
      </c>
      <c r="H67">
        <v>0</v>
      </c>
      <c r="I67">
        <v>251.904</v>
      </c>
      <c r="J67">
        <v>0</v>
      </c>
      <c r="K67" t="s">
        <v>1812</v>
      </c>
      <c r="L67">
        <v>1.394664813404902</v>
      </c>
      <c r="M67">
        <v>16.57</v>
      </c>
      <c r="N67">
        <v>4.28</v>
      </c>
    </row>
    <row r="68" spans="1:14">
      <c r="A68" s="1" t="s">
        <v>80</v>
      </c>
      <c r="B68">
        <f>HYPERLINK("https://www.suredividend.com/sure-analysis-research-database/","Alico Inc.")</f>
        <v>0</v>
      </c>
      <c r="C68" t="s">
        <v>1819</v>
      </c>
      <c r="D68">
        <v>24.79</v>
      </c>
      <c r="E68">
        <v>0.02603581391532</v>
      </c>
      <c r="F68">
        <v>-0.9</v>
      </c>
      <c r="G68">
        <v>-0.03580749599737276</v>
      </c>
      <c r="H68">
        <v>0.645427826960791</v>
      </c>
      <c r="I68">
        <v>188.532635</v>
      </c>
      <c r="J68" t="s">
        <v>1812</v>
      </c>
      <c r="K68" t="s">
        <v>1812</v>
      </c>
      <c r="L68">
        <v>0.762187662661245</v>
      </c>
      <c r="M68">
        <v>34.53</v>
      </c>
      <c r="N68">
        <v>22.49</v>
      </c>
    </row>
    <row r="69" spans="1:14">
      <c r="A69" s="1" t="s">
        <v>81</v>
      </c>
      <c r="B69">
        <f>HYPERLINK("https://www.suredividend.com/sure-analysis-ALE/","Allete, Inc.")</f>
        <v>0</v>
      </c>
      <c r="C69" t="s">
        <v>1820</v>
      </c>
      <c r="D69">
        <v>56.56</v>
      </c>
      <c r="E69">
        <v>0.04791371994342291</v>
      </c>
      <c r="F69">
        <v>0.04230769230769216</v>
      </c>
      <c r="G69">
        <v>0.03882945351236233</v>
      </c>
      <c r="H69">
        <v>2.612288493786411</v>
      </c>
      <c r="I69">
        <v>3241.801727</v>
      </c>
      <c r="J69">
        <v>17.89073800662252</v>
      </c>
      <c r="K69">
        <v>0.8214743691152236</v>
      </c>
      <c r="L69">
        <v>0.682138298333929</v>
      </c>
      <c r="M69">
        <v>65.97</v>
      </c>
      <c r="N69">
        <v>46.22</v>
      </c>
    </row>
    <row r="70" spans="1:14">
      <c r="A70" s="1" t="s">
        <v>82</v>
      </c>
      <c r="B70">
        <f>HYPERLINK("https://www.suredividend.com/sure-analysis-research-database/","Alector Inc")</f>
        <v>0</v>
      </c>
      <c r="C70" t="s">
        <v>1817</v>
      </c>
      <c r="D70">
        <v>6.625</v>
      </c>
      <c r="E70">
        <v>0</v>
      </c>
      <c r="F70" t="s">
        <v>1812</v>
      </c>
      <c r="G70" t="s">
        <v>1812</v>
      </c>
      <c r="H70">
        <v>0</v>
      </c>
      <c r="I70">
        <v>552.205529</v>
      </c>
      <c r="J70">
        <v>0</v>
      </c>
      <c r="K70" t="s">
        <v>1812</v>
      </c>
      <c r="L70">
        <v>1.68849759611309</v>
      </c>
      <c r="M70">
        <v>13.5</v>
      </c>
      <c r="N70">
        <v>5.65</v>
      </c>
    </row>
    <row r="71" spans="1:14">
      <c r="A71" s="1" t="s">
        <v>83</v>
      </c>
      <c r="B71">
        <f>HYPERLINK("https://www.suredividend.com/sure-analysis-research-database/","Alexander &amp; Baldwin Inc.")</f>
        <v>0</v>
      </c>
      <c r="C71" t="s">
        <v>1814</v>
      </c>
      <c r="D71">
        <v>19</v>
      </c>
      <c r="E71">
        <v>0.04549970193735001</v>
      </c>
      <c r="F71" t="s">
        <v>1812</v>
      </c>
      <c r="G71" t="s">
        <v>1812</v>
      </c>
      <c r="H71">
        <v>0.864494336809668</v>
      </c>
      <c r="I71">
        <v>1379.875</v>
      </c>
      <c r="J71" t="s">
        <v>1812</v>
      </c>
      <c r="K71" t="s">
        <v>1812</v>
      </c>
      <c r="L71">
        <v>1.019914698854114</v>
      </c>
      <c r="M71">
        <v>20.02</v>
      </c>
      <c r="N71">
        <v>15.25</v>
      </c>
    </row>
    <row r="72" spans="1:14">
      <c r="A72" s="1" t="s">
        <v>84</v>
      </c>
      <c r="B72">
        <f>HYPERLINK("https://www.suredividend.com/sure-analysis-research-database/","Alamo Group Inc.")</f>
        <v>0</v>
      </c>
      <c r="C72" t="s">
        <v>1813</v>
      </c>
      <c r="D72">
        <v>181.34</v>
      </c>
      <c r="E72">
        <v>0.004624102289875</v>
      </c>
      <c r="F72">
        <v>0.2222222222222223</v>
      </c>
      <c r="G72">
        <v>0.1486983549970351</v>
      </c>
      <c r="H72">
        <v>0.8385347092460791</v>
      </c>
      <c r="I72">
        <v>2177.989873</v>
      </c>
      <c r="J72">
        <v>18.64605608294024</v>
      </c>
      <c r="K72">
        <v>0.08573974532168499</v>
      </c>
      <c r="L72">
        <v>0.8348446816639621</v>
      </c>
      <c r="M72">
        <v>200.81</v>
      </c>
      <c r="N72">
        <v>118.12</v>
      </c>
    </row>
    <row r="73" spans="1:14">
      <c r="A73" s="1" t="s">
        <v>85</v>
      </c>
      <c r="B73">
        <f>HYPERLINK("https://www.suredividend.com/sure-analysis-research-database/","Allegiant Travel")</f>
        <v>0</v>
      </c>
      <c r="C73" t="s">
        <v>1813</v>
      </c>
      <c r="D73">
        <v>115.1</v>
      </c>
      <c r="E73">
        <v>0</v>
      </c>
      <c r="F73" t="s">
        <v>1812</v>
      </c>
      <c r="G73" t="s">
        <v>1812</v>
      </c>
      <c r="H73">
        <v>0</v>
      </c>
      <c r="I73">
        <v>2121.17836</v>
      </c>
      <c r="J73">
        <v>32.51495869521897</v>
      </c>
      <c r="K73">
        <v>0</v>
      </c>
      <c r="L73">
        <v>1.457972563508212</v>
      </c>
      <c r="M73">
        <v>130.93</v>
      </c>
      <c r="N73">
        <v>62.94</v>
      </c>
    </row>
    <row r="74" spans="1:14">
      <c r="A74" s="1" t="s">
        <v>86</v>
      </c>
      <c r="B74">
        <f>HYPERLINK("https://www.suredividend.com/sure-analysis-research-database/","Alignment Healthcare Inc")</f>
        <v>0</v>
      </c>
      <c r="C74" t="s">
        <v>1812</v>
      </c>
      <c r="D74">
        <v>5.78</v>
      </c>
      <c r="E74">
        <v>0</v>
      </c>
      <c r="F74" t="s">
        <v>1812</v>
      </c>
      <c r="G74" t="s">
        <v>1812</v>
      </c>
      <c r="H74">
        <v>0</v>
      </c>
      <c r="I74">
        <v>1088.845047</v>
      </c>
      <c r="J74">
        <v>0</v>
      </c>
      <c r="K74" t="s">
        <v>1812</v>
      </c>
      <c r="L74">
        <v>0.843585499646566</v>
      </c>
      <c r="M74">
        <v>19.17</v>
      </c>
      <c r="N74">
        <v>4.88</v>
      </c>
    </row>
    <row r="75" spans="1:14">
      <c r="A75" s="1" t="s">
        <v>87</v>
      </c>
      <c r="B75">
        <f>HYPERLINK("https://www.suredividend.com/sure-analysis-research-database/","Alight Inc.")</f>
        <v>0</v>
      </c>
      <c r="C75" t="s">
        <v>1812</v>
      </c>
      <c r="D75">
        <v>8.539999999999999</v>
      </c>
      <c r="E75">
        <v>0</v>
      </c>
      <c r="F75" t="s">
        <v>1812</v>
      </c>
      <c r="G75" t="s">
        <v>1812</v>
      </c>
      <c r="H75">
        <v>0</v>
      </c>
      <c r="I75">
        <v>4253.072362</v>
      </c>
      <c r="J75" t="s">
        <v>1812</v>
      </c>
      <c r="K75">
        <v>-0</v>
      </c>
      <c r="L75">
        <v>1.396545895793413</v>
      </c>
      <c r="M75">
        <v>10.19</v>
      </c>
      <c r="N75">
        <v>7.01</v>
      </c>
    </row>
    <row r="76" spans="1:14">
      <c r="A76" s="1" t="s">
        <v>88</v>
      </c>
      <c r="B76">
        <f>HYPERLINK("https://www.suredividend.com/sure-analysis-research-database/","Alkermes plc")</f>
        <v>0</v>
      </c>
      <c r="C76" t="s">
        <v>1817</v>
      </c>
      <c r="D76">
        <v>27.63</v>
      </c>
      <c r="E76">
        <v>0</v>
      </c>
      <c r="F76" t="s">
        <v>1812</v>
      </c>
      <c r="G76" t="s">
        <v>1812</v>
      </c>
      <c r="H76">
        <v>0</v>
      </c>
      <c r="I76">
        <v>4602.017848</v>
      </c>
      <c r="J76">
        <v>44.68325547663896</v>
      </c>
      <c r="K76">
        <v>0</v>
      </c>
      <c r="L76">
        <v>0.5340560731938231</v>
      </c>
      <c r="M76">
        <v>33.71</v>
      </c>
      <c r="N76">
        <v>21.75</v>
      </c>
    </row>
    <row r="77" spans="1:14">
      <c r="A77" s="1" t="s">
        <v>89</v>
      </c>
      <c r="B77">
        <f>HYPERLINK("https://www.suredividend.com/sure-analysis-research-database/","Alkami Technology Inc")</f>
        <v>0</v>
      </c>
      <c r="C77" t="s">
        <v>1812</v>
      </c>
      <c r="D77">
        <v>16.46</v>
      </c>
      <c r="E77">
        <v>0</v>
      </c>
      <c r="F77" t="s">
        <v>1812</v>
      </c>
      <c r="G77" t="s">
        <v>1812</v>
      </c>
      <c r="H77">
        <v>0</v>
      </c>
      <c r="I77">
        <v>1528.553637</v>
      </c>
      <c r="J77">
        <v>0</v>
      </c>
      <c r="K77" t="s">
        <v>1812</v>
      </c>
      <c r="L77">
        <v>1.185059160883917</v>
      </c>
      <c r="M77">
        <v>17.72</v>
      </c>
      <c r="N77">
        <v>10.7</v>
      </c>
    </row>
    <row r="78" spans="1:14">
      <c r="A78" s="1" t="s">
        <v>90</v>
      </c>
      <c r="B78">
        <f>HYPERLINK("https://www.suredividend.com/sure-analysis-research-database/","Allogene Therapeutics Inc")</f>
        <v>0</v>
      </c>
      <c r="C78" t="s">
        <v>1817</v>
      </c>
      <c r="D78">
        <v>5.14</v>
      </c>
      <c r="E78">
        <v>0</v>
      </c>
      <c r="F78" t="s">
        <v>1812</v>
      </c>
      <c r="G78" t="s">
        <v>1812</v>
      </c>
      <c r="H78">
        <v>0</v>
      </c>
      <c r="I78">
        <v>749.625927</v>
      </c>
      <c r="J78">
        <v>0</v>
      </c>
      <c r="K78" t="s">
        <v>1812</v>
      </c>
      <c r="L78">
        <v>1.445672755092884</v>
      </c>
      <c r="M78">
        <v>17.49</v>
      </c>
      <c r="N78">
        <v>4.3</v>
      </c>
    </row>
    <row r="79" spans="1:14">
      <c r="A79" s="1" t="s">
        <v>91</v>
      </c>
      <c r="B79">
        <f>HYPERLINK("https://www.suredividend.com/sure-analysis-research-database/","Alpine Immune Sciences Inc")</f>
        <v>0</v>
      </c>
      <c r="C79" t="s">
        <v>1817</v>
      </c>
      <c r="D79">
        <v>13.97</v>
      </c>
      <c r="E79">
        <v>0</v>
      </c>
      <c r="F79" t="s">
        <v>1812</v>
      </c>
      <c r="G79" t="s">
        <v>1812</v>
      </c>
      <c r="H79">
        <v>0</v>
      </c>
      <c r="I79">
        <v>670.082715</v>
      </c>
      <c r="J79">
        <v>0</v>
      </c>
      <c r="K79" t="s">
        <v>1812</v>
      </c>
      <c r="L79">
        <v>0.908879050966636</v>
      </c>
      <c r="M79">
        <v>14.48</v>
      </c>
      <c r="N79">
        <v>4.82</v>
      </c>
    </row>
    <row r="80" spans="1:14">
      <c r="A80" s="1" t="s">
        <v>92</v>
      </c>
      <c r="B80">
        <f>HYPERLINK("https://www.suredividend.com/sure-analysis-research-database/","Alarm.com Holdings Inc")</f>
        <v>0</v>
      </c>
      <c r="C80" t="s">
        <v>1818</v>
      </c>
      <c r="D80">
        <v>51.98</v>
      </c>
      <c r="E80">
        <v>0</v>
      </c>
      <c r="F80" t="s">
        <v>1812</v>
      </c>
      <c r="G80" t="s">
        <v>1812</v>
      </c>
      <c r="H80">
        <v>0</v>
      </c>
      <c r="I80">
        <v>2590.652532</v>
      </c>
      <c r="J80">
        <v>42.00490525820835</v>
      </c>
      <c r="K80">
        <v>0</v>
      </c>
      <c r="L80">
        <v>1.240753397639423</v>
      </c>
      <c r="M80">
        <v>78.98999999999999</v>
      </c>
      <c r="N80">
        <v>44.92</v>
      </c>
    </row>
    <row r="81" spans="1:14">
      <c r="A81" s="1" t="s">
        <v>93</v>
      </c>
      <c r="B81">
        <f>HYPERLINK("https://www.suredividend.com/sure-analysis-ALRS/","Alerus Financial Corp")</f>
        <v>0</v>
      </c>
      <c r="C81" t="s">
        <v>1815</v>
      </c>
      <c r="D81">
        <v>19.62</v>
      </c>
      <c r="E81">
        <v>0.03873598369011213</v>
      </c>
      <c r="F81">
        <v>0.05555555555555558</v>
      </c>
      <c r="G81">
        <v>0.07885244396237145</v>
      </c>
      <c r="H81">
        <v>0.7136847491982331</v>
      </c>
      <c r="I81">
        <v>395.570984</v>
      </c>
      <c r="J81">
        <v>0</v>
      </c>
      <c r="K81" t="s">
        <v>1812</v>
      </c>
      <c r="L81">
        <v>0.9112097896805761</v>
      </c>
      <c r="M81">
        <v>24.07</v>
      </c>
      <c r="N81">
        <v>12.84</v>
      </c>
    </row>
    <row r="82" spans="1:14">
      <c r="A82" s="1" t="s">
        <v>94</v>
      </c>
      <c r="B82">
        <f>HYPERLINK("https://www.suredividend.com/sure-analysis-research-database/","Alta Equipment Group Inc")</f>
        <v>0</v>
      </c>
      <c r="C82" t="s">
        <v>1813</v>
      </c>
      <c r="D82">
        <v>17.56</v>
      </c>
      <c r="E82">
        <v>0.012910186937903</v>
      </c>
      <c r="F82" t="s">
        <v>1812</v>
      </c>
      <c r="G82" t="s">
        <v>1812</v>
      </c>
      <c r="H82">
        <v>0.226702882629579</v>
      </c>
      <c r="I82">
        <v>568.384047</v>
      </c>
      <c r="J82">
        <v>0</v>
      </c>
      <c r="K82" t="s">
        <v>1812</v>
      </c>
      <c r="L82">
        <v>1.161259326497401</v>
      </c>
      <c r="M82">
        <v>20.52</v>
      </c>
      <c r="N82">
        <v>10.52</v>
      </c>
    </row>
    <row r="83" spans="1:14">
      <c r="A83" s="1" t="s">
        <v>95</v>
      </c>
      <c r="B83">
        <f>HYPERLINK("https://www.suredividend.com/sure-analysis-research-database/","Alto Ingredients Inc")</f>
        <v>0</v>
      </c>
      <c r="C83" t="s">
        <v>1812</v>
      </c>
      <c r="D83">
        <v>3.87</v>
      </c>
      <c r="E83">
        <v>0</v>
      </c>
      <c r="F83" t="s">
        <v>1812</v>
      </c>
      <c r="G83" t="s">
        <v>1812</v>
      </c>
      <c r="H83">
        <v>0</v>
      </c>
      <c r="I83">
        <v>294.440235</v>
      </c>
      <c r="J83" t="s">
        <v>1812</v>
      </c>
      <c r="K83">
        <v>-0</v>
      </c>
      <c r="L83">
        <v>1.723763605191595</v>
      </c>
      <c r="M83">
        <v>5.3</v>
      </c>
      <c r="N83">
        <v>1.2</v>
      </c>
    </row>
    <row r="84" spans="1:14">
      <c r="A84" s="1" t="s">
        <v>96</v>
      </c>
      <c r="B84">
        <f>HYPERLINK("https://www.suredividend.com/sure-analysis-research-database/","Altair Engineering Inc")</f>
        <v>0</v>
      </c>
      <c r="C84" t="s">
        <v>1818</v>
      </c>
      <c r="D84">
        <v>70.56999999999999</v>
      </c>
      <c r="E84">
        <v>0</v>
      </c>
      <c r="F84" t="s">
        <v>1812</v>
      </c>
      <c r="G84" t="s">
        <v>1812</v>
      </c>
      <c r="H84">
        <v>0</v>
      </c>
      <c r="I84">
        <v>3769.441788</v>
      </c>
      <c r="J84" t="s">
        <v>1812</v>
      </c>
      <c r="K84">
        <v>-0</v>
      </c>
      <c r="L84">
        <v>1.140676098672063</v>
      </c>
      <c r="M84">
        <v>78.48999999999999</v>
      </c>
      <c r="N84">
        <v>43.17</v>
      </c>
    </row>
    <row r="85" spans="1:14">
      <c r="A85" s="1" t="s">
        <v>97</v>
      </c>
      <c r="B85">
        <f>HYPERLINK("https://www.suredividend.com/sure-analysis-research-database/","AlloVir Inc")</f>
        <v>0</v>
      </c>
      <c r="C85" t="s">
        <v>1812</v>
      </c>
      <c r="D85">
        <v>2.98</v>
      </c>
      <c r="E85">
        <v>0</v>
      </c>
      <c r="F85" t="s">
        <v>1812</v>
      </c>
      <c r="G85" t="s">
        <v>1812</v>
      </c>
      <c r="H85">
        <v>0</v>
      </c>
      <c r="I85">
        <v>339.133816</v>
      </c>
      <c r="J85">
        <v>0</v>
      </c>
      <c r="K85" t="s">
        <v>1812</v>
      </c>
      <c r="L85">
        <v>1.84829603608089</v>
      </c>
      <c r="M85">
        <v>10.29</v>
      </c>
      <c r="N85">
        <v>2.85</v>
      </c>
    </row>
    <row r="86" spans="1:14">
      <c r="A86" s="1" t="s">
        <v>98</v>
      </c>
      <c r="B86">
        <f>HYPERLINK("https://www.suredividend.com/sure-analysis-research-database/","Alexander`s Inc.")</f>
        <v>0</v>
      </c>
      <c r="C86" t="s">
        <v>1814</v>
      </c>
      <c r="D86">
        <v>192.84</v>
      </c>
      <c r="E86">
        <v>0.09028107207995101</v>
      </c>
      <c r="F86">
        <v>0</v>
      </c>
      <c r="G86">
        <v>0</v>
      </c>
      <c r="H86">
        <v>17.40980193989791</v>
      </c>
      <c r="I86">
        <v>984.889804</v>
      </c>
      <c r="J86">
        <v>9.50124739385871</v>
      </c>
      <c r="K86">
        <v>0.8610188892135467</v>
      </c>
      <c r="L86">
        <v>0.6197034160117271</v>
      </c>
      <c r="M86">
        <v>244.51</v>
      </c>
      <c r="N86">
        <v>155.6</v>
      </c>
    </row>
    <row r="87" spans="1:14">
      <c r="A87" s="1" t="s">
        <v>99</v>
      </c>
      <c r="B87">
        <f>HYPERLINK("https://www.suredividend.com/sure-analysis-research-database/","Alx Oncology Holdings Inc")</f>
        <v>0</v>
      </c>
      <c r="C87" t="s">
        <v>1812</v>
      </c>
      <c r="D87">
        <v>5.65</v>
      </c>
      <c r="E87">
        <v>0</v>
      </c>
      <c r="F87" t="s">
        <v>1812</v>
      </c>
      <c r="G87" t="s">
        <v>1812</v>
      </c>
      <c r="H87">
        <v>0</v>
      </c>
      <c r="I87">
        <v>230.910613</v>
      </c>
      <c r="J87">
        <v>0</v>
      </c>
      <c r="K87" t="s">
        <v>1812</v>
      </c>
      <c r="L87">
        <v>1.311647260100418</v>
      </c>
      <c r="M87">
        <v>15.39</v>
      </c>
      <c r="N87">
        <v>4.23</v>
      </c>
    </row>
    <row r="88" spans="1:14">
      <c r="A88" s="1" t="s">
        <v>100</v>
      </c>
      <c r="B88">
        <f>HYPERLINK("https://www.suredividend.com/sure-analysis-research-database/","Amalgamated Financial Corp")</f>
        <v>0</v>
      </c>
      <c r="C88" t="s">
        <v>1815</v>
      </c>
      <c r="D88">
        <v>19.6</v>
      </c>
      <c r="E88">
        <v>0.020141455380932</v>
      </c>
      <c r="F88">
        <v>0</v>
      </c>
      <c r="G88">
        <v>0.1075663432482901</v>
      </c>
      <c r="H88">
        <v>0.3947725254662831</v>
      </c>
      <c r="I88">
        <v>599.992201</v>
      </c>
      <c r="J88">
        <v>0</v>
      </c>
      <c r="K88" t="s">
        <v>1812</v>
      </c>
      <c r="L88">
        <v>0.5734229006703271</v>
      </c>
      <c r="M88">
        <v>26.85</v>
      </c>
      <c r="N88">
        <v>14</v>
      </c>
    </row>
    <row r="89" spans="1:14">
      <c r="A89" s="1" t="s">
        <v>101</v>
      </c>
      <c r="B89">
        <f>HYPERLINK("https://www.suredividend.com/sure-analysis-research-database/","Ambarella Inc")</f>
        <v>0</v>
      </c>
      <c r="C89" t="s">
        <v>1818</v>
      </c>
      <c r="D89">
        <v>76.7</v>
      </c>
      <c r="E89">
        <v>0</v>
      </c>
      <c r="F89" t="s">
        <v>1812</v>
      </c>
      <c r="G89" t="s">
        <v>1812</v>
      </c>
      <c r="H89">
        <v>0</v>
      </c>
      <c r="I89">
        <v>2922.27</v>
      </c>
      <c r="J89" t="s">
        <v>1812</v>
      </c>
      <c r="K89">
        <v>-0</v>
      </c>
      <c r="L89">
        <v>1.9303117686814</v>
      </c>
      <c r="M89">
        <v>99.86</v>
      </c>
      <c r="N89">
        <v>49.02</v>
      </c>
    </row>
    <row r="90" spans="1:14">
      <c r="A90" s="1" t="s">
        <v>102</v>
      </c>
      <c r="B90">
        <f>HYPERLINK("https://www.suredividend.com/sure-analysis-research-database/","AMBAC Financial Group Inc.")</f>
        <v>0</v>
      </c>
      <c r="C90" t="s">
        <v>1815</v>
      </c>
      <c r="D90">
        <v>13.98</v>
      </c>
      <c r="E90">
        <v>0</v>
      </c>
      <c r="F90" t="s">
        <v>1812</v>
      </c>
      <c r="G90" t="s">
        <v>1812</v>
      </c>
      <c r="H90">
        <v>0</v>
      </c>
      <c r="I90">
        <v>633.599743</v>
      </c>
      <c r="J90">
        <v>1.293060699183673</v>
      </c>
      <c r="K90">
        <v>0</v>
      </c>
      <c r="L90">
        <v>0.655801855382376</v>
      </c>
      <c r="M90">
        <v>17.75</v>
      </c>
      <c r="N90">
        <v>11.15</v>
      </c>
    </row>
    <row r="91" spans="1:14">
      <c r="A91" s="1" t="s">
        <v>103</v>
      </c>
      <c r="B91">
        <f>HYPERLINK("https://www.suredividend.com/sure-analysis-research-database/","AMC Networks Inc")</f>
        <v>0</v>
      </c>
      <c r="C91" t="s">
        <v>1821</v>
      </c>
      <c r="D91">
        <v>12.28</v>
      </c>
      <c r="E91">
        <v>0</v>
      </c>
      <c r="F91" t="s">
        <v>1812</v>
      </c>
      <c r="G91" t="s">
        <v>1812</v>
      </c>
      <c r="H91">
        <v>0</v>
      </c>
      <c r="I91">
        <v>393.201413</v>
      </c>
      <c r="J91">
        <v>56.0435308608894</v>
      </c>
      <c r="K91">
        <v>0</v>
      </c>
      <c r="L91">
        <v>1.525310630947172</v>
      </c>
      <c r="M91">
        <v>31.7</v>
      </c>
      <c r="N91">
        <v>10.3</v>
      </c>
    </row>
    <row r="92" spans="1:14">
      <c r="A92" s="1" t="s">
        <v>104</v>
      </c>
      <c r="B92">
        <f>HYPERLINK("https://www.suredividend.com/sure-analysis-research-database/","Apollo Medical Holdings Inc")</f>
        <v>0</v>
      </c>
      <c r="C92" t="s">
        <v>1817</v>
      </c>
      <c r="D92">
        <v>36.08</v>
      </c>
      <c r="E92">
        <v>0</v>
      </c>
      <c r="F92" t="s">
        <v>1812</v>
      </c>
      <c r="G92" t="s">
        <v>1812</v>
      </c>
      <c r="H92">
        <v>0</v>
      </c>
      <c r="I92">
        <v>2076.303517</v>
      </c>
      <c r="J92">
        <v>42.02448068492318</v>
      </c>
      <c r="K92">
        <v>0</v>
      </c>
      <c r="L92">
        <v>1.157405791019462</v>
      </c>
      <c r="M92">
        <v>56.47</v>
      </c>
      <c r="N92">
        <v>26.89</v>
      </c>
    </row>
    <row r="93" spans="1:14">
      <c r="A93" s="1" t="s">
        <v>105</v>
      </c>
      <c r="B93">
        <f>HYPERLINK("https://www.suredividend.com/sure-analysis-research-database/","Assetmark Financial Holdings Inc")</f>
        <v>0</v>
      </c>
      <c r="C93" t="s">
        <v>1815</v>
      </c>
      <c r="D93">
        <v>29.31</v>
      </c>
      <c r="E93">
        <v>0</v>
      </c>
      <c r="F93" t="s">
        <v>1812</v>
      </c>
      <c r="G93" t="s">
        <v>1812</v>
      </c>
      <c r="H93">
        <v>0</v>
      </c>
      <c r="I93">
        <v>2166.718654</v>
      </c>
      <c r="J93">
        <v>0</v>
      </c>
      <c r="K93" t="s">
        <v>1812</v>
      </c>
      <c r="L93">
        <v>0.8482635587868851</v>
      </c>
      <c r="M93">
        <v>33</v>
      </c>
      <c r="N93">
        <v>16.89</v>
      </c>
    </row>
    <row r="94" spans="1:14">
      <c r="A94" s="1" t="s">
        <v>106</v>
      </c>
      <c r="B94">
        <f>HYPERLINK("https://www.suredividend.com/sure-analysis-research-database/","AMKOR Technology Inc.")</f>
        <v>0</v>
      </c>
      <c r="C94" t="s">
        <v>1818</v>
      </c>
      <c r="D94">
        <v>28.25</v>
      </c>
      <c r="E94">
        <v>0.009716621689794001</v>
      </c>
      <c r="F94" t="s">
        <v>1812</v>
      </c>
      <c r="G94" t="s">
        <v>1812</v>
      </c>
      <c r="H94">
        <v>0.274494562736696</v>
      </c>
      <c r="I94">
        <v>6939.349945</v>
      </c>
      <c r="J94">
        <v>11.9640045317481</v>
      </c>
      <c r="K94">
        <v>0.1168061969092324</v>
      </c>
      <c r="L94">
        <v>1.537440973171093</v>
      </c>
      <c r="M94">
        <v>31.29</v>
      </c>
      <c r="N94">
        <v>16.04</v>
      </c>
    </row>
    <row r="95" spans="1:14">
      <c r="A95" s="1" t="s">
        <v>107</v>
      </c>
      <c r="B95">
        <f>HYPERLINK("https://www.suredividend.com/sure-analysis-research-database/","Amylyx Pharmaceuticals Inc")</f>
        <v>0</v>
      </c>
      <c r="C95" t="s">
        <v>1812</v>
      </c>
      <c r="D95">
        <v>22.55</v>
      </c>
      <c r="E95">
        <v>0</v>
      </c>
      <c r="F95" t="s">
        <v>1812</v>
      </c>
      <c r="G95" t="s">
        <v>1812</v>
      </c>
      <c r="H95">
        <v>0</v>
      </c>
      <c r="I95">
        <v>1514.820311</v>
      </c>
      <c r="J95">
        <v>0</v>
      </c>
      <c r="K95" t="s">
        <v>1812</v>
      </c>
      <c r="L95">
        <v>1.07453751095969</v>
      </c>
      <c r="M95">
        <v>41.93</v>
      </c>
      <c r="N95">
        <v>15.8</v>
      </c>
    </row>
    <row r="96" spans="1:14">
      <c r="A96" s="1" t="s">
        <v>108</v>
      </c>
      <c r="B96">
        <f>HYPERLINK("https://www.suredividend.com/sure-analysis-research-database/","AMN Healthcare Services Inc.")</f>
        <v>0</v>
      </c>
      <c r="C96" t="s">
        <v>1817</v>
      </c>
      <c r="D96">
        <v>101.68</v>
      </c>
      <c r="E96">
        <v>0</v>
      </c>
      <c r="F96" t="s">
        <v>1812</v>
      </c>
      <c r="G96" t="s">
        <v>1812</v>
      </c>
      <c r="H96">
        <v>0</v>
      </c>
      <c r="I96">
        <v>4031.133291</v>
      </c>
      <c r="J96">
        <v>10.54850763717055</v>
      </c>
      <c r="K96">
        <v>0</v>
      </c>
      <c r="L96">
        <v>0.6925291355330641</v>
      </c>
      <c r="M96">
        <v>129.04</v>
      </c>
      <c r="N96">
        <v>81.15000000000001</v>
      </c>
    </row>
    <row r="97" spans="1:14">
      <c r="A97" s="1" t="s">
        <v>109</v>
      </c>
      <c r="B97">
        <f>HYPERLINK("https://www.suredividend.com/sure-analysis-research-database/","American National Bankshares Inc.")</f>
        <v>0</v>
      </c>
      <c r="C97" t="s">
        <v>1815</v>
      </c>
      <c r="D97">
        <v>42.54</v>
      </c>
      <c r="E97">
        <v>0.027126047149821</v>
      </c>
      <c r="F97">
        <v>0.0714285714285714</v>
      </c>
      <c r="G97">
        <v>0.03713728933664817</v>
      </c>
      <c r="H97">
        <v>1.153942045753394</v>
      </c>
      <c r="I97">
        <v>452.008132</v>
      </c>
      <c r="J97">
        <v>13.06910691898456</v>
      </c>
      <c r="K97">
        <v>0.3550590910010443</v>
      </c>
      <c r="L97">
        <v>0.707863481878591</v>
      </c>
      <c r="M97">
        <v>42.68</v>
      </c>
      <c r="N97">
        <v>24.72</v>
      </c>
    </row>
    <row r="98" spans="1:14">
      <c r="A98" s="1" t="s">
        <v>110</v>
      </c>
      <c r="B98">
        <f>HYPERLINK("https://www.suredividend.com/sure-analysis-research-database/","Allied Motion Technologies Inc")</f>
        <v>0</v>
      </c>
      <c r="C98" t="s">
        <v>1818</v>
      </c>
      <c r="D98">
        <v>32.97</v>
      </c>
      <c r="E98">
        <v>0.003179210615667</v>
      </c>
      <c r="F98">
        <v>0.2</v>
      </c>
      <c r="G98">
        <v>0</v>
      </c>
      <c r="H98">
        <v>0.104818573998555</v>
      </c>
      <c r="I98">
        <v>533.460205</v>
      </c>
      <c r="J98">
        <v>0</v>
      </c>
      <c r="K98" t="s">
        <v>1812</v>
      </c>
      <c r="L98">
        <v>1.309035513113695</v>
      </c>
      <c r="M98">
        <v>44.77</v>
      </c>
      <c r="N98">
        <v>25.06</v>
      </c>
    </row>
    <row r="99" spans="1:14">
      <c r="A99" s="1" t="s">
        <v>111</v>
      </c>
      <c r="B99">
        <f>HYPERLINK("https://www.suredividend.com/sure-analysis-research-database/","Amphastar Pharmaceuticals Inc")</f>
        <v>0</v>
      </c>
      <c r="C99" t="s">
        <v>1817</v>
      </c>
      <c r="D99">
        <v>63.08</v>
      </c>
      <c r="E99">
        <v>0</v>
      </c>
      <c r="F99" t="s">
        <v>1812</v>
      </c>
      <c r="G99" t="s">
        <v>1812</v>
      </c>
      <c r="H99">
        <v>0</v>
      </c>
      <c r="I99">
        <v>3045.126569</v>
      </c>
      <c r="J99">
        <v>32.68530638501583</v>
      </c>
      <c r="K99">
        <v>0</v>
      </c>
      <c r="L99">
        <v>0.510829139901128</v>
      </c>
      <c r="M99">
        <v>63.72</v>
      </c>
      <c r="N99">
        <v>26.76</v>
      </c>
    </row>
    <row r="100" spans="1:14">
      <c r="A100" s="1" t="s">
        <v>112</v>
      </c>
      <c r="B100">
        <f>HYPERLINK("https://www.suredividend.com/sure-analysis-research-database/","Amplitude Inc")</f>
        <v>0</v>
      </c>
      <c r="C100" t="s">
        <v>1812</v>
      </c>
      <c r="D100">
        <v>11.41</v>
      </c>
      <c r="E100">
        <v>0</v>
      </c>
      <c r="F100" t="s">
        <v>1812</v>
      </c>
      <c r="G100" t="s">
        <v>1812</v>
      </c>
      <c r="H100">
        <v>0</v>
      </c>
      <c r="I100">
        <v>911.194088</v>
      </c>
      <c r="J100">
        <v>0</v>
      </c>
      <c r="K100" t="s">
        <v>1812</v>
      </c>
      <c r="L100">
        <v>1.843652862701281</v>
      </c>
      <c r="M100">
        <v>19.24</v>
      </c>
      <c r="N100">
        <v>8.5</v>
      </c>
    </row>
    <row r="101" spans="1:14">
      <c r="A101" s="1" t="s">
        <v>113</v>
      </c>
      <c r="B101">
        <f>HYPERLINK("https://www.suredividend.com/sure-analysis-research-database/","Altus Power Inc")</f>
        <v>0</v>
      </c>
      <c r="C101" t="s">
        <v>1812</v>
      </c>
      <c r="D101">
        <v>6.28</v>
      </c>
      <c r="E101">
        <v>0</v>
      </c>
      <c r="F101" t="s">
        <v>1812</v>
      </c>
      <c r="G101" t="s">
        <v>1812</v>
      </c>
      <c r="H101">
        <v>0</v>
      </c>
      <c r="I101">
        <v>998.52</v>
      </c>
      <c r="J101">
        <v>0</v>
      </c>
      <c r="K101" t="s">
        <v>1812</v>
      </c>
      <c r="L101">
        <v>1.484400545029345</v>
      </c>
      <c r="M101">
        <v>14.72</v>
      </c>
      <c r="N101">
        <v>4.08</v>
      </c>
    </row>
    <row r="102" spans="1:14">
      <c r="A102" s="1" t="s">
        <v>114</v>
      </c>
      <c r="B102">
        <f>HYPERLINK("https://www.suredividend.com/sure-analysis-research-database/","Amplify Energy Corp.")</f>
        <v>0</v>
      </c>
      <c r="C102" t="s">
        <v>1822</v>
      </c>
      <c r="D102">
        <v>7.33</v>
      </c>
      <c r="E102">
        <v>0</v>
      </c>
      <c r="F102" t="s">
        <v>1812</v>
      </c>
      <c r="G102" t="s">
        <v>1812</v>
      </c>
      <c r="H102">
        <v>0</v>
      </c>
      <c r="I102">
        <v>285.660553</v>
      </c>
      <c r="J102">
        <v>0</v>
      </c>
      <c r="K102" t="s">
        <v>1812</v>
      </c>
      <c r="L102">
        <v>1.384249355517873</v>
      </c>
      <c r="M102">
        <v>10.38</v>
      </c>
      <c r="N102">
        <v>5.62</v>
      </c>
    </row>
    <row r="103" spans="1:14">
      <c r="A103" s="1" t="s">
        <v>115</v>
      </c>
      <c r="B103">
        <f>HYPERLINK("https://www.suredividend.com/sure-analysis-research-database/","Alpha Metallurgical Resources Inc")</f>
        <v>0</v>
      </c>
      <c r="C103" t="s">
        <v>1812</v>
      </c>
      <c r="D103">
        <v>166.43</v>
      </c>
      <c r="E103">
        <v>0.010399200858823</v>
      </c>
      <c r="F103" t="s">
        <v>1812</v>
      </c>
      <c r="G103" t="s">
        <v>1812</v>
      </c>
      <c r="H103">
        <v>1.73073899893395</v>
      </c>
      <c r="I103">
        <v>2408.867211</v>
      </c>
      <c r="J103">
        <v>0</v>
      </c>
      <c r="K103" t="s">
        <v>1812</v>
      </c>
      <c r="L103">
        <v>0.9196566571481171</v>
      </c>
      <c r="M103">
        <v>182.35</v>
      </c>
      <c r="N103">
        <v>112.31</v>
      </c>
    </row>
    <row r="104" spans="1:14">
      <c r="A104" s="1" t="s">
        <v>116</v>
      </c>
      <c r="B104">
        <f>HYPERLINK("https://www.suredividend.com/sure-analysis-research-database/","Ameresco Inc.")</f>
        <v>0</v>
      </c>
      <c r="C104" t="s">
        <v>1813</v>
      </c>
      <c r="D104">
        <v>52.02</v>
      </c>
      <c r="E104">
        <v>0</v>
      </c>
      <c r="F104" t="s">
        <v>1812</v>
      </c>
      <c r="G104" t="s">
        <v>1812</v>
      </c>
      <c r="H104">
        <v>0</v>
      </c>
      <c r="I104">
        <v>1779.123535</v>
      </c>
      <c r="J104">
        <v>0</v>
      </c>
      <c r="K104" t="s">
        <v>1812</v>
      </c>
      <c r="L104">
        <v>1.719987382507587</v>
      </c>
      <c r="M104">
        <v>76.54000000000001</v>
      </c>
      <c r="N104">
        <v>39.62</v>
      </c>
    </row>
    <row r="105" spans="1:14">
      <c r="A105" s="1" t="s">
        <v>117</v>
      </c>
      <c r="B105">
        <f>HYPERLINK("https://www.suredividend.com/sure-analysis-research-database/","A-Mark Precious Metals Inc")</f>
        <v>0</v>
      </c>
      <c r="C105" t="s">
        <v>1815</v>
      </c>
      <c r="D105">
        <v>38.86</v>
      </c>
      <c r="E105">
        <v>0.020292581455785</v>
      </c>
      <c r="F105" t="s">
        <v>1812</v>
      </c>
      <c r="G105" t="s">
        <v>1812</v>
      </c>
      <c r="H105">
        <v>0.7885697153718111</v>
      </c>
      <c r="I105">
        <v>903.907149</v>
      </c>
      <c r="J105">
        <v>0</v>
      </c>
      <c r="K105" t="s">
        <v>1812</v>
      </c>
      <c r="L105">
        <v>0.799656685137895</v>
      </c>
      <c r="M105">
        <v>42.11</v>
      </c>
      <c r="N105">
        <v>22.93</v>
      </c>
    </row>
    <row r="106" spans="1:14">
      <c r="A106" s="1" t="s">
        <v>118</v>
      </c>
      <c r="B106">
        <f>HYPERLINK("https://www.suredividend.com/sure-analysis-research-database/","Amyris Inc")</f>
        <v>0</v>
      </c>
      <c r="C106" t="s">
        <v>1823</v>
      </c>
      <c r="D106">
        <v>0.7868000000000001</v>
      </c>
      <c r="E106">
        <v>0</v>
      </c>
      <c r="F106" t="s">
        <v>1812</v>
      </c>
      <c r="G106" t="s">
        <v>1812</v>
      </c>
      <c r="H106">
        <v>0</v>
      </c>
      <c r="I106">
        <v>290.632601</v>
      </c>
      <c r="J106">
        <v>0</v>
      </c>
      <c r="K106" t="s">
        <v>1812</v>
      </c>
      <c r="L106">
        <v>2.759144879141751</v>
      </c>
      <c r="M106">
        <v>4.86</v>
      </c>
      <c r="N106">
        <v>0.5522</v>
      </c>
    </row>
    <row r="107" spans="1:14">
      <c r="A107" s="1" t="s">
        <v>119</v>
      </c>
      <c r="B107">
        <f>HYPERLINK("https://www.suredividend.com/sure-analysis-research-database/","Amneal Pharmaceuticals Inc")</f>
        <v>0</v>
      </c>
      <c r="C107" t="s">
        <v>1817</v>
      </c>
      <c r="D107">
        <v>3.36</v>
      </c>
      <c r="E107">
        <v>0</v>
      </c>
      <c r="F107" t="s">
        <v>1812</v>
      </c>
      <c r="G107" t="s">
        <v>1812</v>
      </c>
      <c r="H107">
        <v>0</v>
      </c>
      <c r="I107">
        <v>515.213237</v>
      </c>
      <c r="J107" t="s">
        <v>1812</v>
      </c>
      <c r="K107">
        <v>-0</v>
      </c>
      <c r="L107">
        <v>1.32433838227778</v>
      </c>
      <c r="M107">
        <v>3.61</v>
      </c>
      <c r="N107">
        <v>1.24</v>
      </c>
    </row>
    <row r="108" spans="1:14">
      <c r="A108" s="1" t="s">
        <v>120</v>
      </c>
      <c r="B108">
        <f>HYPERLINK("https://www.suredividend.com/sure-analysis-research-database/","Amerisafe Inc")</f>
        <v>0</v>
      </c>
      <c r="C108" t="s">
        <v>1815</v>
      </c>
      <c r="D108">
        <v>53.6</v>
      </c>
      <c r="E108">
        <v>0.023919571603241</v>
      </c>
      <c r="F108">
        <v>0.09677419354838723</v>
      </c>
      <c r="G108">
        <v>0.06342724238285391</v>
      </c>
      <c r="H108">
        <v>1.282089037933736</v>
      </c>
      <c r="I108">
        <v>1028.04875</v>
      </c>
      <c r="J108">
        <v>15.79062668612242</v>
      </c>
      <c r="K108">
        <v>0.3793162834123479</v>
      </c>
      <c r="L108">
        <v>0.555655078048325</v>
      </c>
      <c r="M108">
        <v>59.01</v>
      </c>
      <c r="N108">
        <v>43.85</v>
      </c>
    </row>
    <row r="109" spans="1:14">
      <c r="A109" s="1" t="s">
        <v>121</v>
      </c>
      <c r="B109">
        <f>HYPERLINK("https://www.suredividend.com/sure-analysis-research-database/","American Software Inc.")</f>
        <v>0</v>
      </c>
      <c r="C109" t="s">
        <v>1818</v>
      </c>
      <c r="D109">
        <v>11.55</v>
      </c>
      <c r="E109">
        <v>0.037645565866286</v>
      </c>
      <c r="F109">
        <v>0</v>
      </c>
      <c r="G109">
        <v>0</v>
      </c>
      <c r="H109">
        <v>0.43480628575561</v>
      </c>
      <c r="I109">
        <v>373.583168</v>
      </c>
      <c r="J109">
        <v>0</v>
      </c>
      <c r="K109" t="s">
        <v>1812</v>
      </c>
      <c r="L109">
        <v>0.879489101631003</v>
      </c>
      <c r="M109">
        <v>18.91</v>
      </c>
      <c r="N109">
        <v>10.11</v>
      </c>
    </row>
    <row r="110" spans="1:14">
      <c r="A110" s="1" t="s">
        <v>122</v>
      </c>
      <c r="B110">
        <f>HYPERLINK("https://www.suredividend.com/sure-analysis-research-database/","Amerant Bancorp Inc")</f>
        <v>0</v>
      </c>
      <c r="C110" t="s">
        <v>1815</v>
      </c>
      <c r="D110">
        <v>20.41</v>
      </c>
      <c r="E110">
        <v>0.017452146696213</v>
      </c>
      <c r="F110" t="s">
        <v>1812</v>
      </c>
      <c r="G110" t="s">
        <v>1812</v>
      </c>
      <c r="H110">
        <v>0.35619831406971</v>
      </c>
      <c r="I110">
        <v>687.745667</v>
      </c>
      <c r="J110">
        <v>0</v>
      </c>
      <c r="K110" t="s">
        <v>1812</v>
      </c>
      <c r="L110">
        <v>0.945920526548484</v>
      </c>
      <c r="M110">
        <v>30.56</v>
      </c>
      <c r="N110">
        <v>15.62</v>
      </c>
    </row>
    <row r="111" spans="1:14">
      <c r="A111" s="1" t="s">
        <v>123</v>
      </c>
      <c r="B111">
        <f>HYPERLINK("https://www.suredividend.com/sure-analysis-research-database/","Aemetis Inc")</f>
        <v>0</v>
      </c>
      <c r="C111" t="s">
        <v>1822</v>
      </c>
      <c r="D111">
        <v>7.53</v>
      </c>
      <c r="E111">
        <v>0</v>
      </c>
      <c r="F111" t="s">
        <v>1812</v>
      </c>
      <c r="G111" t="s">
        <v>1812</v>
      </c>
      <c r="H111">
        <v>0</v>
      </c>
      <c r="I111">
        <v>276.273629</v>
      </c>
      <c r="J111">
        <v>0</v>
      </c>
      <c r="K111" t="s">
        <v>1812</v>
      </c>
      <c r="L111">
        <v>2.646898613102912</v>
      </c>
      <c r="M111">
        <v>11.5</v>
      </c>
      <c r="N111">
        <v>1.16</v>
      </c>
    </row>
    <row r="112" spans="1:14">
      <c r="A112" s="1" t="s">
        <v>124</v>
      </c>
      <c r="B112">
        <f>HYPERLINK("https://www.suredividend.com/sure-analysis-research-database/","American Woodmark Corp.")</f>
        <v>0</v>
      </c>
      <c r="C112" t="s">
        <v>1816</v>
      </c>
      <c r="D112">
        <v>74.56</v>
      </c>
      <c r="E112">
        <v>0</v>
      </c>
      <c r="F112" t="s">
        <v>1812</v>
      </c>
      <c r="G112" t="s">
        <v>1812</v>
      </c>
      <c r="H112">
        <v>0</v>
      </c>
      <c r="I112">
        <v>1221.03773</v>
      </c>
      <c r="J112">
        <v>13.02815456440788</v>
      </c>
      <c r="K112">
        <v>0</v>
      </c>
      <c r="L112">
        <v>1.42611748801919</v>
      </c>
      <c r="M112">
        <v>78.22</v>
      </c>
      <c r="N112">
        <v>41.05</v>
      </c>
    </row>
    <row r="113" spans="1:14">
      <c r="A113" s="1" t="s">
        <v>125</v>
      </c>
      <c r="B113">
        <f>HYPERLINK("https://www.suredividend.com/sure-analysis-research-database/","American Well Corporation")</f>
        <v>0</v>
      </c>
      <c r="C113" t="s">
        <v>1812</v>
      </c>
      <c r="D113">
        <v>2.11</v>
      </c>
      <c r="E113">
        <v>0</v>
      </c>
      <c r="F113" t="s">
        <v>1812</v>
      </c>
      <c r="G113" t="s">
        <v>1812</v>
      </c>
      <c r="H113">
        <v>0</v>
      </c>
      <c r="I113">
        <v>531.145204</v>
      </c>
      <c r="J113">
        <v>0</v>
      </c>
      <c r="K113" t="s">
        <v>1812</v>
      </c>
      <c r="L113">
        <v>1.658157069325906</v>
      </c>
      <c r="M113">
        <v>5.43</v>
      </c>
      <c r="N113">
        <v>1.92</v>
      </c>
    </row>
    <row r="114" spans="1:14">
      <c r="A114" s="1" t="s">
        <v>126</v>
      </c>
      <c r="B114">
        <f>HYPERLINK("https://www.suredividend.com/sure-analysis-research-database/","AnaptysBio Inc")</f>
        <v>0</v>
      </c>
      <c r="C114" t="s">
        <v>1817</v>
      </c>
      <c r="D114">
        <v>19.11</v>
      </c>
      <c r="E114">
        <v>0</v>
      </c>
      <c r="F114" t="s">
        <v>1812</v>
      </c>
      <c r="G114" t="s">
        <v>1812</v>
      </c>
      <c r="H114">
        <v>0</v>
      </c>
      <c r="I114">
        <v>506.171156</v>
      </c>
      <c r="J114" t="s">
        <v>1812</v>
      </c>
      <c r="K114">
        <v>-0</v>
      </c>
      <c r="L114">
        <v>0.797679888324451</v>
      </c>
      <c r="M114">
        <v>32.44</v>
      </c>
      <c r="N114">
        <v>16.66</v>
      </c>
    </row>
    <row r="115" spans="1:14">
      <c r="A115" s="1" t="s">
        <v>127</v>
      </c>
      <c r="B115">
        <f>HYPERLINK("https://www.suredividend.com/sure-analysis-ANDE/","Andersons Inc.")</f>
        <v>0</v>
      </c>
      <c r="C115" t="s">
        <v>1819</v>
      </c>
      <c r="D115">
        <v>52.71</v>
      </c>
      <c r="E115">
        <v>0.01403908176816543</v>
      </c>
      <c r="F115">
        <v>0.0277777777777779</v>
      </c>
      <c r="G115">
        <v>0.02314587308046168</v>
      </c>
      <c r="H115">
        <v>0.7279957382413841</v>
      </c>
      <c r="I115">
        <v>1778.035542</v>
      </c>
      <c r="J115">
        <v>16.04334270475606</v>
      </c>
      <c r="K115">
        <v>0.2246900426670938</v>
      </c>
      <c r="L115">
        <v>0.885477822418074</v>
      </c>
      <c r="M115">
        <v>52.8</v>
      </c>
      <c r="N115">
        <v>29.29</v>
      </c>
    </row>
    <row r="116" spans="1:14">
      <c r="A116" s="1" t="s">
        <v>128</v>
      </c>
      <c r="B116">
        <f>HYPERLINK("https://www.suredividend.com/sure-analysis-research-database/","Abercrombie &amp; Fitch Co.")</f>
        <v>0</v>
      </c>
      <c r="C116" t="s">
        <v>1816</v>
      </c>
      <c r="D116">
        <v>39</v>
      </c>
      <c r="E116">
        <v>0</v>
      </c>
      <c r="F116" t="s">
        <v>1812</v>
      </c>
      <c r="G116" t="s">
        <v>1812</v>
      </c>
      <c r="H116">
        <v>0</v>
      </c>
      <c r="I116">
        <v>1952.534454</v>
      </c>
      <c r="J116">
        <v>54.45488771753681</v>
      </c>
      <c r="K116">
        <v>0</v>
      </c>
      <c r="L116">
        <v>1.355742403701091</v>
      </c>
      <c r="M116">
        <v>40.5</v>
      </c>
      <c r="N116">
        <v>14.02</v>
      </c>
    </row>
    <row r="117" spans="1:14">
      <c r="A117" s="1" t="s">
        <v>129</v>
      </c>
      <c r="B117">
        <f>HYPERLINK("https://www.suredividend.com/sure-analysis-research-database/","Angiodynamic Inc")</f>
        <v>0</v>
      </c>
      <c r="C117" t="s">
        <v>1817</v>
      </c>
      <c r="D117">
        <v>8.34</v>
      </c>
      <c r="E117">
        <v>0</v>
      </c>
      <c r="F117" t="s">
        <v>1812</v>
      </c>
      <c r="G117" t="s">
        <v>1812</v>
      </c>
      <c r="H117">
        <v>0</v>
      </c>
      <c r="I117">
        <v>327.231759</v>
      </c>
      <c r="J117" t="s">
        <v>1812</v>
      </c>
      <c r="K117">
        <v>-0</v>
      </c>
      <c r="L117">
        <v>0.8462838908255841</v>
      </c>
      <c r="M117">
        <v>24.74</v>
      </c>
      <c r="N117">
        <v>8.18</v>
      </c>
    </row>
    <row r="118" spans="1:14">
      <c r="A118" s="1" t="s">
        <v>130</v>
      </c>
      <c r="B118">
        <f>HYPERLINK("https://www.suredividend.com/sure-analysis-research-database/","Anika Therapeutics Inc.")</f>
        <v>0</v>
      </c>
      <c r="C118" t="s">
        <v>1817</v>
      </c>
      <c r="D118">
        <v>22.43</v>
      </c>
      <c r="E118">
        <v>0</v>
      </c>
      <c r="F118" t="s">
        <v>1812</v>
      </c>
      <c r="G118" t="s">
        <v>1812</v>
      </c>
      <c r="H118">
        <v>0</v>
      </c>
      <c r="I118">
        <v>331.002897</v>
      </c>
      <c r="J118" t="s">
        <v>1812</v>
      </c>
      <c r="K118">
        <v>-0</v>
      </c>
      <c r="L118">
        <v>0.842600430299512</v>
      </c>
      <c r="M118">
        <v>32.51</v>
      </c>
      <c r="N118">
        <v>21.44</v>
      </c>
    </row>
    <row r="119" spans="1:14">
      <c r="A119" s="1" t="s">
        <v>131</v>
      </c>
      <c r="B119">
        <f>HYPERLINK("https://www.suredividend.com/sure-analysis-research-database/","ANI Pharmaceuticals Inc")</f>
        <v>0</v>
      </c>
      <c r="C119" t="s">
        <v>1817</v>
      </c>
      <c r="D119">
        <v>52.18</v>
      </c>
      <c r="E119">
        <v>0</v>
      </c>
      <c r="F119" t="s">
        <v>1812</v>
      </c>
      <c r="G119" t="s">
        <v>1812</v>
      </c>
      <c r="H119">
        <v>0</v>
      </c>
      <c r="I119">
        <v>937.31915</v>
      </c>
      <c r="J119" t="s">
        <v>1812</v>
      </c>
      <c r="K119">
        <v>-0</v>
      </c>
      <c r="L119">
        <v>0.9738842804692491</v>
      </c>
      <c r="M119">
        <v>54.62</v>
      </c>
      <c r="N119">
        <v>30.53</v>
      </c>
    </row>
    <row r="120" spans="1:14">
      <c r="A120" s="1" t="s">
        <v>132</v>
      </c>
      <c r="B120">
        <f>HYPERLINK("https://www.suredividend.com/sure-analysis-research-database/","AN2 Therapeutics Inc")</f>
        <v>0</v>
      </c>
      <c r="C120" t="s">
        <v>1812</v>
      </c>
      <c r="D120">
        <v>8.050000000000001</v>
      </c>
      <c r="E120">
        <v>0</v>
      </c>
      <c r="F120" t="s">
        <v>1812</v>
      </c>
      <c r="G120" t="s">
        <v>1812</v>
      </c>
      <c r="H120">
        <v>0</v>
      </c>
      <c r="I120">
        <v>156.382939</v>
      </c>
      <c r="J120">
        <v>0</v>
      </c>
      <c r="K120" t="s">
        <v>1812</v>
      </c>
      <c r="L120">
        <v>0.9518107561040111</v>
      </c>
      <c r="M120">
        <v>22.49</v>
      </c>
      <c r="N120">
        <v>4.87</v>
      </c>
    </row>
    <row r="121" spans="1:14">
      <c r="A121" s="1" t="s">
        <v>133</v>
      </c>
      <c r="B121">
        <f>HYPERLINK("https://www.suredividend.com/sure-analysis-research-database/","Angel Oak Mortgage REIT Inc")</f>
        <v>0</v>
      </c>
      <c r="C121" t="s">
        <v>1812</v>
      </c>
      <c r="D121">
        <v>9.02</v>
      </c>
      <c r="E121">
        <v>0.146523002247325</v>
      </c>
      <c r="F121" t="s">
        <v>1812</v>
      </c>
      <c r="G121" t="s">
        <v>1812</v>
      </c>
      <c r="H121">
        <v>1.321637480270872</v>
      </c>
      <c r="I121">
        <v>224.411313</v>
      </c>
      <c r="J121">
        <v>0</v>
      </c>
      <c r="K121" t="s">
        <v>1812</v>
      </c>
      <c r="L121">
        <v>1.259181043484874</v>
      </c>
      <c r="M121">
        <v>13.51</v>
      </c>
      <c r="N121">
        <v>4.07</v>
      </c>
    </row>
    <row r="122" spans="1:14">
      <c r="A122" s="1" t="s">
        <v>134</v>
      </c>
      <c r="B122">
        <f>HYPERLINK("https://www.suredividend.com/sure-analysis-research-database/","Artivion Inc")</f>
        <v>0</v>
      </c>
      <c r="C122" t="s">
        <v>1812</v>
      </c>
      <c r="D122">
        <v>16.79</v>
      </c>
      <c r="E122">
        <v>0</v>
      </c>
      <c r="F122" t="s">
        <v>1812</v>
      </c>
      <c r="G122" t="s">
        <v>1812</v>
      </c>
      <c r="H122">
        <v>0</v>
      </c>
      <c r="I122">
        <v>686.711</v>
      </c>
      <c r="J122" t="s">
        <v>1812</v>
      </c>
      <c r="K122">
        <v>-0</v>
      </c>
      <c r="L122">
        <v>1.386843781398424</v>
      </c>
      <c r="M122">
        <v>23.43</v>
      </c>
      <c r="N122">
        <v>9.640000000000001</v>
      </c>
    </row>
    <row r="123" spans="1:14">
      <c r="A123" s="1" t="s">
        <v>135</v>
      </c>
      <c r="B123">
        <f>HYPERLINK("https://www.suredividend.com/sure-analysis-research-database/","Alpha &amp; Omega Semiconductor Ltd")</f>
        <v>0</v>
      </c>
      <c r="C123" t="s">
        <v>1818</v>
      </c>
      <c r="D123">
        <v>32.47</v>
      </c>
      <c r="E123">
        <v>0</v>
      </c>
      <c r="F123" t="s">
        <v>1812</v>
      </c>
      <c r="G123" t="s">
        <v>1812</v>
      </c>
      <c r="H123">
        <v>0</v>
      </c>
      <c r="I123">
        <v>892.56007</v>
      </c>
      <c r="J123">
        <v>31.25319757939704</v>
      </c>
      <c r="K123">
        <v>0</v>
      </c>
      <c r="L123">
        <v>1.824434449944223</v>
      </c>
      <c r="M123">
        <v>45.89</v>
      </c>
      <c r="N123">
        <v>20.64</v>
      </c>
    </row>
    <row r="124" spans="1:14">
      <c r="A124" s="1" t="s">
        <v>136</v>
      </c>
      <c r="B124">
        <f>HYPERLINK("https://www.suredividend.com/sure-analysis-APAM/","Artisan Partners Asset Management Inc")</f>
        <v>0</v>
      </c>
      <c r="C124" t="s">
        <v>1815</v>
      </c>
      <c r="D124">
        <v>38.3</v>
      </c>
      <c r="E124">
        <v>0.06370757180156658</v>
      </c>
      <c r="F124">
        <v>-0.1666666666666667</v>
      </c>
      <c r="G124">
        <v>-0.03580749599737276</v>
      </c>
      <c r="H124">
        <v>2.162990641989069</v>
      </c>
      <c r="I124">
        <v>2621.827879</v>
      </c>
      <c r="J124">
        <v>15.08939632006354</v>
      </c>
      <c r="K124">
        <v>0.7808630476494834</v>
      </c>
      <c r="L124">
        <v>1.27260483389559</v>
      </c>
      <c r="M124">
        <v>42.97</v>
      </c>
      <c r="N124">
        <v>24.61</v>
      </c>
    </row>
    <row r="125" spans="1:14">
      <c r="A125" s="1" t="s">
        <v>137</v>
      </c>
      <c r="B125">
        <f>HYPERLINK("https://www.suredividend.com/sure-analysis-research-database/","American Public Education Inc")</f>
        <v>0</v>
      </c>
      <c r="C125" t="s">
        <v>1819</v>
      </c>
      <c r="D125">
        <v>5.17</v>
      </c>
      <c r="E125">
        <v>0</v>
      </c>
      <c r="F125" t="s">
        <v>1812</v>
      </c>
      <c r="G125" t="s">
        <v>1812</v>
      </c>
      <c r="H125">
        <v>0</v>
      </c>
      <c r="I125">
        <v>91.605374</v>
      </c>
      <c r="J125" t="s">
        <v>1812</v>
      </c>
      <c r="K125">
        <v>-0</v>
      </c>
      <c r="L125">
        <v>0.638105542821507</v>
      </c>
      <c r="M125">
        <v>16.31</v>
      </c>
      <c r="N125">
        <v>3.76</v>
      </c>
    </row>
    <row r="126" spans="1:14">
      <c r="A126" s="1" t="s">
        <v>138</v>
      </c>
      <c r="B126">
        <f>HYPERLINK("https://www.suredividend.com/sure-analysis-research-database/","APi Group Corporation")</f>
        <v>0</v>
      </c>
      <c r="C126" t="s">
        <v>1812</v>
      </c>
      <c r="D126">
        <v>28.46</v>
      </c>
      <c r="E126">
        <v>0</v>
      </c>
      <c r="F126" t="s">
        <v>1812</v>
      </c>
      <c r="G126" t="s">
        <v>1812</v>
      </c>
      <c r="H126">
        <v>0</v>
      </c>
      <c r="I126">
        <v>6694.159134</v>
      </c>
      <c r="J126">
        <v>0</v>
      </c>
      <c r="K126" t="s">
        <v>1812</v>
      </c>
      <c r="L126">
        <v>1.292547494058691</v>
      </c>
      <c r="M126">
        <v>29.57</v>
      </c>
      <c r="N126">
        <v>13.09</v>
      </c>
    </row>
    <row r="127" spans="1:14">
      <c r="A127" s="1" t="s">
        <v>139</v>
      </c>
      <c r="B127">
        <f>HYPERLINK("https://www.suredividend.com/sure-analysis-research-database/","Applied Digital Corporation")</f>
        <v>0</v>
      </c>
      <c r="C127" t="s">
        <v>1813</v>
      </c>
      <c r="D127">
        <v>8.01</v>
      </c>
      <c r="E127">
        <v>0</v>
      </c>
      <c r="F127" t="s">
        <v>1812</v>
      </c>
      <c r="G127" t="s">
        <v>1812</v>
      </c>
      <c r="H127">
        <v>0</v>
      </c>
      <c r="I127">
        <v>832.63954</v>
      </c>
      <c r="J127">
        <v>0</v>
      </c>
      <c r="K127" t="s">
        <v>1812</v>
      </c>
      <c r="L127">
        <v>1.3884059430654</v>
      </c>
      <c r="M127">
        <v>11.62</v>
      </c>
      <c r="N127">
        <v>1.45</v>
      </c>
    </row>
    <row r="128" spans="1:14">
      <c r="A128" s="1" t="s">
        <v>140</v>
      </c>
      <c r="B128">
        <f>HYPERLINK("https://www.suredividend.com/sure-analysis-APLE/","Apple Hospitality REIT Inc")</f>
        <v>0</v>
      </c>
      <c r="C128" t="s">
        <v>1814</v>
      </c>
      <c r="D128">
        <v>14.71</v>
      </c>
      <c r="E128">
        <v>0.06526172671651936</v>
      </c>
      <c r="F128">
        <v>0</v>
      </c>
      <c r="G128">
        <v>0.5157165665103982</v>
      </c>
      <c r="H128">
        <v>0.9139888188418661</v>
      </c>
      <c r="I128">
        <v>3368.786364</v>
      </c>
      <c r="J128">
        <v>21.09103316798768</v>
      </c>
      <c r="K128">
        <v>1.310754078362062</v>
      </c>
      <c r="L128">
        <v>1.004185050421695</v>
      </c>
      <c r="M128">
        <v>17.65</v>
      </c>
      <c r="N128">
        <v>13.04</v>
      </c>
    </row>
    <row r="129" spans="1:14">
      <c r="A129" s="1" t="s">
        <v>141</v>
      </c>
      <c r="B129">
        <f>HYPERLINK("https://www.suredividend.com/sure-analysis-research-database/","Apellis Pharmaceuticals Inc")</f>
        <v>0</v>
      </c>
      <c r="C129" t="s">
        <v>1817</v>
      </c>
      <c r="D129">
        <v>23.86</v>
      </c>
      <c r="E129">
        <v>0</v>
      </c>
      <c r="F129" t="s">
        <v>1812</v>
      </c>
      <c r="G129" t="s">
        <v>1812</v>
      </c>
      <c r="H129">
        <v>0</v>
      </c>
      <c r="I129">
        <v>2809.211716</v>
      </c>
      <c r="J129">
        <v>0</v>
      </c>
      <c r="K129" t="s">
        <v>1812</v>
      </c>
      <c r="L129">
        <v>0.534465080130425</v>
      </c>
      <c r="M129">
        <v>94.75</v>
      </c>
      <c r="N129">
        <v>22.73</v>
      </c>
    </row>
    <row r="130" spans="1:14">
      <c r="A130" s="1" t="s">
        <v>142</v>
      </c>
      <c r="B130">
        <f>HYPERLINK("https://www.suredividend.com/sure-analysis-APOG/","Apogee Enterprises Inc.")</f>
        <v>0</v>
      </c>
      <c r="C130" t="s">
        <v>1813</v>
      </c>
      <c r="D130">
        <v>49.5</v>
      </c>
      <c r="E130">
        <v>0.01939393939393939</v>
      </c>
      <c r="F130">
        <v>0.09090909090909083</v>
      </c>
      <c r="G130">
        <v>0.087892885777757</v>
      </c>
      <c r="H130">
        <v>0.92636603727455</v>
      </c>
      <c r="I130">
        <v>1092.8412</v>
      </c>
      <c r="J130">
        <v>10.41277155270981</v>
      </c>
      <c r="K130">
        <v>0.1970991568669255</v>
      </c>
      <c r="L130">
        <v>1.082561398526277</v>
      </c>
      <c r="M130">
        <v>49.86</v>
      </c>
      <c r="N130">
        <v>35.94</v>
      </c>
    </row>
    <row r="131" spans="1:14">
      <c r="A131" s="1" t="s">
        <v>143</v>
      </c>
      <c r="B131">
        <f>HYPERLINK("https://www.suredividend.com/sure-analysis-research-database/","Appfolio Inc")</f>
        <v>0</v>
      </c>
      <c r="C131" t="s">
        <v>1818</v>
      </c>
      <c r="D131">
        <v>175.18</v>
      </c>
      <c r="E131">
        <v>0</v>
      </c>
      <c r="F131" t="s">
        <v>1812</v>
      </c>
      <c r="G131" t="s">
        <v>1812</v>
      </c>
      <c r="H131">
        <v>0</v>
      </c>
      <c r="I131">
        <v>3665.69055</v>
      </c>
      <c r="J131" t="s">
        <v>1812</v>
      </c>
      <c r="K131">
        <v>-0</v>
      </c>
      <c r="L131">
        <v>1.112437205661854</v>
      </c>
      <c r="M131">
        <v>195.9</v>
      </c>
      <c r="N131">
        <v>93.02</v>
      </c>
    </row>
    <row r="132" spans="1:14">
      <c r="A132" s="1" t="s">
        <v>144</v>
      </c>
      <c r="B132">
        <f>HYPERLINK("https://www.suredividend.com/sure-analysis-research-database/","AppHarvest Inc")</f>
        <v>0</v>
      </c>
      <c r="C132" t="s">
        <v>1812</v>
      </c>
      <c r="D132">
        <v>0.06660000000000001</v>
      </c>
      <c r="E132">
        <v>0</v>
      </c>
      <c r="F132" t="s">
        <v>1812</v>
      </c>
      <c r="G132" t="s">
        <v>1812</v>
      </c>
      <c r="H132">
        <v>0</v>
      </c>
      <c r="I132">
        <v>0</v>
      </c>
      <c r="J132">
        <v>0</v>
      </c>
      <c r="K132" t="s">
        <v>1812</v>
      </c>
    </row>
    <row r="133" spans="1:14">
      <c r="A133" s="1" t="s">
        <v>145</v>
      </c>
      <c r="B133">
        <f>HYPERLINK("https://www.suredividend.com/sure-analysis-research-database/","Appian Corp")</f>
        <v>0</v>
      </c>
      <c r="C133" t="s">
        <v>1818</v>
      </c>
      <c r="D133">
        <v>48.22</v>
      </c>
      <c r="E133">
        <v>0</v>
      </c>
      <c r="F133" t="s">
        <v>1812</v>
      </c>
      <c r="G133" t="s">
        <v>1812</v>
      </c>
      <c r="H133">
        <v>0</v>
      </c>
      <c r="I133">
        <v>2009.034608</v>
      </c>
      <c r="J133" t="s">
        <v>1812</v>
      </c>
      <c r="K133">
        <v>-0</v>
      </c>
      <c r="L133">
        <v>1.635536277522679</v>
      </c>
      <c r="M133">
        <v>57.47</v>
      </c>
      <c r="N133">
        <v>29.8</v>
      </c>
    </row>
    <row r="134" spans="1:14">
      <c r="A134" s="1" t="s">
        <v>146</v>
      </c>
      <c r="B134">
        <f>HYPERLINK("https://www.suredividend.com/sure-analysis-research-database/","Digital Turbine Inc")</f>
        <v>0</v>
      </c>
      <c r="C134" t="s">
        <v>1818</v>
      </c>
      <c r="D134">
        <v>10.24</v>
      </c>
      <c r="E134">
        <v>0</v>
      </c>
      <c r="F134" t="s">
        <v>1812</v>
      </c>
      <c r="G134" t="s">
        <v>1812</v>
      </c>
      <c r="H134">
        <v>0</v>
      </c>
      <c r="I134">
        <v>1026.960486</v>
      </c>
      <c r="J134">
        <v>61.59422337911594</v>
      </c>
      <c r="K134">
        <v>0</v>
      </c>
      <c r="L134">
        <v>3.383843137887822</v>
      </c>
      <c r="M134">
        <v>25</v>
      </c>
      <c r="N134">
        <v>7.72</v>
      </c>
    </row>
    <row r="135" spans="1:14">
      <c r="A135" s="1" t="s">
        <v>147</v>
      </c>
      <c r="B135">
        <f>HYPERLINK("https://www.suredividend.com/sure-analysis-research-database/","ArcBest Corp")</f>
        <v>0</v>
      </c>
      <c r="C135" t="s">
        <v>1813</v>
      </c>
      <c r="D135">
        <v>117.77</v>
      </c>
      <c r="E135">
        <v>0.004060013249313</v>
      </c>
      <c r="F135">
        <v>0</v>
      </c>
      <c r="G135">
        <v>0.08447177119769855</v>
      </c>
      <c r="H135">
        <v>0.478147760371623</v>
      </c>
      <c r="I135">
        <v>2826.48</v>
      </c>
      <c r="J135">
        <v>9.424018831500083</v>
      </c>
      <c r="K135">
        <v>0.04031600003133416</v>
      </c>
      <c r="L135">
        <v>1.391247425184635</v>
      </c>
      <c r="M135">
        <v>122.86</v>
      </c>
      <c r="N135">
        <v>67.73</v>
      </c>
    </row>
    <row r="136" spans="1:14">
      <c r="A136" s="1" t="s">
        <v>148</v>
      </c>
      <c r="B136">
        <f>HYPERLINK("https://www.suredividend.com/sure-analysis-research-database/","Arch Resources Inc")</f>
        <v>0</v>
      </c>
      <c r="C136" t="s">
        <v>1822</v>
      </c>
      <c r="D136">
        <v>129.39</v>
      </c>
      <c r="E136">
        <v>0.12784055824081</v>
      </c>
      <c r="F136" t="s">
        <v>1812</v>
      </c>
      <c r="G136" t="s">
        <v>1812</v>
      </c>
      <c r="H136">
        <v>16.54128983077847</v>
      </c>
      <c r="I136">
        <v>2345.491606</v>
      </c>
      <c r="J136">
        <v>2.530359684316137</v>
      </c>
      <c r="K136">
        <v>0.357494917457931</v>
      </c>
      <c r="L136">
        <v>0.787582981418218</v>
      </c>
      <c r="M136">
        <v>173.06</v>
      </c>
      <c r="N136">
        <v>102.42</v>
      </c>
    </row>
    <row r="137" spans="1:14">
      <c r="A137" s="1" t="s">
        <v>149</v>
      </c>
      <c r="B137">
        <f>HYPERLINK("https://www.suredividend.com/sure-analysis-research-database/","Arcturus Therapeutics Holdings Inc")</f>
        <v>0</v>
      </c>
      <c r="C137" t="s">
        <v>1817</v>
      </c>
      <c r="D137">
        <v>32.77</v>
      </c>
      <c r="E137">
        <v>0</v>
      </c>
      <c r="F137" t="s">
        <v>1812</v>
      </c>
      <c r="G137" t="s">
        <v>1812</v>
      </c>
      <c r="H137">
        <v>0</v>
      </c>
      <c r="I137">
        <v>870.467904</v>
      </c>
      <c r="J137">
        <v>0</v>
      </c>
      <c r="K137" t="s">
        <v>1812</v>
      </c>
      <c r="L137">
        <v>1.667618899413457</v>
      </c>
      <c r="M137">
        <v>37.75</v>
      </c>
      <c r="N137">
        <v>13.02</v>
      </c>
    </row>
    <row r="138" spans="1:14">
      <c r="A138" s="1" t="s">
        <v>150</v>
      </c>
      <c r="B138">
        <f>HYPERLINK("https://www.suredividend.com/sure-analysis-research-database/","Arena Group Holdings Inc (The)")</f>
        <v>0</v>
      </c>
      <c r="C138" t="s">
        <v>1812</v>
      </c>
      <c r="D138">
        <v>3.85</v>
      </c>
      <c r="E138">
        <v>0</v>
      </c>
      <c r="F138" t="s">
        <v>1812</v>
      </c>
      <c r="G138" t="s">
        <v>1812</v>
      </c>
      <c r="H138">
        <v>0</v>
      </c>
      <c r="I138">
        <v>84.696527</v>
      </c>
      <c r="J138">
        <v>0</v>
      </c>
      <c r="K138" t="s">
        <v>1812</v>
      </c>
      <c r="L138">
        <v>1.155024317690575</v>
      </c>
      <c r="M138">
        <v>16.5</v>
      </c>
      <c r="N138">
        <v>3.32</v>
      </c>
    </row>
    <row r="139" spans="1:14">
      <c r="A139" s="1" t="s">
        <v>151</v>
      </c>
      <c r="B139">
        <f>HYPERLINK("https://www.suredividend.com/sure-analysis-research-database/","Argo Group International Holdings Ltd")</f>
        <v>0</v>
      </c>
      <c r="C139" t="s">
        <v>1815</v>
      </c>
      <c r="D139">
        <v>29.75</v>
      </c>
      <c r="E139">
        <v>0.020717434411202</v>
      </c>
      <c r="F139" t="s">
        <v>1812</v>
      </c>
      <c r="G139" t="s">
        <v>1812</v>
      </c>
      <c r="H139">
        <v>0.616343673733271</v>
      </c>
      <c r="I139">
        <v>1046.291435</v>
      </c>
      <c r="J139" t="s">
        <v>1812</v>
      </c>
      <c r="K139" t="s">
        <v>1812</v>
      </c>
      <c r="L139">
        <v>0.490744509123427</v>
      </c>
      <c r="M139">
        <v>31.43</v>
      </c>
      <c r="N139">
        <v>18.78</v>
      </c>
    </row>
    <row r="140" spans="1:14">
      <c r="A140" s="1" t="s">
        <v>152</v>
      </c>
      <c r="B140">
        <f>HYPERLINK("https://www.suredividend.com/sure-analysis-ARI/","Apollo Commercial Real Estate Finance Inc")</f>
        <v>0</v>
      </c>
      <c r="C140" t="s">
        <v>1814</v>
      </c>
      <c r="D140">
        <v>10.47</v>
      </c>
      <c r="E140">
        <v>0.1337153772683858</v>
      </c>
      <c r="F140">
        <v>0</v>
      </c>
      <c r="G140">
        <v>-0.05319173028852708</v>
      </c>
      <c r="H140">
        <v>1.332086548414648</v>
      </c>
      <c r="I140">
        <v>1479.967303</v>
      </c>
      <c r="J140">
        <v>11.54826032936678</v>
      </c>
      <c r="K140">
        <v>1.681502838190669</v>
      </c>
      <c r="L140">
        <v>1.462636108880584</v>
      </c>
      <c r="M140">
        <v>12.2</v>
      </c>
      <c r="N140">
        <v>7.15</v>
      </c>
    </row>
    <row r="141" spans="1:14">
      <c r="A141" s="1" t="s">
        <v>153</v>
      </c>
      <c r="B141">
        <f>HYPERLINK("https://www.suredividend.com/sure-analysis-research-database/","Aris Water Solutions Inc")</f>
        <v>0</v>
      </c>
      <c r="C141" t="s">
        <v>1812</v>
      </c>
      <c r="D141">
        <v>11.01</v>
      </c>
      <c r="E141">
        <v>0.03224599572142101</v>
      </c>
      <c r="F141" t="s">
        <v>1812</v>
      </c>
      <c r="G141" t="s">
        <v>1812</v>
      </c>
      <c r="H141">
        <v>0.355028412892855</v>
      </c>
      <c r="I141">
        <v>331.11027</v>
      </c>
      <c r="J141">
        <v>0</v>
      </c>
      <c r="K141" t="s">
        <v>1812</v>
      </c>
      <c r="L141">
        <v>1.184065577781253</v>
      </c>
      <c r="M141">
        <v>18.51</v>
      </c>
      <c r="N141">
        <v>6.63</v>
      </c>
    </row>
    <row r="142" spans="1:14">
      <c r="A142" s="1" t="s">
        <v>154</v>
      </c>
      <c r="B142">
        <f>HYPERLINK("https://www.suredividend.com/sure-analysis-research-database/","ARKO Corp")</f>
        <v>0</v>
      </c>
      <c r="C142" t="s">
        <v>1812</v>
      </c>
      <c r="D142">
        <v>8.02</v>
      </c>
      <c r="E142">
        <v>0.013603469835073</v>
      </c>
      <c r="F142" t="s">
        <v>1812</v>
      </c>
      <c r="G142" t="s">
        <v>1812</v>
      </c>
      <c r="H142">
        <v>0.109099828077286</v>
      </c>
      <c r="I142">
        <v>964.846164</v>
      </c>
      <c r="J142">
        <v>0</v>
      </c>
      <c r="K142" t="s">
        <v>1812</v>
      </c>
      <c r="L142">
        <v>0.6900537657480891</v>
      </c>
      <c r="M142">
        <v>10.65</v>
      </c>
      <c r="N142">
        <v>6.64</v>
      </c>
    </row>
    <row r="143" spans="1:14">
      <c r="A143" s="1" t="s">
        <v>155</v>
      </c>
      <c r="B143">
        <f>HYPERLINK("https://www.suredividend.com/sure-analysis-research-database/","American Realty Investors Inc.")</f>
        <v>0</v>
      </c>
      <c r="C143" t="s">
        <v>1814</v>
      </c>
      <c r="D143">
        <v>19.19</v>
      </c>
      <c r="E143">
        <v>0</v>
      </c>
      <c r="F143" t="s">
        <v>1812</v>
      </c>
      <c r="G143" t="s">
        <v>1812</v>
      </c>
      <c r="H143">
        <v>0</v>
      </c>
      <c r="I143">
        <v>309.957705</v>
      </c>
      <c r="J143">
        <v>0.8491689478730891</v>
      </c>
      <c r="K143">
        <v>0</v>
      </c>
      <c r="L143">
        <v>0.450717656051313</v>
      </c>
      <c r="M143">
        <v>31.59</v>
      </c>
      <c r="N143">
        <v>13.35</v>
      </c>
    </row>
    <row r="144" spans="1:14">
      <c r="A144" s="1" t="s">
        <v>156</v>
      </c>
      <c r="B144">
        <f>HYPERLINK("https://www.suredividend.com/sure-analysis-research-database/","Arlo Technologies Inc")</f>
        <v>0</v>
      </c>
      <c r="C144" t="s">
        <v>1813</v>
      </c>
      <c r="D144">
        <v>11.34</v>
      </c>
      <c r="E144">
        <v>0</v>
      </c>
      <c r="F144" t="s">
        <v>1812</v>
      </c>
      <c r="G144" t="s">
        <v>1812</v>
      </c>
      <c r="H144">
        <v>0</v>
      </c>
      <c r="I144">
        <v>1041.487146</v>
      </c>
      <c r="J144" t="s">
        <v>1812</v>
      </c>
      <c r="K144">
        <v>-0</v>
      </c>
      <c r="L144">
        <v>1.531826746074728</v>
      </c>
      <c r="M144">
        <v>11.54</v>
      </c>
      <c r="N144">
        <v>2.93</v>
      </c>
    </row>
    <row r="145" spans="1:14">
      <c r="A145" s="1" t="s">
        <v>157</v>
      </c>
      <c r="B145">
        <f>HYPERLINK("https://www.suredividend.com/sure-analysis-research-database/","Arconic Corporation")</f>
        <v>0</v>
      </c>
      <c r="C145" t="s">
        <v>1813</v>
      </c>
      <c r="D145">
        <v>29.88</v>
      </c>
      <c r="E145">
        <v>0</v>
      </c>
      <c r="F145" t="s">
        <v>1812</v>
      </c>
      <c r="G145" t="s">
        <v>1812</v>
      </c>
      <c r="H145">
        <v>0</v>
      </c>
      <c r="I145">
        <v>2998.352344</v>
      </c>
      <c r="J145" t="s">
        <v>1812</v>
      </c>
      <c r="K145">
        <v>-0</v>
      </c>
      <c r="L145">
        <v>1.282479603318973</v>
      </c>
      <c r="M145">
        <v>29.91</v>
      </c>
      <c r="N145">
        <v>16.33</v>
      </c>
    </row>
    <row r="146" spans="1:14">
      <c r="A146" s="1" t="s">
        <v>158</v>
      </c>
      <c r="B146">
        <f>HYPERLINK("https://www.suredividend.com/sure-analysis-research-database/","Archrock Inc")</f>
        <v>0</v>
      </c>
      <c r="C146" t="s">
        <v>1822</v>
      </c>
      <c r="D146">
        <v>12.77</v>
      </c>
      <c r="E146">
        <v>0.045144979872986</v>
      </c>
      <c r="F146">
        <v>0.03448275862068972</v>
      </c>
      <c r="G146">
        <v>0.02589630491023409</v>
      </c>
      <c r="H146">
        <v>0.576501392978033</v>
      </c>
      <c r="I146">
        <v>2000.999262</v>
      </c>
      <c r="J146">
        <v>30.53189389270347</v>
      </c>
      <c r="K146">
        <v>1.35551703027988</v>
      </c>
      <c r="L146">
        <v>0.992735967349424</v>
      </c>
      <c r="M146">
        <v>13.07</v>
      </c>
      <c r="N146">
        <v>5.98</v>
      </c>
    </row>
    <row r="147" spans="1:14">
      <c r="A147" s="1" t="s">
        <v>159</v>
      </c>
      <c r="B147">
        <f>HYPERLINK("https://www.suredividend.com/sure-analysis-AROW/","Arrow Financial Corp.")</f>
        <v>0</v>
      </c>
      <c r="C147" t="s">
        <v>1815</v>
      </c>
      <c r="D147">
        <v>20.76</v>
      </c>
      <c r="E147">
        <v>0.05202312138728324</v>
      </c>
      <c r="F147">
        <v>0</v>
      </c>
      <c r="G147">
        <v>0.007576624052174186</v>
      </c>
      <c r="H147">
        <v>1.042174464728256</v>
      </c>
      <c r="I147">
        <v>343.641484</v>
      </c>
      <c r="J147">
        <v>7.672966643147412</v>
      </c>
      <c r="K147">
        <v>0.3859905424919466</v>
      </c>
      <c r="L147">
        <v>0.8104395096486151</v>
      </c>
      <c r="M147">
        <v>34.85</v>
      </c>
      <c r="N147">
        <v>17.13</v>
      </c>
    </row>
    <row r="148" spans="1:14">
      <c r="A148" s="1" t="s">
        <v>160</v>
      </c>
      <c r="B148">
        <f>HYPERLINK("https://www.suredividend.com/sure-analysis-research-database/","Arcutis Biotherapeutics Inc")</f>
        <v>0</v>
      </c>
      <c r="C148" t="s">
        <v>1817</v>
      </c>
      <c r="D148">
        <v>10.12</v>
      </c>
      <c r="E148">
        <v>0</v>
      </c>
      <c r="F148" t="s">
        <v>1812</v>
      </c>
      <c r="G148" t="s">
        <v>1812</v>
      </c>
      <c r="H148">
        <v>0</v>
      </c>
      <c r="I148">
        <v>621.593494</v>
      </c>
      <c r="J148">
        <v>0</v>
      </c>
      <c r="K148" t="s">
        <v>1812</v>
      </c>
      <c r="L148">
        <v>0.8389500854823221</v>
      </c>
      <c r="M148">
        <v>27.4</v>
      </c>
      <c r="N148">
        <v>7.25</v>
      </c>
    </row>
    <row r="149" spans="1:14">
      <c r="A149" s="1" t="s">
        <v>161</v>
      </c>
      <c r="B149">
        <f>HYPERLINK("https://www.suredividend.com/sure-analysis-ARR/","ARMOUR Residential REIT Inc")</f>
        <v>0</v>
      </c>
      <c r="C149" t="s">
        <v>1814</v>
      </c>
      <c r="D149">
        <v>5.02</v>
      </c>
      <c r="E149">
        <v>0.1912350597609562</v>
      </c>
      <c r="F149">
        <v>0</v>
      </c>
      <c r="G149">
        <v>-0.043647500209963</v>
      </c>
      <c r="H149">
        <v>1.00397832143452</v>
      </c>
      <c r="I149">
        <v>1146.112355</v>
      </c>
      <c r="J149" t="s">
        <v>1812</v>
      </c>
      <c r="K149" t="s">
        <v>1812</v>
      </c>
      <c r="L149">
        <v>0.9842528153613611</v>
      </c>
      <c r="M149">
        <v>6.52</v>
      </c>
      <c r="N149">
        <v>3.71</v>
      </c>
    </row>
    <row r="150" spans="1:14">
      <c r="A150" s="1" t="s">
        <v>162</v>
      </c>
      <c r="B150">
        <f>HYPERLINK("https://www.suredividend.com/sure-analysis-research-database/","Array Technologies Inc")</f>
        <v>0</v>
      </c>
      <c r="C150" t="s">
        <v>1812</v>
      </c>
      <c r="D150">
        <v>18.01</v>
      </c>
      <c r="E150">
        <v>0</v>
      </c>
      <c r="F150" t="s">
        <v>1812</v>
      </c>
      <c r="G150" t="s">
        <v>1812</v>
      </c>
      <c r="H150">
        <v>0</v>
      </c>
      <c r="I150">
        <v>2716.864619</v>
      </c>
      <c r="J150">
        <v>0</v>
      </c>
      <c r="K150" t="s">
        <v>1812</v>
      </c>
      <c r="L150">
        <v>1.568255587602393</v>
      </c>
      <c r="M150">
        <v>24.99</v>
      </c>
      <c r="N150">
        <v>13.86</v>
      </c>
    </row>
    <row r="151" spans="1:14">
      <c r="A151" s="1" t="s">
        <v>163</v>
      </c>
      <c r="B151">
        <f>HYPERLINK("https://www.suredividend.com/sure-analysis-ARTNA/","Artesian Resources Corp.")</f>
        <v>0</v>
      </c>
      <c r="C151" t="s">
        <v>1820</v>
      </c>
      <c r="D151">
        <v>45.1</v>
      </c>
      <c r="E151">
        <v>0.02527716186252771</v>
      </c>
      <c r="F151">
        <v>0.0406742396482227</v>
      </c>
      <c r="G151">
        <v>0.03226923748308841</v>
      </c>
      <c r="H151">
        <v>1.098458317049912</v>
      </c>
      <c r="I151">
        <v>420.506582</v>
      </c>
      <c r="J151">
        <v>24.41966214285715</v>
      </c>
      <c r="K151">
        <v>0.6068830480938741</v>
      </c>
      <c r="L151">
        <v>0.556090888861914</v>
      </c>
      <c r="M151">
        <v>62.07</v>
      </c>
      <c r="N151">
        <v>44.3</v>
      </c>
    </row>
    <row r="152" spans="1:14">
      <c r="A152" s="1" t="s">
        <v>164</v>
      </c>
      <c r="B152">
        <f>HYPERLINK("https://www.suredividend.com/sure-analysis-research-database/","Arvinas Inc")</f>
        <v>0</v>
      </c>
      <c r="C152" t="s">
        <v>1817</v>
      </c>
      <c r="D152">
        <v>23.72</v>
      </c>
      <c r="E152">
        <v>0</v>
      </c>
      <c r="F152" t="s">
        <v>1812</v>
      </c>
      <c r="G152" t="s">
        <v>1812</v>
      </c>
      <c r="H152">
        <v>0</v>
      </c>
      <c r="I152">
        <v>1266.608933</v>
      </c>
      <c r="J152">
        <v>0</v>
      </c>
      <c r="K152" t="s">
        <v>1812</v>
      </c>
      <c r="L152">
        <v>1.557948672159655</v>
      </c>
      <c r="M152">
        <v>58.58</v>
      </c>
      <c r="N152">
        <v>21.21</v>
      </c>
    </row>
    <row r="153" spans="1:14">
      <c r="A153" s="1" t="s">
        <v>165</v>
      </c>
      <c r="B153">
        <f>HYPERLINK("https://www.suredividend.com/sure-analysis-research-database/","Arrowhead Pharmaceuticals Inc.")</f>
        <v>0</v>
      </c>
      <c r="C153" t="s">
        <v>1817</v>
      </c>
      <c r="D153">
        <v>32.32</v>
      </c>
      <c r="E153">
        <v>0</v>
      </c>
      <c r="F153" t="s">
        <v>1812</v>
      </c>
      <c r="G153" t="s">
        <v>1812</v>
      </c>
      <c r="H153">
        <v>0</v>
      </c>
      <c r="I153">
        <v>3455.021607</v>
      </c>
      <c r="J153" t="s">
        <v>1812</v>
      </c>
      <c r="K153">
        <v>-0</v>
      </c>
      <c r="L153">
        <v>1.545084263475974</v>
      </c>
      <c r="M153">
        <v>48.48</v>
      </c>
      <c r="N153">
        <v>23.09</v>
      </c>
    </row>
    <row r="154" spans="1:14">
      <c r="A154" s="1" t="s">
        <v>166</v>
      </c>
      <c r="B154">
        <f>HYPERLINK("https://www.suredividend.com/sure-analysis-research-database/","Asana Inc")</f>
        <v>0</v>
      </c>
      <c r="C154" t="s">
        <v>1812</v>
      </c>
      <c r="D154">
        <v>22.06</v>
      </c>
      <c r="E154">
        <v>0</v>
      </c>
      <c r="F154" t="s">
        <v>1812</v>
      </c>
      <c r="G154" t="s">
        <v>1812</v>
      </c>
      <c r="H154">
        <v>0</v>
      </c>
      <c r="I154">
        <v>4693.796072</v>
      </c>
      <c r="J154" t="s">
        <v>1812</v>
      </c>
      <c r="K154">
        <v>-0</v>
      </c>
      <c r="L154">
        <v>2.395803275171712</v>
      </c>
      <c r="M154">
        <v>29.51</v>
      </c>
      <c r="N154">
        <v>11.32</v>
      </c>
    </row>
    <row r="155" spans="1:14">
      <c r="A155" s="1" t="s">
        <v>167</v>
      </c>
      <c r="B155">
        <f>HYPERLINK("https://www.suredividend.com/sure-analysis-ASB/","Associated Banc-Corp.")</f>
        <v>0</v>
      </c>
      <c r="C155" t="s">
        <v>1815</v>
      </c>
      <c r="D155">
        <v>18.72</v>
      </c>
      <c r="E155">
        <v>0.04487179487179487</v>
      </c>
      <c r="F155">
        <v>0.04999999999999982</v>
      </c>
      <c r="G155">
        <v>0.06961037572506878</v>
      </c>
      <c r="H155">
        <v>0.8162689703202031</v>
      </c>
      <c r="I155">
        <v>2825.242805</v>
      </c>
      <c r="J155">
        <v>7.399042017185253</v>
      </c>
      <c r="K155">
        <v>0.3226359566483016</v>
      </c>
      <c r="L155">
        <v>1.112988161581974</v>
      </c>
      <c r="M155">
        <v>24.72</v>
      </c>
      <c r="N155">
        <v>14.27</v>
      </c>
    </row>
    <row r="156" spans="1:14">
      <c r="A156" s="1" t="s">
        <v>168</v>
      </c>
      <c r="B156">
        <f>HYPERLINK("https://www.suredividend.com/sure-analysis-research-database/","Ardmore Shipping Corp")</f>
        <v>0</v>
      </c>
      <c r="C156" t="s">
        <v>1822</v>
      </c>
      <c r="D156">
        <v>13.84</v>
      </c>
      <c r="E156">
        <v>0.05780346691608401</v>
      </c>
      <c r="F156" t="s">
        <v>1812</v>
      </c>
      <c r="G156" t="s">
        <v>1812</v>
      </c>
      <c r="H156">
        <v>0.799999982118606</v>
      </c>
      <c r="I156">
        <v>590.276</v>
      </c>
      <c r="J156">
        <v>0</v>
      </c>
      <c r="K156" t="s">
        <v>1812</v>
      </c>
      <c r="L156">
        <v>0.639802861304785</v>
      </c>
      <c r="M156">
        <v>19.41</v>
      </c>
      <c r="N156">
        <v>7.85</v>
      </c>
    </row>
    <row r="157" spans="1:14">
      <c r="A157" s="1" t="s">
        <v>169</v>
      </c>
      <c r="B157">
        <f>HYPERLINK("https://www.suredividend.com/sure-analysis-research-database/","ASGN Inc")</f>
        <v>0</v>
      </c>
      <c r="C157" t="s">
        <v>1813</v>
      </c>
      <c r="D157">
        <v>79.89</v>
      </c>
      <c r="E157">
        <v>0</v>
      </c>
      <c r="F157" t="s">
        <v>1812</v>
      </c>
      <c r="G157" t="s">
        <v>1812</v>
      </c>
      <c r="H157">
        <v>0</v>
      </c>
      <c r="I157">
        <v>3938.577</v>
      </c>
      <c r="J157">
        <v>15.70405502392344</v>
      </c>
      <c r="K157">
        <v>0</v>
      </c>
      <c r="L157">
        <v>1.335199844083404</v>
      </c>
      <c r="M157">
        <v>106.88</v>
      </c>
      <c r="N157">
        <v>63.27</v>
      </c>
    </row>
    <row r="158" spans="1:14">
      <c r="A158" s="1" t="s">
        <v>170</v>
      </c>
      <c r="B158">
        <f>HYPERLINK("https://www.suredividend.com/sure-analysis-research-database/","AdvanSix Inc")</f>
        <v>0</v>
      </c>
      <c r="C158" t="s">
        <v>1823</v>
      </c>
      <c r="D158">
        <v>39.38</v>
      </c>
      <c r="E158">
        <v>0.014641355626305</v>
      </c>
      <c r="F158" t="s">
        <v>1812</v>
      </c>
      <c r="G158" t="s">
        <v>1812</v>
      </c>
      <c r="H158">
        <v>0.576576584563893</v>
      </c>
      <c r="I158">
        <v>1085.494499</v>
      </c>
      <c r="J158">
        <v>7.550373168529635</v>
      </c>
      <c r="K158">
        <v>0.1155464097322431</v>
      </c>
      <c r="L158">
        <v>1.305449347854325</v>
      </c>
      <c r="M158">
        <v>44.22</v>
      </c>
      <c r="N158">
        <v>30.34</v>
      </c>
    </row>
    <row r="159" spans="1:14">
      <c r="A159" s="1" t="s">
        <v>171</v>
      </c>
      <c r="B159">
        <f>HYPERLINK("https://www.suredividend.com/sure-analysis-research-database/","AerSale Corp")</f>
        <v>0</v>
      </c>
      <c r="C159" t="s">
        <v>1812</v>
      </c>
      <c r="D159">
        <v>14.1</v>
      </c>
      <c r="E159">
        <v>0</v>
      </c>
      <c r="F159" t="s">
        <v>1812</v>
      </c>
      <c r="G159" t="s">
        <v>1812</v>
      </c>
      <c r="H159">
        <v>0</v>
      </c>
      <c r="I159">
        <v>722.221543</v>
      </c>
      <c r="J159">
        <v>0</v>
      </c>
      <c r="K159" t="s">
        <v>1812</v>
      </c>
      <c r="L159">
        <v>0.9582066322818361</v>
      </c>
      <c r="M159">
        <v>21.76</v>
      </c>
      <c r="N159">
        <v>13.73</v>
      </c>
    </row>
    <row r="160" spans="1:14">
      <c r="A160" s="1" t="s">
        <v>172</v>
      </c>
      <c r="B160">
        <f>HYPERLINK("https://www.suredividend.com/sure-analysis-research-database/","Academy Sports and Outdoors Inc")</f>
        <v>0</v>
      </c>
      <c r="C160" t="s">
        <v>1812</v>
      </c>
      <c r="D160">
        <v>58.8</v>
      </c>
      <c r="E160">
        <v>0.005592706045267</v>
      </c>
      <c r="F160" t="s">
        <v>1812</v>
      </c>
      <c r="G160" t="s">
        <v>1812</v>
      </c>
      <c r="H160">
        <v>0.32885111546173</v>
      </c>
      <c r="I160">
        <v>4495.5697</v>
      </c>
      <c r="J160">
        <v>7.85712110947017</v>
      </c>
      <c r="K160">
        <v>0.04691171404589586</v>
      </c>
      <c r="L160">
        <v>1.158330383592865</v>
      </c>
      <c r="M160">
        <v>68.78</v>
      </c>
      <c r="N160">
        <v>40.41</v>
      </c>
    </row>
    <row r="161" spans="1:14">
      <c r="A161" s="1" t="s">
        <v>173</v>
      </c>
      <c r="B161">
        <f>HYPERLINK("https://www.suredividend.com/sure-analysis-research-database/","Aspen Aerogels Inc.")</f>
        <v>0</v>
      </c>
      <c r="C161" t="s">
        <v>1813</v>
      </c>
      <c r="D161">
        <v>7.47</v>
      </c>
      <c r="E161">
        <v>0</v>
      </c>
      <c r="F161" t="s">
        <v>1812</v>
      </c>
      <c r="G161" t="s">
        <v>1812</v>
      </c>
      <c r="H161">
        <v>0</v>
      </c>
      <c r="I161">
        <v>523.72731</v>
      </c>
      <c r="J161">
        <v>0</v>
      </c>
      <c r="K161" t="s">
        <v>1812</v>
      </c>
      <c r="L161">
        <v>2.213535527886037</v>
      </c>
      <c r="M161">
        <v>14.79</v>
      </c>
      <c r="N161">
        <v>5.41</v>
      </c>
    </row>
    <row r="162" spans="1:14">
      <c r="A162" s="1" t="s">
        <v>174</v>
      </c>
      <c r="B162">
        <f>HYPERLINK("https://www.suredividend.com/sure-analysis-research-database/","Astec Industries Inc.")</f>
        <v>0</v>
      </c>
      <c r="C162" t="s">
        <v>1813</v>
      </c>
      <c r="D162">
        <v>52.53</v>
      </c>
      <c r="E162">
        <v>0.009627571285889001</v>
      </c>
      <c r="F162">
        <v>0.08333333333333348</v>
      </c>
      <c r="G162">
        <v>0.03397522653195018</v>
      </c>
      <c r="H162">
        <v>0.505736319647769</v>
      </c>
      <c r="I162">
        <v>1193.263863</v>
      </c>
      <c r="J162">
        <v>151.0460586265823</v>
      </c>
      <c r="K162">
        <v>1.456613823870302</v>
      </c>
      <c r="L162">
        <v>1.257583267817288</v>
      </c>
      <c r="M162">
        <v>53.97</v>
      </c>
      <c r="N162">
        <v>30.57</v>
      </c>
    </row>
    <row r="163" spans="1:14">
      <c r="A163" s="1" t="s">
        <v>175</v>
      </c>
      <c r="B163">
        <f>HYPERLINK("https://www.suredividend.com/sure-analysis-research-database/","Astra Space Inc")</f>
        <v>0</v>
      </c>
      <c r="C163" t="s">
        <v>1812</v>
      </c>
      <c r="D163">
        <v>0.388</v>
      </c>
      <c r="E163">
        <v>0</v>
      </c>
      <c r="F163" t="s">
        <v>1812</v>
      </c>
      <c r="G163" t="s">
        <v>1812</v>
      </c>
      <c r="H163">
        <v>0</v>
      </c>
      <c r="I163">
        <v>83.53113999999999</v>
      </c>
      <c r="J163">
        <v>0</v>
      </c>
      <c r="K163" t="s">
        <v>1812</v>
      </c>
      <c r="L163">
        <v>2.04385890705744</v>
      </c>
      <c r="M163">
        <v>1.91</v>
      </c>
      <c r="N163">
        <v>0.3448</v>
      </c>
    </row>
    <row r="164" spans="1:14">
      <c r="A164" s="1" t="s">
        <v>176</v>
      </c>
      <c r="B164">
        <f>HYPERLINK("https://www.suredividend.com/sure-analysis-research-database/","Alphatec Holdings Inc")</f>
        <v>0</v>
      </c>
      <c r="C164" t="s">
        <v>1817</v>
      </c>
      <c r="D164">
        <v>16.88</v>
      </c>
      <c r="E164">
        <v>0</v>
      </c>
      <c r="F164" t="s">
        <v>1812</v>
      </c>
      <c r="G164" t="s">
        <v>1812</v>
      </c>
      <c r="H164">
        <v>0</v>
      </c>
      <c r="I164">
        <v>2000.221359</v>
      </c>
      <c r="J164" t="s">
        <v>1812</v>
      </c>
      <c r="K164">
        <v>-0</v>
      </c>
      <c r="L164">
        <v>1.359472521062022</v>
      </c>
      <c r="M164">
        <v>19.14</v>
      </c>
      <c r="N164">
        <v>7.12</v>
      </c>
    </row>
    <row r="165" spans="1:14">
      <c r="A165" s="1" t="s">
        <v>177</v>
      </c>
      <c r="B165">
        <f>HYPERLINK("https://www.suredividend.com/sure-analysis-research-database/","A10 Networks Inc")</f>
        <v>0</v>
      </c>
      <c r="C165" t="s">
        <v>1818</v>
      </c>
      <c r="D165">
        <v>15.57</v>
      </c>
      <c r="E165">
        <v>0.014686431686348</v>
      </c>
      <c r="F165" t="s">
        <v>1812</v>
      </c>
      <c r="G165" t="s">
        <v>1812</v>
      </c>
      <c r="H165">
        <v>0.228667741356445</v>
      </c>
      <c r="I165">
        <v>1152.18</v>
      </c>
      <c r="J165">
        <v>25.1969296039539</v>
      </c>
      <c r="K165">
        <v>0.3805420891270511</v>
      </c>
      <c r="L165">
        <v>0.8110767960144371</v>
      </c>
      <c r="M165">
        <v>19.56</v>
      </c>
      <c r="N165">
        <v>12.47</v>
      </c>
    </row>
    <row r="166" spans="1:14">
      <c r="A166" s="1" t="s">
        <v>178</v>
      </c>
      <c r="B166">
        <f>HYPERLINK("https://www.suredividend.com/sure-analysis-research-database/","Aterian Inc")</f>
        <v>0</v>
      </c>
      <c r="C166" t="s">
        <v>1812</v>
      </c>
      <c r="D166">
        <v>0.4529</v>
      </c>
      <c r="E166">
        <v>0</v>
      </c>
      <c r="F166" t="s">
        <v>1812</v>
      </c>
      <c r="G166" t="s">
        <v>1812</v>
      </c>
      <c r="H166">
        <v>0</v>
      </c>
      <c r="I166">
        <v>36.968189</v>
      </c>
      <c r="J166">
        <v>0</v>
      </c>
      <c r="K166" t="s">
        <v>1812</v>
      </c>
      <c r="L166">
        <v>1.925350063675551</v>
      </c>
      <c r="M166">
        <v>3.58</v>
      </c>
      <c r="N166">
        <v>0.35</v>
      </c>
    </row>
    <row r="167" spans="1:14">
      <c r="A167" s="1" t="s">
        <v>179</v>
      </c>
      <c r="B167">
        <f>HYPERLINK("https://www.suredividend.com/sure-analysis-research-database/","Anterix Inc")</f>
        <v>0</v>
      </c>
      <c r="C167" t="s">
        <v>1821</v>
      </c>
      <c r="D167">
        <v>29.06</v>
      </c>
      <c r="E167">
        <v>0</v>
      </c>
      <c r="F167" t="s">
        <v>1812</v>
      </c>
      <c r="G167" t="s">
        <v>1812</v>
      </c>
      <c r="H167">
        <v>0</v>
      </c>
      <c r="I167">
        <v>553.510441</v>
      </c>
      <c r="J167">
        <v>0</v>
      </c>
      <c r="K167" t="s">
        <v>1812</v>
      </c>
      <c r="L167">
        <v>0.6772367917276221</v>
      </c>
      <c r="M167">
        <v>49.61</v>
      </c>
      <c r="N167">
        <v>27.2</v>
      </c>
    </row>
    <row r="168" spans="1:14">
      <c r="A168" s="1" t="s">
        <v>180</v>
      </c>
      <c r="B168">
        <f>HYPERLINK("https://www.suredividend.com/sure-analysis-research-database/","Adtalem Global Education Inc")</f>
        <v>0</v>
      </c>
      <c r="C168" t="s">
        <v>1819</v>
      </c>
      <c r="D168">
        <v>44.41</v>
      </c>
      <c r="E168">
        <v>0</v>
      </c>
      <c r="F168" t="s">
        <v>1812</v>
      </c>
      <c r="G168" t="s">
        <v>1812</v>
      </c>
      <c r="H168">
        <v>0</v>
      </c>
      <c r="I168">
        <v>1936.686437</v>
      </c>
      <c r="J168">
        <v>24.14249039778606</v>
      </c>
      <c r="K168">
        <v>0</v>
      </c>
      <c r="L168">
        <v>0.595746483755467</v>
      </c>
      <c r="M168">
        <v>44.66</v>
      </c>
      <c r="N168">
        <v>33.59</v>
      </c>
    </row>
    <row r="169" spans="1:14">
      <c r="A169" s="1" t="s">
        <v>181</v>
      </c>
      <c r="B169">
        <f>HYPERLINK("https://www.suredividend.com/sure-analysis-research-database/","Athira Pharma Inc")</f>
        <v>0</v>
      </c>
      <c r="C169" t="s">
        <v>1812</v>
      </c>
      <c r="D169">
        <v>3.06</v>
      </c>
      <c r="E169">
        <v>0</v>
      </c>
      <c r="F169" t="s">
        <v>1812</v>
      </c>
      <c r="G169" t="s">
        <v>1812</v>
      </c>
      <c r="H169">
        <v>0</v>
      </c>
      <c r="I169">
        <v>116.128836</v>
      </c>
      <c r="J169">
        <v>0</v>
      </c>
      <c r="K169" t="s">
        <v>1812</v>
      </c>
      <c r="L169">
        <v>1.584030490655576</v>
      </c>
      <c r="M169">
        <v>4.41</v>
      </c>
      <c r="N169">
        <v>2.22</v>
      </c>
    </row>
    <row r="170" spans="1:14">
      <c r="A170" s="1" t="s">
        <v>182</v>
      </c>
      <c r="B170">
        <f>HYPERLINK("https://www.suredividend.com/sure-analysis-research-database/","ATI Inc")</f>
        <v>0</v>
      </c>
      <c r="C170" t="s">
        <v>1813</v>
      </c>
      <c r="D170">
        <v>44.16</v>
      </c>
      <c r="E170">
        <v>0</v>
      </c>
      <c r="F170" t="s">
        <v>1812</v>
      </c>
      <c r="G170" t="s">
        <v>1812</v>
      </c>
      <c r="H170">
        <v>0</v>
      </c>
      <c r="I170">
        <v>5676.669082</v>
      </c>
      <c r="J170">
        <v>33.37254016225749</v>
      </c>
      <c r="K170">
        <v>0</v>
      </c>
      <c r="L170">
        <v>1.252810639530141</v>
      </c>
      <c r="M170">
        <v>47.92</v>
      </c>
      <c r="N170">
        <v>25.39</v>
      </c>
    </row>
    <row r="171" spans="1:14">
      <c r="A171" s="1" t="s">
        <v>183</v>
      </c>
      <c r="B171">
        <f>HYPERLINK("https://www.suredividend.com/sure-analysis-research-database/","ATI Physical Therapy Inc")</f>
        <v>0</v>
      </c>
      <c r="C171" t="s">
        <v>1812</v>
      </c>
      <c r="D171">
        <v>7.1</v>
      </c>
      <c r="E171">
        <v>0</v>
      </c>
      <c r="F171" t="s">
        <v>1812</v>
      </c>
      <c r="G171" t="s">
        <v>1812</v>
      </c>
      <c r="H171">
        <v>0</v>
      </c>
      <c r="I171">
        <v>1480.318391</v>
      </c>
      <c r="J171">
        <v>0</v>
      </c>
      <c r="K171" t="s">
        <v>1812</v>
      </c>
      <c r="L171">
        <v>0.622755403077569</v>
      </c>
      <c r="M171">
        <v>62</v>
      </c>
      <c r="N171">
        <v>6</v>
      </c>
    </row>
    <row r="172" spans="1:14">
      <c r="A172" s="1" t="s">
        <v>184</v>
      </c>
      <c r="B172">
        <f>HYPERLINK("https://www.suredividend.com/sure-analysis-research-database/","Atkore Inc")</f>
        <v>0</v>
      </c>
      <c r="C172" t="s">
        <v>1813</v>
      </c>
      <c r="D172">
        <v>154.42</v>
      </c>
      <c r="E172">
        <v>0</v>
      </c>
      <c r="F172" t="s">
        <v>1812</v>
      </c>
      <c r="G172" t="s">
        <v>1812</v>
      </c>
      <c r="H172">
        <v>0</v>
      </c>
      <c r="I172">
        <v>5954.383778</v>
      </c>
      <c r="J172">
        <v>7.351708264570359</v>
      </c>
      <c r="K172">
        <v>0</v>
      </c>
      <c r="L172">
        <v>1.384539103367054</v>
      </c>
      <c r="M172">
        <v>164.76</v>
      </c>
      <c r="N172">
        <v>70.5</v>
      </c>
    </row>
    <row r="173" spans="1:14">
      <c r="A173" s="1" t="s">
        <v>185</v>
      </c>
      <c r="B173">
        <f>HYPERLINK("https://www.suredividend.com/sure-analysis-research-database/","Atlanticus Holdings Corp")</f>
        <v>0</v>
      </c>
      <c r="C173" t="s">
        <v>1815</v>
      </c>
      <c r="D173">
        <v>38.01</v>
      </c>
      <c r="E173">
        <v>0</v>
      </c>
      <c r="F173" t="s">
        <v>1812</v>
      </c>
      <c r="G173" t="s">
        <v>1812</v>
      </c>
      <c r="H173">
        <v>0</v>
      </c>
      <c r="I173">
        <v>549.783672</v>
      </c>
      <c r="J173">
        <v>5.995329129680923</v>
      </c>
      <c r="K173">
        <v>0</v>
      </c>
      <c r="L173">
        <v>1.757413609454106</v>
      </c>
      <c r="M173">
        <v>43.7</v>
      </c>
      <c r="N173">
        <v>21.65</v>
      </c>
    </row>
    <row r="174" spans="1:14">
      <c r="A174" s="1" t="s">
        <v>186</v>
      </c>
      <c r="B174">
        <f>HYPERLINK("https://www.suredividend.com/sure-analysis-research-database/","ATN International Inc")</f>
        <v>0</v>
      </c>
      <c r="C174" t="s">
        <v>1821</v>
      </c>
      <c r="D174">
        <v>37.68</v>
      </c>
      <c r="E174">
        <v>0.020978072377057</v>
      </c>
      <c r="F174">
        <v>0.2352941176470587</v>
      </c>
      <c r="G174">
        <v>0.04316756381013498</v>
      </c>
      <c r="H174">
        <v>0.790453767167529</v>
      </c>
      <c r="I174">
        <v>593.029544</v>
      </c>
      <c r="J174" t="s">
        <v>1812</v>
      </c>
      <c r="K174" t="s">
        <v>1812</v>
      </c>
      <c r="L174">
        <v>0.498720149648767</v>
      </c>
      <c r="M174">
        <v>49.43</v>
      </c>
      <c r="N174">
        <v>33.37</v>
      </c>
    </row>
    <row r="175" spans="1:14">
      <c r="A175" s="1" t="s">
        <v>187</v>
      </c>
      <c r="B175">
        <f>HYPERLINK("https://www.suredividend.com/sure-analysis-research-database/","Atomera Inc")</f>
        <v>0</v>
      </c>
      <c r="C175" t="s">
        <v>1818</v>
      </c>
      <c r="D175">
        <v>7.33</v>
      </c>
      <c r="E175">
        <v>0</v>
      </c>
      <c r="F175" t="s">
        <v>1812</v>
      </c>
      <c r="G175" t="s">
        <v>1812</v>
      </c>
      <c r="H175">
        <v>0</v>
      </c>
      <c r="I175">
        <v>189.069338</v>
      </c>
      <c r="J175">
        <v>0</v>
      </c>
      <c r="K175" t="s">
        <v>1812</v>
      </c>
      <c r="L175">
        <v>2.256837115138751</v>
      </c>
      <c r="M175">
        <v>15.1</v>
      </c>
      <c r="N175">
        <v>5.03</v>
      </c>
    </row>
    <row r="176" spans="1:14">
      <c r="A176" s="1" t="s">
        <v>188</v>
      </c>
      <c r="B176">
        <f>HYPERLINK("https://www.suredividend.com/sure-analysis-research-database/","Atara Biotherapeutics Inc")</f>
        <v>0</v>
      </c>
      <c r="C176" t="s">
        <v>1817</v>
      </c>
      <c r="D176">
        <v>2.31</v>
      </c>
      <c r="E176">
        <v>0</v>
      </c>
      <c r="F176" t="s">
        <v>1812</v>
      </c>
      <c r="G176" t="s">
        <v>1812</v>
      </c>
      <c r="H176">
        <v>0</v>
      </c>
      <c r="I176">
        <v>226.315888</v>
      </c>
      <c r="J176">
        <v>0</v>
      </c>
      <c r="K176" t="s">
        <v>1812</v>
      </c>
      <c r="L176">
        <v>2.624427016800455</v>
      </c>
      <c r="M176">
        <v>5.94</v>
      </c>
      <c r="N176">
        <v>1.45</v>
      </c>
    </row>
    <row r="177" spans="1:14">
      <c r="A177" s="1" t="s">
        <v>189</v>
      </c>
      <c r="B177">
        <f>HYPERLINK("https://www.suredividend.com/sure-analysis-research-database/","Atricure Inc")</f>
        <v>0</v>
      </c>
      <c r="C177" t="s">
        <v>1817</v>
      </c>
      <c r="D177">
        <v>56.86</v>
      </c>
      <c r="E177">
        <v>0</v>
      </c>
      <c r="F177" t="s">
        <v>1812</v>
      </c>
      <c r="G177" t="s">
        <v>1812</v>
      </c>
      <c r="H177">
        <v>0</v>
      </c>
      <c r="I177">
        <v>2692.315257</v>
      </c>
      <c r="J177">
        <v>0</v>
      </c>
      <c r="K177" t="s">
        <v>1812</v>
      </c>
      <c r="L177">
        <v>1.213404831499882</v>
      </c>
      <c r="M177">
        <v>59.61</v>
      </c>
      <c r="N177">
        <v>32.51</v>
      </c>
    </row>
    <row r="178" spans="1:14">
      <c r="A178" s="1" t="s">
        <v>190</v>
      </c>
      <c r="B178">
        <f>HYPERLINK("https://www.suredividend.com/sure-analysis-ATRI/","Atrion Corp.")</f>
        <v>0</v>
      </c>
      <c r="C178" t="s">
        <v>1817</v>
      </c>
      <c r="D178">
        <v>538.8099999999999</v>
      </c>
      <c r="E178">
        <v>0.01596109945992094</v>
      </c>
      <c r="F178">
        <v>0.1025641025641024</v>
      </c>
      <c r="G178">
        <v>0.09754146869121727</v>
      </c>
      <c r="H178">
        <v>8.529908893149337</v>
      </c>
      <c r="I178">
        <v>948.572311</v>
      </c>
      <c r="J178">
        <v>31.62540211208908</v>
      </c>
      <c r="K178">
        <v>0.5062260470711772</v>
      </c>
      <c r="L178">
        <v>0.598907470936026</v>
      </c>
      <c r="M178">
        <v>698.1</v>
      </c>
      <c r="N178">
        <v>496.36</v>
      </c>
    </row>
    <row r="179" spans="1:14">
      <c r="A179" s="1" t="s">
        <v>191</v>
      </c>
      <c r="B179">
        <f>HYPERLINK("https://www.suredividend.com/sure-analysis-research-database/","Astronics Corp.")</f>
        <v>0</v>
      </c>
      <c r="C179" t="s">
        <v>1813</v>
      </c>
      <c r="D179">
        <v>21.13</v>
      </c>
      <c r="E179">
        <v>0</v>
      </c>
      <c r="F179" t="s">
        <v>1812</v>
      </c>
      <c r="G179" t="s">
        <v>1812</v>
      </c>
      <c r="H179">
        <v>0</v>
      </c>
      <c r="I179">
        <v>557.77683</v>
      </c>
      <c r="J179" t="s">
        <v>1812</v>
      </c>
      <c r="K179">
        <v>-0</v>
      </c>
      <c r="L179">
        <v>1.479335038257932</v>
      </c>
      <c r="M179">
        <v>22.44</v>
      </c>
      <c r="N179">
        <v>7.46</v>
      </c>
    </row>
    <row r="180" spans="1:14">
      <c r="A180" s="1" t="s">
        <v>192</v>
      </c>
      <c r="B180">
        <f>HYPERLINK("https://www.suredividend.com/sure-analysis-research-database/","Air Transport Services Group Inc")</f>
        <v>0</v>
      </c>
      <c r="C180" t="s">
        <v>1813</v>
      </c>
      <c r="D180">
        <v>19.99</v>
      </c>
      <c r="E180">
        <v>0</v>
      </c>
      <c r="F180" t="s">
        <v>1812</v>
      </c>
      <c r="G180" t="s">
        <v>1812</v>
      </c>
      <c r="H180">
        <v>0</v>
      </c>
      <c r="I180">
        <v>1430.801162</v>
      </c>
      <c r="J180">
        <v>8.469987814427618</v>
      </c>
      <c r="K180">
        <v>0</v>
      </c>
      <c r="L180">
        <v>0.8004367007463551</v>
      </c>
      <c r="M180">
        <v>32.89</v>
      </c>
      <c r="N180">
        <v>14.39</v>
      </c>
    </row>
    <row r="181" spans="1:14">
      <c r="A181" s="1" t="s">
        <v>193</v>
      </c>
      <c r="B181">
        <f>HYPERLINK("https://www.suredividend.com/sure-analysis-research-database/","Atlantic Union Bankshares Corp")</f>
        <v>0</v>
      </c>
      <c r="C181" t="s">
        <v>1815</v>
      </c>
      <c r="D181">
        <v>32.4</v>
      </c>
      <c r="E181">
        <v>0.018410486516987</v>
      </c>
      <c r="F181">
        <v>0</v>
      </c>
      <c r="G181">
        <v>0.05457794330579446</v>
      </c>
      <c r="H181">
        <v>0.5964997631503991</v>
      </c>
      <c r="I181">
        <v>2429.82504</v>
      </c>
      <c r="J181">
        <v>11.3223132732229</v>
      </c>
      <c r="K181">
        <v>0.2078396387283621</v>
      </c>
      <c r="L181">
        <v>1.12363917158558</v>
      </c>
      <c r="M181">
        <v>40.56</v>
      </c>
      <c r="N181">
        <v>23.05</v>
      </c>
    </row>
    <row r="182" spans="1:14">
      <c r="A182" s="1" t="s">
        <v>194</v>
      </c>
      <c r="B182">
        <f>HYPERLINK("https://www.suredividend.com/sure-analysis-research-database/","Aurinia Pharmaceuticals Inc")</f>
        <v>0</v>
      </c>
      <c r="C182" t="s">
        <v>1817</v>
      </c>
      <c r="D182">
        <v>10.56</v>
      </c>
      <c r="E182">
        <v>0</v>
      </c>
      <c r="F182" t="s">
        <v>1812</v>
      </c>
      <c r="G182" t="s">
        <v>1812</v>
      </c>
      <c r="H182">
        <v>0</v>
      </c>
      <c r="I182">
        <v>1510.439135</v>
      </c>
      <c r="J182">
        <v>0</v>
      </c>
      <c r="K182" t="s">
        <v>1812</v>
      </c>
      <c r="L182">
        <v>1.133444852753654</v>
      </c>
      <c r="M182">
        <v>12.43</v>
      </c>
      <c r="N182">
        <v>4.07</v>
      </c>
    </row>
    <row r="183" spans="1:14">
      <c r="A183" s="1" t="s">
        <v>195</v>
      </c>
      <c r="B183">
        <f>HYPERLINK("https://www.suredividend.com/sure-analysis-research-database/","Aura Biosciences Inc")</f>
        <v>0</v>
      </c>
      <c r="C183" t="s">
        <v>1812</v>
      </c>
      <c r="D183">
        <v>11.16</v>
      </c>
      <c r="E183">
        <v>0</v>
      </c>
      <c r="F183" t="s">
        <v>1812</v>
      </c>
      <c r="G183" t="s">
        <v>1812</v>
      </c>
      <c r="H183">
        <v>0</v>
      </c>
      <c r="I183">
        <v>421.848</v>
      </c>
      <c r="J183">
        <v>0</v>
      </c>
      <c r="K183" t="s">
        <v>1812</v>
      </c>
      <c r="L183">
        <v>0.9710292385512921</v>
      </c>
      <c r="M183">
        <v>24.83</v>
      </c>
      <c r="N183">
        <v>8.130000000000001</v>
      </c>
    </row>
    <row r="184" spans="1:14">
      <c r="A184" s="1" t="s">
        <v>196</v>
      </c>
      <c r="B184">
        <f>HYPERLINK("https://www.suredividend.com/sure-analysis-AVA/","Avista Corp.")</f>
        <v>0</v>
      </c>
      <c r="C184" t="s">
        <v>1820</v>
      </c>
      <c r="D184">
        <v>37.75</v>
      </c>
      <c r="E184">
        <v>0.04874172185430464</v>
      </c>
      <c r="F184">
        <v>0.04545454545454541</v>
      </c>
      <c r="G184">
        <v>0.04310087790766515</v>
      </c>
      <c r="H184">
        <v>1.770381807125884</v>
      </c>
      <c r="I184">
        <v>2888.824262</v>
      </c>
      <c r="J184">
        <v>20.8645653601144</v>
      </c>
      <c r="K184">
        <v>0.9467282391047508</v>
      </c>
      <c r="L184">
        <v>0.647169802232702</v>
      </c>
      <c r="M184">
        <v>44.64</v>
      </c>
      <c r="N184">
        <v>34.52</v>
      </c>
    </row>
    <row r="185" spans="1:14">
      <c r="A185" s="1" t="s">
        <v>197</v>
      </c>
      <c r="B185">
        <f>HYPERLINK("https://www.suredividend.com/sure-analysis-research-database/","Aveanna Healthcare Holdings Inc")</f>
        <v>0</v>
      </c>
      <c r="C185" t="s">
        <v>1812</v>
      </c>
      <c r="D185">
        <v>1.82</v>
      </c>
      <c r="E185">
        <v>0</v>
      </c>
      <c r="F185" t="s">
        <v>1812</v>
      </c>
      <c r="G185" t="s">
        <v>1812</v>
      </c>
      <c r="H185">
        <v>0</v>
      </c>
      <c r="I185">
        <v>343.72368</v>
      </c>
      <c r="J185">
        <v>0</v>
      </c>
      <c r="K185" t="s">
        <v>1812</v>
      </c>
      <c r="L185">
        <v>1.217498379331204</v>
      </c>
      <c r="M185">
        <v>2.45</v>
      </c>
      <c r="N185">
        <v>0.6664</v>
      </c>
    </row>
    <row r="186" spans="1:14">
      <c r="A186" s="1" t="s">
        <v>198</v>
      </c>
      <c r="B186">
        <f>HYPERLINK("https://www.suredividend.com/sure-analysis-research-database/","AeroVironment Inc.")</f>
        <v>0</v>
      </c>
      <c r="C186" t="s">
        <v>1813</v>
      </c>
      <c r="D186">
        <v>95.76000000000001</v>
      </c>
      <c r="E186">
        <v>0</v>
      </c>
      <c r="F186" t="s">
        <v>1812</v>
      </c>
      <c r="G186" t="s">
        <v>1812</v>
      </c>
      <c r="H186">
        <v>0</v>
      </c>
      <c r="I186">
        <v>2510.31747</v>
      </c>
      <c r="J186" t="s">
        <v>1812</v>
      </c>
      <c r="K186">
        <v>-0</v>
      </c>
      <c r="L186">
        <v>1.208946206154941</v>
      </c>
      <c r="M186">
        <v>112.39</v>
      </c>
      <c r="N186">
        <v>74.91</v>
      </c>
    </row>
    <row r="187" spans="1:14">
      <c r="A187" s="1" t="s">
        <v>199</v>
      </c>
      <c r="B187">
        <f>HYPERLINK("https://www.suredividend.com/sure-analysis-research-database/","American Vanguard Corp.")</f>
        <v>0</v>
      </c>
      <c r="C187" t="s">
        <v>1823</v>
      </c>
      <c r="D187">
        <v>17.78</v>
      </c>
      <c r="E187">
        <v>0.006453559153987</v>
      </c>
      <c r="F187" t="s">
        <v>1812</v>
      </c>
      <c r="G187" t="s">
        <v>1812</v>
      </c>
      <c r="H187">
        <v>0.114744281757897</v>
      </c>
      <c r="I187">
        <v>523.001118</v>
      </c>
      <c r="J187">
        <v>26.97689782225202</v>
      </c>
      <c r="K187">
        <v>0.1749150636553308</v>
      </c>
      <c r="L187">
        <v>0.7790100632487381</v>
      </c>
      <c r="M187">
        <v>24.24</v>
      </c>
      <c r="N187">
        <v>14.98</v>
      </c>
    </row>
    <row r="188" spans="1:14">
      <c r="A188" s="1" t="s">
        <v>200</v>
      </c>
      <c r="B188">
        <f>HYPERLINK("https://www.suredividend.com/sure-analysis-research-database/","AvidXchange Holdings Inc")</f>
        <v>0</v>
      </c>
      <c r="C188" t="s">
        <v>1817</v>
      </c>
      <c r="D188">
        <v>10.74</v>
      </c>
      <c r="E188">
        <v>0</v>
      </c>
      <c r="F188" t="s">
        <v>1812</v>
      </c>
      <c r="G188" t="s">
        <v>1812</v>
      </c>
      <c r="H188">
        <v>0</v>
      </c>
      <c r="I188">
        <v>2161.418223</v>
      </c>
      <c r="J188">
        <v>0</v>
      </c>
      <c r="K188" t="s">
        <v>1812</v>
      </c>
      <c r="L188">
        <v>1.420446300043432</v>
      </c>
      <c r="M188">
        <v>12.75</v>
      </c>
      <c r="N188">
        <v>7.02</v>
      </c>
    </row>
    <row r="189" spans="1:14">
      <c r="A189" s="1" t="s">
        <v>201</v>
      </c>
      <c r="B189">
        <f>HYPERLINK("https://www.suredividend.com/sure-analysis-research-database/","Avid Technology, Inc.")</f>
        <v>0</v>
      </c>
      <c r="C189" t="s">
        <v>1821</v>
      </c>
      <c r="D189">
        <v>27.32</v>
      </c>
      <c r="E189">
        <v>0</v>
      </c>
      <c r="F189" t="s">
        <v>1812</v>
      </c>
      <c r="G189" t="s">
        <v>1812</v>
      </c>
      <c r="H189">
        <v>0</v>
      </c>
      <c r="I189">
        <v>1199.564484</v>
      </c>
      <c r="J189">
        <v>27.09410678231016</v>
      </c>
      <c r="K189">
        <v>0</v>
      </c>
      <c r="L189">
        <v>1.296098018113316</v>
      </c>
      <c r="M189">
        <v>33.41</v>
      </c>
      <c r="N189">
        <v>19.78</v>
      </c>
    </row>
    <row r="190" spans="1:14">
      <c r="A190" s="1" t="s">
        <v>202</v>
      </c>
      <c r="B190">
        <f>HYPERLINK("https://www.suredividend.com/sure-analysis-research-database/","Atea Pharmaceuticals Inc")</f>
        <v>0</v>
      </c>
      <c r="C190" t="s">
        <v>1812</v>
      </c>
      <c r="D190">
        <v>3.46</v>
      </c>
      <c r="E190">
        <v>0</v>
      </c>
      <c r="F190" t="s">
        <v>1812</v>
      </c>
      <c r="G190" t="s">
        <v>1812</v>
      </c>
      <c r="H190">
        <v>0</v>
      </c>
      <c r="I190">
        <v>288.561844</v>
      </c>
      <c r="J190">
        <v>0</v>
      </c>
      <c r="K190" t="s">
        <v>1812</v>
      </c>
      <c r="L190">
        <v>1.115501674644867</v>
      </c>
      <c r="M190">
        <v>9.789999999999999</v>
      </c>
      <c r="N190">
        <v>2.94</v>
      </c>
    </row>
    <row r="191" spans="1:14">
      <c r="A191" s="1" t="s">
        <v>203</v>
      </c>
      <c r="B191">
        <f>HYPERLINK("https://www.suredividend.com/sure-analysis-research-database/","Avanos Medical Inc")</f>
        <v>0</v>
      </c>
      <c r="C191" t="s">
        <v>1817</v>
      </c>
      <c r="D191">
        <v>23.9</v>
      </c>
      <c r="E191">
        <v>0</v>
      </c>
      <c r="F191" t="s">
        <v>1812</v>
      </c>
      <c r="G191" t="s">
        <v>1812</v>
      </c>
      <c r="H191">
        <v>0</v>
      </c>
      <c r="I191">
        <v>1115.336807</v>
      </c>
      <c r="J191">
        <v>25.23386440723982</v>
      </c>
      <c r="K191">
        <v>0</v>
      </c>
      <c r="L191">
        <v>1.06094805593832</v>
      </c>
      <c r="M191">
        <v>31.99</v>
      </c>
      <c r="N191">
        <v>19.32</v>
      </c>
    </row>
    <row r="192" spans="1:14">
      <c r="A192" s="1" t="s">
        <v>204</v>
      </c>
      <c r="B192">
        <f>HYPERLINK("https://www.suredividend.com/sure-analysis-AVNT/","Avient Corp")</f>
        <v>0</v>
      </c>
      <c r="C192" t="s">
        <v>1812</v>
      </c>
      <c r="D192">
        <v>39.26</v>
      </c>
      <c r="E192">
        <v>0.02521650534895568</v>
      </c>
      <c r="F192">
        <v>0.04210526315789487</v>
      </c>
      <c r="G192">
        <v>0.07178439849804441</v>
      </c>
      <c r="H192">
        <v>0.970779830203308</v>
      </c>
      <c r="I192">
        <v>3575.826555</v>
      </c>
      <c r="J192">
        <v>6.205877394238112</v>
      </c>
      <c r="K192">
        <v>0.1550766501922217</v>
      </c>
      <c r="L192">
        <v>1.702594985403626</v>
      </c>
      <c r="M192">
        <v>48.46</v>
      </c>
      <c r="N192">
        <v>27.11</v>
      </c>
    </row>
    <row r="193" spans="1:14">
      <c r="A193" s="1" t="s">
        <v>205</v>
      </c>
      <c r="B193">
        <f>HYPERLINK("https://www.suredividend.com/sure-analysis-research-database/","Aviat Networks Inc")</f>
        <v>0</v>
      </c>
      <c r="C193" t="s">
        <v>1818</v>
      </c>
      <c r="D193">
        <v>30.22</v>
      </c>
      <c r="E193">
        <v>0</v>
      </c>
      <c r="F193" t="s">
        <v>1812</v>
      </c>
      <c r="G193" t="s">
        <v>1812</v>
      </c>
      <c r="H193">
        <v>0</v>
      </c>
      <c r="I193">
        <v>345.737622</v>
      </c>
      <c r="J193">
        <v>27.17635761515485</v>
      </c>
      <c r="K193">
        <v>0</v>
      </c>
      <c r="L193">
        <v>1.083286944158567</v>
      </c>
      <c r="M193">
        <v>39.8</v>
      </c>
      <c r="N193">
        <v>21.15</v>
      </c>
    </row>
    <row r="194" spans="1:14">
      <c r="A194" s="1" t="s">
        <v>206</v>
      </c>
      <c r="B194">
        <f>HYPERLINK("https://www.suredividend.com/sure-analysis-research-database/","Mission Produce Inc")</f>
        <v>0</v>
      </c>
      <c r="C194" t="s">
        <v>1812</v>
      </c>
      <c r="D194">
        <v>11.46</v>
      </c>
      <c r="E194">
        <v>0</v>
      </c>
      <c r="F194" t="s">
        <v>1812</v>
      </c>
      <c r="G194" t="s">
        <v>1812</v>
      </c>
      <c r="H194">
        <v>0</v>
      </c>
      <c r="I194">
        <v>811.2534000000001</v>
      </c>
      <c r="J194">
        <v>0</v>
      </c>
      <c r="K194" t="s">
        <v>1812</v>
      </c>
      <c r="L194">
        <v>0.5225465456278441</v>
      </c>
      <c r="M194">
        <v>16.96</v>
      </c>
      <c r="N194">
        <v>9.81</v>
      </c>
    </row>
    <row r="195" spans="1:14">
      <c r="A195" s="1" t="s">
        <v>207</v>
      </c>
      <c r="B195">
        <f>HYPERLINK("https://www.suredividend.com/sure-analysis-research-database/","AvePoint Inc")</f>
        <v>0</v>
      </c>
      <c r="C195" t="s">
        <v>1812</v>
      </c>
      <c r="D195">
        <v>6.07</v>
      </c>
      <c r="E195">
        <v>0</v>
      </c>
      <c r="F195" t="s">
        <v>1812</v>
      </c>
      <c r="G195" t="s">
        <v>1812</v>
      </c>
      <c r="H195">
        <v>0</v>
      </c>
      <c r="I195">
        <v>1170.374522</v>
      </c>
      <c r="J195">
        <v>0</v>
      </c>
      <c r="K195" t="s">
        <v>1812</v>
      </c>
      <c r="L195">
        <v>1.179591098167399</v>
      </c>
      <c r="M195">
        <v>6.93</v>
      </c>
      <c r="N195">
        <v>3.4</v>
      </c>
    </row>
    <row r="196" spans="1:14">
      <c r="A196" s="1" t="s">
        <v>208</v>
      </c>
      <c r="B196">
        <f>HYPERLINK("https://www.suredividend.com/sure-analysis-research-database/","Avantax Inc")</f>
        <v>0</v>
      </c>
      <c r="C196" t="s">
        <v>1812</v>
      </c>
      <c r="D196">
        <v>24.91</v>
      </c>
      <c r="E196">
        <v>0</v>
      </c>
      <c r="F196" t="s">
        <v>1812</v>
      </c>
      <c r="G196" t="s">
        <v>1812</v>
      </c>
      <c r="H196">
        <v>0</v>
      </c>
      <c r="I196">
        <v>961.229322</v>
      </c>
      <c r="J196">
        <v>2.48187276504002</v>
      </c>
      <c r="K196">
        <v>0</v>
      </c>
      <c r="L196">
        <v>0.9492673703324771</v>
      </c>
      <c r="M196">
        <v>30.23</v>
      </c>
      <c r="N196">
        <v>17.94</v>
      </c>
    </row>
    <row r="197" spans="1:14">
      <c r="A197" s="1" t="s">
        <v>209</v>
      </c>
      <c r="B197">
        <f>HYPERLINK("https://www.suredividend.com/sure-analysis-research-database/","Aerovate Therapeutics Inc")</f>
        <v>0</v>
      </c>
      <c r="C197" t="s">
        <v>1812</v>
      </c>
      <c r="D197">
        <v>16.49</v>
      </c>
      <c r="E197">
        <v>0</v>
      </c>
      <c r="F197" t="s">
        <v>1812</v>
      </c>
      <c r="G197" t="s">
        <v>1812</v>
      </c>
      <c r="H197">
        <v>0</v>
      </c>
      <c r="I197">
        <v>455.142106</v>
      </c>
      <c r="J197">
        <v>0</v>
      </c>
      <c r="K197" t="s">
        <v>1812</v>
      </c>
      <c r="L197">
        <v>1.646571581841699</v>
      </c>
      <c r="M197">
        <v>30.79</v>
      </c>
      <c r="N197">
        <v>13.81</v>
      </c>
    </row>
    <row r="198" spans="1:14">
      <c r="A198" s="1" t="s">
        <v>210</v>
      </c>
      <c r="B198">
        <f>HYPERLINK("https://www.suredividend.com/sure-analysis-research-database/","Anavex Life Sciences Corporation")</f>
        <v>0</v>
      </c>
      <c r="C198" t="s">
        <v>1817</v>
      </c>
      <c r="D198">
        <v>8.300000000000001</v>
      </c>
      <c r="E198">
        <v>0</v>
      </c>
      <c r="F198" t="s">
        <v>1812</v>
      </c>
      <c r="G198" t="s">
        <v>1812</v>
      </c>
      <c r="H198">
        <v>0</v>
      </c>
      <c r="I198">
        <v>670.9531009999999</v>
      </c>
      <c r="J198">
        <v>0</v>
      </c>
      <c r="K198" t="s">
        <v>1812</v>
      </c>
      <c r="L198">
        <v>1.939782418656767</v>
      </c>
      <c r="M198">
        <v>15.24</v>
      </c>
      <c r="N198">
        <v>7.44</v>
      </c>
    </row>
    <row r="199" spans="1:14">
      <c r="A199" s="1" t="s">
        <v>211</v>
      </c>
      <c r="B199">
        <f>HYPERLINK("https://www.suredividend.com/sure-analysis-AWR/","American States Water Co.")</f>
        <v>0</v>
      </c>
      <c r="C199" t="s">
        <v>1820</v>
      </c>
      <c r="D199">
        <v>85.93000000000001</v>
      </c>
      <c r="E199">
        <v>0.02001629233096706</v>
      </c>
      <c r="F199">
        <v>0.08904109589041109</v>
      </c>
      <c r="G199">
        <v>0.07646741426041981</v>
      </c>
      <c r="H199">
        <v>1.57970832275998</v>
      </c>
      <c r="I199">
        <v>3177.382052</v>
      </c>
      <c r="J199">
        <v>32.29374989328184</v>
      </c>
      <c r="K199">
        <v>0.5938753093082632</v>
      </c>
      <c r="L199">
        <v>0.7157750981324601</v>
      </c>
      <c r="M199">
        <v>99.64</v>
      </c>
      <c r="N199">
        <v>76.91</v>
      </c>
    </row>
    <row r="200" spans="1:14">
      <c r="A200" s="1" t="s">
        <v>212</v>
      </c>
      <c r="B200">
        <f>HYPERLINK("https://www.suredividend.com/sure-analysis-research-database/","Axos Financial Inc.")</f>
        <v>0</v>
      </c>
      <c r="C200" t="s">
        <v>1815</v>
      </c>
      <c r="D200">
        <v>45.44</v>
      </c>
      <c r="E200">
        <v>0</v>
      </c>
      <c r="F200" t="s">
        <v>1812</v>
      </c>
      <c r="G200" t="s">
        <v>1812</v>
      </c>
      <c r="H200">
        <v>0</v>
      </c>
      <c r="I200">
        <v>2697.096835</v>
      </c>
      <c r="J200">
        <v>9.712093172827281</v>
      </c>
      <c r="K200">
        <v>0</v>
      </c>
      <c r="L200">
        <v>1.663040320874943</v>
      </c>
      <c r="M200">
        <v>51.46</v>
      </c>
      <c r="N200">
        <v>33.15</v>
      </c>
    </row>
    <row r="201" spans="1:14">
      <c r="A201" s="1" t="s">
        <v>213</v>
      </c>
      <c r="B201">
        <f>HYPERLINK("https://www.suredividend.com/sure-analysis-research-database/","BioXcel Therapeutics Inc")</f>
        <v>0</v>
      </c>
      <c r="C201" t="s">
        <v>1817</v>
      </c>
      <c r="D201">
        <v>7.72</v>
      </c>
      <c r="E201">
        <v>0</v>
      </c>
      <c r="F201" t="s">
        <v>1812</v>
      </c>
      <c r="G201" t="s">
        <v>1812</v>
      </c>
      <c r="H201">
        <v>0</v>
      </c>
      <c r="I201">
        <v>225.112405</v>
      </c>
      <c r="J201">
        <v>0</v>
      </c>
      <c r="K201" t="s">
        <v>1812</v>
      </c>
      <c r="L201">
        <v>1.562806130548167</v>
      </c>
      <c r="M201">
        <v>34.13</v>
      </c>
      <c r="N201">
        <v>5.88</v>
      </c>
    </row>
    <row r="202" spans="1:14">
      <c r="A202" s="1" t="s">
        <v>214</v>
      </c>
      <c r="B202">
        <f>HYPERLINK("https://www.suredividend.com/sure-analysis-research-database/","Peabody Energy Corp.")</f>
        <v>0</v>
      </c>
      <c r="C202" t="s">
        <v>1822</v>
      </c>
      <c r="D202">
        <v>21.64</v>
      </c>
      <c r="E202">
        <v>0.003465804204262</v>
      </c>
      <c r="F202" t="s">
        <v>1812</v>
      </c>
      <c r="G202" t="s">
        <v>1812</v>
      </c>
      <c r="H202">
        <v>0.075000002980232</v>
      </c>
      <c r="I202">
        <v>3131.308</v>
      </c>
      <c r="J202">
        <v>1.858232745831108</v>
      </c>
      <c r="K202">
        <v>0.007274491074707274</v>
      </c>
      <c r="L202">
        <v>1.024375499626757</v>
      </c>
      <c r="M202">
        <v>32.78</v>
      </c>
      <c r="N202">
        <v>17.71</v>
      </c>
    </row>
    <row r="203" spans="1:14">
      <c r="A203" s="1" t="s">
        <v>215</v>
      </c>
      <c r="B203">
        <f>HYPERLINK("https://www.suredividend.com/sure-analysis-research-database/","First Busey Corp.")</f>
        <v>0</v>
      </c>
      <c r="C203" t="s">
        <v>1815</v>
      </c>
      <c r="D203">
        <v>21.6</v>
      </c>
      <c r="E203">
        <v>0.042669470587991</v>
      </c>
      <c r="F203">
        <v>0.04347826086956519</v>
      </c>
      <c r="G203">
        <v>0.03713728933664817</v>
      </c>
      <c r="H203">
        <v>0.9216605647006251</v>
      </c>
      <c r="I203">
        <v>1194.493262</v>
      </c>
      <c r="J203">
        <v>8.740748894320129</v>
      </c>
      <c r="K203">
        <v>0.3792841830043724</v>
      </c>
      <c r="L203">
        <v>0.8281393201612871</v>
      </c>
      <c r="M203">
        <v>26.46</v>
      </c>
      <c r="N203">
        <v>15.92</v>
      </c>
    </row>
    <row r="204" spans="1:14">
      <c r="A204" s="1" t="s">
        <v>216</v>
      </c>
      <c r="B204">
        <f>HYPERLINK("https://www.suredividend.com/sure-analysis-research-database/","BrightView Holdings Inc")</f>
        <v>0</v>
      </c>
      <c r="C204" t="s">
        <v>1813</v>
      </c>
      <c r="D204">
        <v>7.83</v>
      </c>
      <c r="E204">
        <v>0</v>
      </c>
      <c r="F204" t="s">
        <v>1812</v>
      </c>
      <c r="G204" t="s">
        <v>1812</v>
      </c>
      <c r="H204">
        <v>0</v>
      </c>
      <c r="I204">
        <v>732.105</v>
      </c>
      <c r="J204">
        <v>0</v>
      </c>
      <c r="K204" t="s">
        <v>1812</v>
      </c>
      <c r="L204">
        <v>1.060419928590731</v>
      </c>
      <c r="M204">
        <v>11.31</v>
      </c>
      <c r="N204">
        <v>5.16</v>
      </c>
    </row>
    <row r="205" spans="1:14">
      <c r="A205" s="1" t="s">
        <v>217</v>
      </c>
      <c r="B205">
        <f>HYPERLINK("https://www.suredividend.com/sure-analysis-research-database/","Bluegreen Vacations Holding Corporation")</f>
        <v>0</v>
      </c>
      <c r="C205" t="s">
        <v>1812</v>
      </c>
      <c r="D205">
        <v>37.28</v>
      </c>
      <c r="E205">
        <v>0.01862179209215</v>
      </c>
      <c r="F205" t="s">
        <v>1812</v>
      </c>
      <c r="G205" t="s">
        <v>1812</v>
      </c>
      <c r="H205">
        <v>0.6942204091953671</v>
      </c>
      <c r="I205">
        <v>498.570268</v>
      </c>
      <c r="J205">
        <v>0</v>
      </c>
      <c r="K205" t="s">
        <v>1812</v>
      </c>
      <c r="L205">
        <v>0.9898835090302071</v>
      </c>
      <c r="M205">
        <v>40.93</v>
      </c>
      <c r="N205">
        <v>15.93</v>
      </c>
    </row>
    <row r="206" spans="1:14">
      <c r="A206" s="1" t="s">
        <v>218</v>
      </c>
      <c r="B206">
        <f>HYPERLINK("https://www.suredividend.com/sure-analysis-research-database/","Bioventus Inc")</f>
        <v>0</v>
      </c>
      <c r="C206" t="s">
        <v>1812</v>
      </c>
      <c r="D206">
        <v>3.56</v>
      </c>
      <c r="E206">
        <v>0</v>
      </c>
      <c r="F206" t="s">
        <v>1812</v>
      </c>
      <c r="G206" t="s">
        <v>1812</v>
      </c>
      <c r="H206">
        <v>0</v>
      </c>
      <c r="I206">
        <v>222.452741</v>
      </c>
      <c r="J206">
        <v>0</v>
      </c>
      <c r="K206" t="s">
        <v>1812</v>
      </c>
      <c r="L206">
        <v>1.830840519644094</v>
      </c>
      <c r="M206">
        <v>9.24</v>
      </c>
      <c r="N206">
        <v>0.7999000000000001</v>
      </c>
    </row>
    <row r="207" spans="1:14">
      <c r="A207" s="1" t="s">
        <v>219</v>
      </c>
      <c r="B207">
        <f>HYPERLINK("https://www.suredividend.com/sure-analysis-research-database/","Babcock &amp; Wilcox Enterprises Inc")</f>
        <v>0</v>
      </c>
      <c r="C207" t="s">
        <v>1813</v>
      </c>
      <c r="D207">
        <v>5.21</v>
      </c>
      <c r="E207">
        <v>0</v>
      </c>
      <c r="F207" t="s">
        <v>1812</v>
      </c>
      <c r="G207" t="s">
        <v>1812</v>
      </c>
      <c r="H207">
        <v>0</v>
      </c>
      <c r="I207">
        <v>462.398217</v>
      </c>
      <c r="J207" t="s">
        <v>1812</v>
      </c>
      <c r="K207">
        <v>-0</v>
      </c>
      <c r="L207">
        <v>1.352494516459553</v>
      </c>
      <c r="M207">
        <v>8.630000000000001</v>
      </c>
      <c r="N207">
        <v>3.89</v>
      </c>
    </row>
    <row r="208" spans="1:14">
      <c r="A208" s="1" t="s">
        <v>220</v>
      </c>
      <c r="B208">
        <f>HYPERLINK("https://www.suredividend.com/sure-analysis-research-database/","Bridgewater Bancshares Inc")</f>
        <v>0</v>
      </c>
      <c r="C208" t="s">
        <v>1815</v>
      </c>
      <c r="D208">
        <v>10.78</v>
      </c>
      <c r="E208">
        <v>0</v>
      </c>
      <c r="F208" t="s">
        <v>1812</v>
      </c>
      <c r="G208" t="s">
        <v>1812</v>
      </c>
      <c r="H208">
        <v>0</v>
      </c>
      <c r="I208">
        <v>301.1364</v>
      </c>
      <c r="J208">
        <v>0</v>
      </c>
      <c r="K208" t="s">
        <v>1812</v>
      </c>
      <c r="L208">
        <v>0.9076269254652931</v>
      </c>
      <c r="M208">
        <v>20.2</v>
      </c>
      <c r="N208">
        <v>7.9</v>
      </c>
    </row>
    <row r="209" spans="1:14">
      <c r="A209" s="1" t="s">
        <v>221</v>
      </c>
      <c r="B209">
        <f>HYPERLINK("https://www.suredividend.com/sure-analysis-research-database/","Bankwell Financial Group Inc")</f>
        <v>0</v>
      </c>
      <c r="C209" t="s">
        <v>1815</v>
      </c>
      <c r="D209">
        <v>27.68</v>
      </c>
      <c r="E209">
        <v>0.028276654365672</v>
      </c>
      <c r="F209">
        <v>0</v>
      </c>
      <c r="G209">
        <v>0.08997698704834534</v>
      </c>
      <c r="H209">
        <v>0.7826977928418231</v>
      </c>
      <c r="I209">
        <v>217.106364</v>
      </c>
      <c r="J209">
        <v>0</v>
      </c>
      <c r="K209" t="s">
        <v>1812</v>
      </c>
      <c r="L209">
        <v>0.7036821170118841</v>
      </c>
      <c r="M209">
        <v>33.12</v>
      </c>
      <c r="N209">
        <v>20.83</v>
      </c>
    </row>
    <row r="210" spans="1:14">
      <c r="A210" s="1" t="s">
        <v>222</v>
      </c>
      <c r="B210">
        <f>HYPERLINK("https://www.suredividend.com/sure-analysis-research-database/","Bluelinx Hldgs Inc")</f>
        <v>0</v>
      </c>
      <c r="C210" t="s">
        <v>1813</v>
      </c>
      <c r="D210">
        <v>86.25</v>
      </c>
      <c r="E210">
        <v>0</v>
      </c>
      <c r="F210" t="s">
        <v>1812</v>
      </c>
      <c r="G210" t="s">
        <v>1812</v>
      </c>
      <c r="H210">
        <v>0</v>
      </c>
      <c r="I210">
        <v>776.549805</v>
      </c>
      <c r="J210">
        <v>5.804981610638918</v>
      </c>
      <c r="K210">
        <v>0</v>
      </c>
      <c r="L210">
        <v>1.66617430439845</v>
      </c>
      <c r="M210">
        <v>98.33</v>
      </c>
      <c r="N210">
        <v>57.5</v>
      </c>
    </row>
    <row r="211" spans="1:14">
      <c r="A211" s="1" t="s">
        <v>223</v>
      </c>
      <c r="B211">
        <f>HYPERLINK("https://www.suredividend.com/sure-analysis-BXMT/","Blackstone Mortgage Trust Inc")</f>
        <v>0</v>
      </c>
      <c r="C211" t="s">
        <v>1814</v>
      </c>
      <c r="D211">
        <v>22.36</v>
      </c>
      <c r="E211">
        <v>0.110912343470483</v>
      </c>
      <c r="F211">
        <v>0</v>
      </c>
      <c r="G211">
        <v>0</v>
      </c>
      <c r="H211">
        <v>2.947203710924834</v>
      </c>
      <c r="I211">
        <v>3852.885766</v>
      </c>
      <c r="J211">
        <v>14.00473902025713</v>
      </c>
      <c r="K211">
        <v>1.830561311133438</v>
      </c>
      <c r="L211">
        <v>1.162147878984434</v>
      </c>
      <c r="M211">
        <v>27.33</v>
      </c>
      <c r="N211">
        <v>15.88</v>
      </c>
    </row>
    <row r="212" spans="1:14">
      <c r="A212" s="1" t="s">
        <v>224</v>
      </c>
      <c r="B212">
        <f>HYPERLINK("https://www.suredividend.com/sure-analysis-research-database/","Byline Bancorp Inc")</f>
        <v>0</v>
      </c>
      <c r="C212" t="s">
        <v>1815</v>
      </c>
      <c r="D212">
        <v>21.85</v>
      </c>
      <c r="E212">
        <v>0.016370892021646</v>
      </c>
      <c r="F212" t="s">
        <v>1812</v>
      </c>
      <c r="G212" t="s">
        <v>1812</v>
      </c>
      <c r="H212">
        <v>0.357703990672965</v>
      </c>
      <c r="I212">
        <v>823.947178</v>
      </c>
      <c r="J212">
        <v>9.197070791289011</v>
      </c>
      <c r="K212">
        <v>0.1490433294470688</v>
      </c>
      <c r="L212">
        <v>0.9991090745605331</v>
      </c>
      <c r="M212">
        <v>25.78</v>
      </c>
      <c r="N212">
        <v>16.32</v>
      </c>
    </row>
    <row r="213" spans="1:14">
      <c r="A213" s="1" t="s">
        <v>225</v>
      </c>
      <c r="B213">
        <f>HYPERLINK("https://www.suredividend.com/sure-analysis-research-database/","Beyond Meat Inc")</f>
        <v>0</v>
      </c>
      <c r="C213" t="s">
        <v>1819</v>
      </c>
      <c r="D213">
        <v>15.96</v>
      </c>
      <c r="E213">
        <v>0</v>
      </c>
      <c r="F213" t="s">
        <v>1812</v>
      </c>
      <c r="G213" t="s">
        <v>1812</v>
      </c>
      <c r="H213">
        <v>0</v>
      </c>
      <c r="I213">
        <v>1025.058292</v>
      </c>
      <c r="J213" t="s">
        <v>1812</v>
      </c>
      <c r="K213">
        <v>-0</v>
      </c>
      <c r="L213">
        <v>2.439455869256994</v>
      </c>
      <c r="M213">
        <v>44.59</v>
      </c>
      <c r="N213">
        <v>9.82</v>
      </c>
    </row>
    <row r="214" spans="1:14">
      <c r="A214" s="1" t="s">
        <v>226</v>
      </c>
      <c r="B214">
        <f>HYPERLINK("https://www.suredividend.com/sure-analysis-research-database/","Beazer Homes USA Inc.")</f>
        <v>0</v>
      </c>
      <c r="C214" t="s">
        <v>1816</v>
      </c>
      <c r="D214">
        <v>33.06</v>
      </c>
      <c r="E214">
        <v>0</v>
      </c>
      <c r="F214" t="s">
        <v>1812</v>
      </c>
      <c r="G214" t="s">
        <v>1812</v>
      </c>
      <c r="H214">
        <v>0</v>
      </c>
      <c r="I214">
        <v>1036.074415</v>
      </c>
      <c r="J214">
        <v>5.462280363774397</v>
      </c>
      <c r="K214">
        <v>0</v>
      </c>
      <c r="L214">
        <v>1.755814427275056</v>
      </c>
      <c r="M214">
        <v>35.93</v>
      </c>
      <c r="N214">
        <v>9.470000000000001</v>
      </c>
    </row>
    <row r="215" spans="1:14">
      <c r="A215" s="1" t="s">
        <v>227</v>
      </c>
      <c r="B215">
        <f>HYPERLINK("https://www.suredividend.com/sure-analysis-research-database/","Camden National Corp.")</f>
        <v>0</v>
      </c>
      <c r="C215" t="s">
        <v>1815</v>
      </c>
      <c r="D215">
        <v>35.3</v>
      </c>
      <c r="E215">
        <v>0.045418835128514</v>
      </c>
      <c r="F215">
        <v>0.04999999999999982</v>
      </c>
      <c r="G215">
        <v>0.06961037572506878</v>
      </c>
      <c r="H215">
        <v>1.603284880036562</v>
      </c>
      <c r="I215">
        <v>515.125981</v>
      </c>
      <c r="J215">
        <v>9.00145003582225</v>
      </c>
      <c r="K215">
        <v>0.4100472838968189</v>
      </c>
      <c r="L215">
        <v>0.694516393219313</v>
      </c>
      <c r="M215">
        <v>45.71</v>
      </c>
      <c r="N215">
        <v>27.46</v>
      </c>
    </row>
    <row r="216" spans="1:14">
      <c r="A216" s="1" t="s">
        <v>228</v>
      </c>
      <c r="B216">
        <f>HYPERLINK("https://www.suredividend.com/sure-analysis-research-database/","Cadence Bank")</f>
        <v>0</v>
      </c>
      <c r="C216" t="s">
        <v>1815</v>
      </c>
      <c r="D216">
        <v>25.28</v>
      </c>
      <c r="E216">
        <v>0.035443947728531</v>
      </c>
      <c r="F216">
        <v>0.06818181818181834</v>
      </c>
      <c r="G216">
        <v>0.09394457937452771</v>
      </c>
      <c r="H216">
        <v>0.8960229985772691</v>
      </c>
      <c r="I216">
        <v>2594.894192</v>
      </c>
      <c r="J216">
        <v>6.246269998339074</v>
      </c>
      <c r="K216">
        <v>0.396470353352774</v>
      </c>
      <c r="L216">
        <v>1.121295185093444</v>
      </c>
      <c r="M216">
        <v>28.52</v>
      </c>
      <c r="N216">
        <v>16.76</v>
      </c>
    </row>
    <row r="217" spans="1:14">
      <c r="A217" s="1" t="s">
        <v>229</v>
      </c>
      <c r="B217">
        <f>HYPERLINK("https://www.suredividend.com/sure-analysis-CAKE/","Cheesecake Factory Inc.")</f>
        <v>0</v>
      </c>
      <c r="C217" t="s">
        <v>1816</v>
      </c>
      <c r="D217">
        <v>36.11</v>
      </c>
      <c r="E217">
        <v>0.02990861257269455</v>
      </c>
      <c r="F217" t="s">
        <v>1812</v>
      </c>
      <c r="G217" t="s">
        <v>1812</v>
      </c>
      <c r="H217">
        <v>1.061054258513522</v>
      </c>
      <c r="I217">
        <v>1854.269335</v>
      </c>
      <c r="J217">
        <v>38.62256478796084</v>
      </c>
      <c r="K217">
        <v>1.107341117213027</v>
      </c>
      <c r="L217">
        <v>1.138522645206518</v>
      </c>
      <c r="M217">
        <v>40.31</v>
      </c>
      <c r="N217">
        <v>27.05</v>
      </c>
    </row>
    <row r="218" spans="1:14">
      <c r="A218" s="1" t="s">
        <v>230</v>
      </c>
      <c r="B218">
        <f>HYPERLINK("https://www.suredividend.com/sure-analysis-research-database/","Caleres Inc")</f>
        <v>0</v>
      </c>
      <c r="C218" t="s">
        <v>1816</v>
      </c>
      <c r="D218">
        <v>27.22</v>
      </c>
      <c r="E218">
        <v>0.010237565771782</v>
      </c>
      <c r="F218">
        <v>0</v>
      </c>
      <c r="G218">
        <v>0</v>
      </c>
      <c r="H218">
        <v>0.278666540307924</v>
      </c>
      <c r="I218">
        <v>987.335871</v>
      </c>
      <c r="J218">
        <v>6.218145968019247</v>
      </c>
      <c r="K218">
        <v>0.06111108340086053</v>
      </c>
      <c r="L218">
        <v>1.011434633722879</v>
      </c>
      <c r="M218">
        <v>30.74</v>
      </c>
      <c r="N218">
        <v>16.8</v>
      </c>
    </row>
    <row r="219" spans="1:14">
      <c r="A219" s="1" t="s">
        <v>231</v>
      </c>
      <c r="B219">
        <f>HYPERLINK("https://www.suredividend.com/sure-analysis-research-database/","Cal-Maine Foods, Inc.")</f>
        <v>0</v>
      </c>
      <c r="C219" t="s">
        <v>1819</v>
      </c>
      <c r="D219">
        <v>46.69</v>
      </c>
      <c r="E219">
        <v>0.09014587419083901</v>
      </c>
      <c r="F219" t="s">
        <v>1812</v>
      </c>
      <c r="G219" t="s">
        <v>1812</v>
      </c>
      <c r="H219">
        <v>4.208910865970304</v>
      </c>
      <c r="I219">
        <v>2062.953248</v>
      </c>
      <c r="J219">
        <v>2.721488037067428</v>
      </c>
      <c r="K219">
        <v>0.2711927104362309</v>
      </c>
      <c r="L219">
        <v>0.234866532618496</v>
      </c>
      <c r="M219">
        <v>58.66</v>
      </c>
      <c r="N219">
        <v>43.29</v>
      </c>
    </row>
    <row r="220" spans="1:14">
      <c r="A220" s="1" t="s">
        <v>232</v>
      </c>
      <c r="B220">
        <f>HYPERLINK("https://www.suredividend.com/sure-analysis-research-database/","Calix Inc")</f>
        <v>0</v>
      </c>
      <c r="C220" t="s">
        <v>1818</v>
      </c>
      <c r="D220">
        <v>42.59</v>
      </c>
      <c r="E220">
        <v>0</v>
      </c>
      <c r="F220" t="s">
        <v>1812</v>
      </c>
      <c r="G220" t="s">
        <v>1812</v>
      </c>
      <c r="H220">
        <v>0</v>
      </c>
      <c r="I220">
        <v>2824.569354</v>
      </c>
      <c r="J220">
        <v>63.70107470896011</v>
      </c>
      <c r="K220">
        <v>0</v>
      </c>
      <c r="L220">
        <v>1.207803140127781</v>
      </c>
      <c r="M220">
        <v>77.44</v>
      </c>
      <c r="N220">
        <v>41.74</v>
      </c>
    </row>
    <row r="221" spans="1:14">
      <c r="A221" s="1" t="s">
        <v>233</v>
      </c>
      <c r="B221">
        <f>HYPERLINK("https://www.suredividend.com/sure-analysis-research-database/","Cano Health Inc")</f>
        <v>0</v>
      </c>
      <c r="C221" t="s">
        <v>1812</v>
      </c>
      <c r="D221">
        <v>1.54</v>
      </c>
      <c r="E221">
        <v>0</v>
      </c>
      <c r="F221" t="s">
        <v>1812</v>
      </c>
      <c r="G221" t="s">
        <v>1812</v>
      </c>
      <c r="H221">
        <v>0</v>
      </c>
      <c r="I221">
        <v>429.54541</v>
      </c>
      <c r="J221">
        <v>0</v>
      </c>
      <c r="K221" t="s">
        <v>1812</v>
      </c>
      <c r="L221">
        <v>-0.266181612858243</v>
      </c>
      <c r="M221">
        <v>9.75</v>
      </c>
      <c r="N221">
        <v>0.7621</v>
      </c>
    </row>
    <row r="222" spans="1:14">
      <c r="A222" s="1" t="s">
        <v>234</v>
      </c>
      <c r="B222">
        <f>HYPERLINK("https://www.suredividend.com/sure-analysis-research-database/","Cara Therapeutics Inc")</f>
        <v>0</v>
      </c>
      <c r="C222" t="s">
        <v>1817</v>
      </c>
      <c r="D222">
        <v>3.19</v>
      </c>
      <c r="E222">
        <v>0</v>
      </c>
      <c r="F222" t="s">
        <v>1812</v>
      </c>
      <c r="G222" t="s">
        <v>1812</v>
      </c>
      <c r="H222">
        <v>0</v>
      </c>
      <c r="I222">
        <v>172.206494</v>
      </c>
      <c r="J222" t="s">
        <v>1812</v>
      </c>
      <c r="K222">
        <v>-0</v>
      </c>
      <c r="L222">
        <v>1.272588803058773</v>
      </c>
      <c r="M222">
        <v>12.98</v>
      </c>
      <c r="N222">
        <v>2.57</v>
      </c>
    </row>
    <row r="223" spans="1:14">
      <c r="A223" s="1" t="s">
        <v>235</v>
      </c>
      <c r="B223">
        <f>HYPERLINK("https://www.suredividend.com/sure-analysis-research-database/","Carter Bankshares Inc")</f>
        <v>0</v>
      </c>
      <c r="C223" t="s">
        <v>1815</v>
      </c>
      <c r="D223">
        <v>14.81</v>
      </c>
      <c r="E223">
        <v>0</v>
      </c>
      <c r="F223" t="s">
        <v>1812</v>
      </c>
      <c r="G223" t="s">
        <v>1812</v>
      </c>
      <c r="H223">
        <v>0</v>
      </c>
      <c r="I223">
        <v>354.600851</v>
      </c>
      <c r="J223">
        <v>0</v>
      </c>
      <c r="K223" t="s">
        <v>1812</v>
      </c>
      <c r="L223">
        <v>0.765093107781715</v>
      </c>
      <c r="M223">
        <v>18.84</v>
      </c>
      <c r="N223">
        <v>12.35</v>
      </c>
    </row>
    <row r="224" spans="1:14">
      <c r="A224" s="1" t="s">
        <v>236</v>
      </c>
      <c r="B224">
        <f>HYPERLINK("https://www.suredividend.com/sure-analysis-research-database/","CarGurus Inc")</f>
        <v>0</v>
      </c>
      <c r="C224" t="s">
        <v>1821</v>
      </c>
      <c r="D224">
        <v>21.49</v>
      </c>
      <c r="E224">
        <v>0</v>
      </c>
      <c r="F224" t="s">
        <v>1812</v>
      </c>
      <c r="G224" t="s">
        <v>1812</v>
      </c>
      <c r="H224">
        <v>0</v>
      </c>
      <c r="I224">
        <v>2091.387266</v>
      </c>
      <c r="J224">
        <v>7.68872589892907</v>
      </c>
      <c r="K224">
        <v>0</v>
      </c>
      <c r="L224">
        <v>1.4506002878253</v>
      </c>
      <c r="M224">
        <v>26.43</v>
      </c>
      <c r="N224">
        <v>9.140000000000001</v>
      </c>
    </row>
    <row r="225" spans="1:14">
      <c r="A225" s="1" t="s">
        <v>237</v>
      </c>
      <c r="B225">
        <f>HYPERLINK("https://www.suredividend.com/sure-analysis-research-database/","Cars.com")</f>
        <v>0</v>
      </c>
      <c r="C225" t="s">
        <v>1816</v>
      </c>
      <c r="D225">
        <v>21.22</v>
      </c>
      <c r="E225">
        <v>0</v>
      </c>
      <c r="F225" t="s">
        <v>1812</v>
      </c>
      <c r="G225" t="s">
        <v>1812</v>
      </c>
      <c r="H225">
        <v>0</v>
      </c>
      <c r="I225">
        <v>1415.833328</v>
      </c>
      <c r="J225">
        <v>58.15704777654549</v>
      </c>
      <c r="K225">
        <v>0</v>
      </c>
      <c r="L225">
        <v>1.257921385653003</v>
      </c>
      <c r="M225">
        <v>22.84</v>
      </c>
      <c r="N225">
        <v>10.55</v>
      </c>
    </row>
    <row r="226" spans="1:14">
      <c r="A226" s="1" t="s">
        <v>238</v>
      </c>
      <c r="B226">
        <f>HYPERLINK("https://www.suredividend.com/sure-analysis-research-database/","Casa Systems Inc")</f>
        <v>0</v>
      </c>
      <c r="C226" t="s">
        <v>1818</v>
      </c>
      <c r="D226">
        <v>1.02</v>
      </c>
      <c r="E226">
        <v>0</v>
      </c>
      <c r="F226" t="s">
        <v>1812</v>
      </c>
      <c r="G226" t="s">
        <v>1812</v>
      </c>
      <c r="H226">
        <v>0</v>
      </c>
      <c r="I226">
        <v>98.95307200000001</v>
      </c>
      <c r="J226" t="s">
        <v>1812</v>
      </c>
      <c r="K226">
        <v>-0</v>
      </c>
      <c r="L226">
        <v>1.489835202099234</v>
      </c>
      <c r="M226">
        <v>4.64</v>
      </c>
      <c r="N226">
        <v>1</v>
      </c>
    </row>
    <row r="227" spans="1:14">
      <c r="A227" s="1" t="s">
        <v>239</v>
      </c>
      <c r="B227">
        <f>HYPERLINK("https://www.suredividend.com/sure-analysis-research-database/","Pathward Financial Inc")</f>
        <v>0</v>
      </c>
      <c r="C227" t="s">
        <v>1815</v>
      </c>
      <c r="D227">
        <v>51.48</v>
      </c>
      <c r="E227">
        <v>0.003875873791012</v>
      </c>
      <c r="F227">
        <v>0</v>
      </c>
      <c r="G227">
        <v>-0.1972584382397693</v>
      </c>
      <c r="H227">
        <v>0.199529982761299</v>
      </c>
      <c r="I227">
        <v>1385.473827</v>
      </c>
      <c r="J227">
        <v>10.96250149846102</v>
      </c>
      <c r="K227">
        <v>0.04443874894461002</v>
      </c>
      <c r="L227">
        <v>1.257782509561351</v>
      </c>
      <c r="M227">
        <v>60.49</v>
      </c>
      <c r="N227">
        <v>31.52</v>
      </c>
    </row>
    <row r="228" spans="1:14">
      <c r="A228" s="1" t="s">
        <v>240</v>
      </c>
      <c r="B228">
        <f>HYPERLINK("https://www.suredividend.com/sure-analysis-CASS/","Cass Information Systems Inc")</f>
        <v>0</v>
      </c>
      <c r="C228" t="s">
        <v>1813</v>
      </c>
      <c r="D228">
        <v>38.08</v>
      </c>
      <c r="E228">
        <v>0.03046218487394958</v>
      </c>
      <c r="F228">
        <v>0.03571428571428559</v>
      </c>
      <c r="G228">
        <v>0.0220800938152379</v>
      </c>
      <c r="H228">
        <v>1.132008587062421</v>
      </c>
      <c r="I228">
        <v>522.324015</v>
      </c>
      <c r="J228">
        <v>15.47030818825341</v>
      </c>
      <c r="K228">
        <v>0.4639379455173857</v>
      </c>
      <c r="L228">
        <v>0.754303425796051</v>
      </c>
      <c r="M228">
        <v>50.41</v>
      </c>
      <c r="N228">
        <v>32.6</v>
      </c>
    </row>
    <row r="229" spans="1:14">
      <c r="A229" s="1" t="s">
        <v>241</v>
      </c>
      <c r="B229">
        <f>HYPERLINK("https://www.suredividend.com/sure-analysis-CATC/","Cambridge Bancorp")</f>
        <v>0</v>
      </c>
      <c r="C229" t="s">
        <v>1815</v>
      </c>
      <c r="D229">
        <v>62.24</v>
      </c>
      <c r="E229">
        <v>0.04305912596401028</v>
      </c>
      <c r="F229" t="s">
        <v>1812</v>
      </c>
      <c r="G229" t="s">
        <v>1812</v>
      </c>
      <c r="H229">
        <v>2.566698430475505</v>
      </c>
      <c r="I229">
        <v>487.587973</v>
      </c>
      <c r="J229">
        <v>0</v>
      </c>
      <c r="K229" t="s">
        <v>1812</v>
      </c>
      <c r="L229">
        <v>0.9066192783447461</v>
      </c>
      <c r="M229">
        <v>87.75</v>
      </c>
      <c r="N229">
        <v>42.44</v>
      </c>
    </row>
    <row r="230" spans="1:14">
      <c r="A230" s="1" t="s">
        <v>242</v>
      </c>
      <c r="B230">
        <f>HYPERLINK("https://www.suredividend.com/sure-analysis-research-database/","Cato Corp.")</f>
        <v>0</v>
      </c>
      <c r="C230" t="s">
        <v>1816</v>
      </c>
      <c r="D230">
        <v>8.52</v>
      </c>
      <c r="E230">
        <v>0.07746947596085101</v>
      </c>
      <c r="F230" t="s">
        <v>1812</v>
      </c>
      <c r="G230" t="s">
        <v>1812</v>
      </c>
      <c r="H230">
        <v>0.6600399351864581</v>
      </c>
      <c r="I230">
        <v>157.44632</v>
      </c>
      <c r="J230" t="s">
        <v>1812</v>
      </c>
      <c r="K230" t="s">
        <v>1812</v>
      </c>
      <c r="L230">
        <v>0.8907585357738891</v>
      </c>
      <c r="M230">
        <v>12.7</v>
      </c>
      <c r="N230">
        <v>7.75</v>
      </c>
    </row>
    <row r="231" spans="1:14">
      <c r="A231" s="1" t="s">
        <v>243</v>
      </c>
      <c r="B231">
        <f>HYPERLINK("https://www.suredividend.com/sure-analysis-research-database/","Cathay General Bancorp")</f>
        <v>0</v>
      </c>
      <c r="C231" t="s">
        <v>1815</v>
      </c>
      <c r="D231">
        <v>38.24</v>
      </c>
      <c r="E231">
        <v>0.034779712068025</v>
      </c>
      <c r="F231">
        <v>0</v>
      </c>
      <c r="G231">
        <v>0.07214502590085092</v>
      </c>
      <c r="H231">
        <v>1.329976189481299</v>
      </c>
      <c r="I231">
        <v>2773.764939</v>
      </c>
      <c r="J231">
        <v>7.268376055196124</v>
      </c>
      <c r="K231">
        <v>0.2577473235428874</v>
      </c>
      <c r="L231">
        <v>1.066443061757113</v>
      </c>
      <c r="M231">
        <v>45.56</v>
      </c>
      <c r="N231">
        <v>26.64</v>
      </c>
    </row>
    <row r="232" spans="1:14">
      <c r="A232" s="1" t="s">
        <v>244</v>
      </c>
      <c r="B232">
        <f>HYPERLINK("https://www.suredividend.com/sure-analysis-research-database/","Colony Bankcorp, Inc.")</f>
        <v>0</v>
      </c>
      <c r="C232" t="s">
        <v>1815</v>
      </c>
      <c r="D232">
        <v>10.82</v>
      </c>
      <c r="E232">
        <v>0.029696226709385</v>
      </c>
      <c r="F232">
        <v>0.02325581395348841</v>
      </c>
      <c r="G232">
        <v>0.1708049129648923</v>
      </c>
      <c r="H232">
        <v>0.321313172995548</v>
      </c>
      <c r="I232">
        <v>190.350406</v>
      </c>
      <c r="J232">
        <v>0</v>
      </c>
      <c r="K232" t="s">
        <v>1812</v>
      </c>
      <c r="L232">
        <v>0.594402458591464</v>
      </c>
      <c r="M232">
        <v>14.57</v>
      </c>
      <c r="N232">
        <v>8.380000000000001</v>
      </c>
    </row>
    <row r="233" spans="1:14">
      <c r="A233" s="1" t="s">
        <v>245</v>
      </c>
      <c r="B233">
        <f>HYPERLINK("https://www.suredividend.com/sure-analysis-research-database/","CBL&amp; Associates Properties, Inc.")</f>
        <v>0</v>
      </c>
      <c r="C233" t="s">
        <v>1814</v>
      </c>
      <c r="D233">
        <v>22.21</v>
      </c>
      <c r="E233">
        <v>0.053606921777086</v>
      </c>
      <c r="F233" t="s">
        <v>1812</v>
      </c>
      <c r="G233" t="s">
        <v>1812</v>
      </c>
      <c r="H233">
        <v>1.190609732669095</v>
      </c>
      <c r="I233">
        <v>712.073078</v>
      </c>
      <c r="J233" t="s">
        <v>1812</v>
      </c>
      <c r="K233" t="s">
        <v>1812</v>
      </c>
      <c r="L233">
        <v>0.6646146953278811</v>
      </c>
      <c r="M233">
        <v>28.56</v>
      </c>
      <c r="N233">
        <v>20.86</v>
      </c>
    </row>
    <row r="234" spans="1:14">
      <c r="A234" s="1" t="s">
        <v>246</v>
      </c>
      <c r="B234">
        <f>HYPERLINK("https://www.suredividend.com/sure-analysis-research-database/","Capital Bancorp Inc")</f>
        <v>0</v>
      </c>
      <c r="C234" t="s">
        <v>1815</v>
      </c>
      <c r="D234">
        <v>19.99</v>
      </c>
      <c r="E234">
        <v>0.011913435785251</v>
      </c>
      <c r="F234" t="s">
        <v>1812</v>
      </c>
      <c r="G234" t="s">
        <v>1812</v>
      </c>
      <c r="H234">
        <v>0.238149581347179</v>
      </c>
      <c r="I234">
        <v>280.569385</v>
      </c>
      <c r="J234">
        <v>0</v>
      </c>
      <c r="K234" t="s">
        <v>1812</v>
      </c>
      <c r="L234">
        <v>0.7118018188499421</v>
      </c>
      <c r="M234">
        <v>26.42</v>
      </c>
      <c r="N234">
        <v>15.2</v>
      </c>
    </row>
    <row r="235" spans="1:14">
      <c r="A235" s="1" t="s">
        <v>247</v>
      </c>
      <c r="B235">
        <f>HYPERLINK("https://www.suredividend.com/sure-analysis-CBRL/","Cracker Barrel Old Country Store Inc")</f>
        <v>0</v>
      </c>
      <c r="C235" t="s">
        <v>1816</v>
      </c>
      <c r="D235">
        <v>92.22</v>
      </c>
      <c r="E235">
        <v>0.05638690088917805</v>
      </c>
      <c r="F235" t="s">
        <v>1812</v>
      </c>
      <c r="G235" t="s">
        <v>1812</v>
      </c>
      <c r="H235">
        <v>5.053278865374496</v>
      </c>
      <c r="I235">
        <v>2042.897279</v>
      </c>
      <c r="J235">
        <v>21.51505264807482</v>
      </c>
      <c r="K235">
        <v>1.191811053154362</v>
      </c>
      <c r="L235">
        <v>0.9180745704742971</v>
      </c>
      <c r="M235">
        <v>116.66</v>
      </c>
      <c r="N235">
        <v>83.26000000000001</v>
      </c>
    </row>
    <row r="236" spans="1:14">
      <c r="A236" s="1" t="s">
        <v>248</v>
      </c>
      <c r="B236">
        <f>HYPERLINK("https://www.suredividend.com/sure-analysis-research-database/","Cabot Corp.")</f>
        <v>0</v>
      </c>
      <c r="C236" t="s">
        <v>1823</v>
      </c>
      <c r="D236">
        <v>69.48</v>
      </c>
      <c r="E236">
        <v>0.021564792973569</v>
      </c>
      <c r="F236">
        <v>0.08108108108108114</v>
      </c>
      <c r="G236">
        <v>0.03922410156720635</v>
      </c>
      <c r="H236">
        <v>1.498321815803631</v>
      </c>
      <c r="I236">
        <v>3901.055902</v>
      </c>
      <c r="J236">
        <v>12.34511361341772</v>
      </c>
      <c r="K236">
        <v>0.2694823409718761</v>
      </c>
      <c r="L236">
        <v>1.386057695040128</v>
      </c>
      <c r="M236">
        <v>83.26000000000001</v>
      </c>
      <c r="N236">
        <v>59.57</v>
      </c>
    </row>
    <row r="237" spans="1:14">
      <c r="A237" s="1" t="s">
        <v>249</v>
      </c>
      <c r="B237">
        <f>HYPERLINK("https://www.suredividend.com/sure-analysis-CBU/","Community Bank System, Inc.")</f>
        <v>0</v>
      </c>
      <c r="C237" t="s">
        <v>1815</v>
      </c>
      <c r="D237">
        <v>54.33</v>
      </c>
      <c r="E237">
        <v>0.03313086692435119</v>
      </c>
      <c r="F237">
        <v>0.02325581395348841</v>
      </c>
      <c r="G237">
        <v>0.02975477857041309</v>
      </c>
      <c r="H237">
        <v>1.738351789213289</v>
      </c>
      <c r="I237">
        <v>2919.084943</v>
      </c>
      <c r="J237">
        <v>19.94005822259261</v>
      </c>
      <c r="K237">
        <v>0.6438339960049219</v>
      </c>
      <c r="L237">
        <v>0.906500318393693</v>
      </c>
      <c r="M237">
        <v>70.62</v>
      </c>
      <c r="N237">
        <v>42.1</v>
      </c>
    </row>
    <row r="238" spans="1:14">
      <c r="A238" s="1" t="s">
        <v>250</v>
      </c>
      <c r="B238">
        <f>HYPERLINK("https://www.suredividend.com/sure-analysis-research-database/","Cbiz Inc")</f>
        <v>0</v>
      </c>
      <c r="C238" t="s">
        <v>1813</v>
      </c>
      <c r="D238">
        <v>54.74</v>
      </c>
      <c r="E238">
        <v>0</v>
      </c>
      <c r="F238" t="s">
        <v>1812</v>
      </c>
      <c r="G238" t="s">
        <v>1812</v>
      </c>
      <c r="H238">
        <v>0</v>
      </c>
      <c r="I238">
        <v>2727.271279</v>
      </c>
      <c r="J238">
        <v>23.51197274675633</v>
      </c>
      <c r="K238">
        <v>0</v>
      </c>
      <c r="L238">
        <v>0.8113368801306</v>
      </c>
      <c r="M238">
        <v>55.16</v>
      </c>
      <c r="N238">
        <v>42.23</v>
      </c>
    </row>
    <row r="239" spans="1:14">
      <c r="A239" s="1" t="s">
        <v>251</v>
      </c>
      <c r="B239">
        <f>HYPERLINK("https://www.suredividend.com/sure-analysis-research-database/","Coastal Financial Corp")</f>
        <v>0</v>
      </c>
      <c r="C239" t="s">
        <v>1815</v>
      </c>
      <c r="D239">
        <v>44.81</v>
      </c>
      <c r="E239">
        <v>0</v>
      </c>
      <c r="F239" t="s">
        <v>1812</v>
      </c>
      <c r="G239" t="s">
        <v>1812</v>
      </c>
      <c r="H239">
        <v>0</v>
      </c>
      <c r="I239">
        <v>594.766356</v>
      </c>
      <c r="J239">
        <v>0</v>
      </c>
      <c r="K239" t="s">
        <v>1812</v>
      </c>
      <c r="L239">
        <v>0.9981479802888941</v>
      </c>
      <c r="M239">
        <v>54.53</v>
      </c>
      <c r="N239">
        <v>29.91</v>
      </c>
    </row>
    <row r="240" spans="1:14">
      <c r="A240" s="1" t="s">
        <v>252</v>
      </c>
      <c r="B240">
        <f>HYPERLINK("https://www.suredividend.com/sure-analysis-research-database/","Capital City Bank Group, Inc.")</f>
        <v>0</v>
      </c>
      <c r="C240" t="s">
        <v>1815</v>
      </c>
      <c r="D240">
        <v>31.98</v>
      </c>
      <c r="E240">
        <v>0.02161844798134</v>
      </c>
      <c r="F240">
        <v>0.125</v>
      </c>
      <c r="G240">
        <v>0.1486983549970351</v>
      </c>
      <c r="H240">
        <v>0.6913579664432551</v>
      </c>
      <c r="I240">
        <v>543.392455</v>
      </c>
      <c r="J240">
        <v>10.35348783095801</v>
      </c>
      <c r="K240">
        <v>0.2244668722218361</v>
      </c>
      <c r="L240">
        <v>0.575968231565479</v>
      </c>
      <c r="M240">
        <v>36.41</v>
      </c>
      <c r="N240">
        <v>27.7</v>
      </c>
    </row>
    <row r="241" spans="1:14">
      <c r="A241" s="1" t="s">
        <v>253</v>
      </c>
      <c r="B241">
        <f>HYPERLINK("https://www.suredividend.com/sure-analysis-research-database/","C4 Therapeutics Inc")</f>
        <v>0</v>
      </c>
      <c r="C241" t="s">
        <v>1812</v>
      </c>
      <c r="D241">
        <v>3.64</v>
      </c>
      <c r="E241">
        <v>0</v>
      </c>
      <c r="F241" t="s">
        <v>1812</v>
      </c>
      <c r="G241" t="s">
        <v>1812</v>
      </c>
      <c r="H241">
        <v>0</v>
      </c>
      <c r="I241">
        <v>178.59209</v>
      </c>
      <c r="J241">
        <v>0</v>
      </c>
      <c r="K241" t="s">
        <v>1812</v>
      </c>
      <c r="L241">
        <v>1.663307566202854</v>
      </c>
      <c r="M241">
        <v>13.24</v>
      </c>
      <c r="N241">
        <v>2.6</v>
      </c>
    </row>
    <row r="242" spans="1:14">
      <c r="A242" s="1" t="s">
        <v>254</v>
      </c>
      <c r="B242">
        <f>HYPERLINK("https://www.suredividend.com/sure-analysis-research-database/","Chase Corp.")</f>
        <v>0</v>
      </c>
      <c r="C242" t="s">
        <v>1823</v>
      </c>
      <c r="D242">
        <v>126.25</v>
      </c>
      <c r="E242">
        <v>0.007920792079207</v>
      </c>
      <c r="F242" t="s">
        <v>1812</v>
      </c>
      <c r="G242" t="s">
        <v>1812</v>
      </c>
      <c r="H242">
        <v>1</v>
      </c>
      <c r="I242">
        <v>1200.17593</v>
      </c>
      <c r="J242">
        <v>0</v>
      </c>
      <c r="K242" t="s">
        <v>1812</v>
      </c>
      <c r="L242">
        <v>1.012395682377252</v>
      </c>
      <c r="M242">
        <v>135.27</v>
      </c>
      <c r="N242">
        <v>78.15000000000001</v>
      </c>
    </row>
    <row r="243" spans="1:14">
      <c r="A243" s="1" t="s">
        <v>255</v>
      </c>
      <c r="B243">
        <f>HYPERLINK("https://www.suredividend.com/sure-analysis-research-database/","CNB Financial Corp (PA)")</f>
        <v>0</v>
      </c>
      <c r="C243" t="s">
        <v>1815</v>
      </c>
      <c r="D243">
        <v>19.9</v>
      </c>
      <c r="E243">
        <v>0.034467077393681</v>
      </c>
      <c r="F243">
        <v>0</v>
      </c>
      <c r="G243">
        <v>0.005814345444414393</v>
      </c>
      <c r="H243">
        <v>0.6858948401342551</v>
      </c>
      <c r="I243">
        <v>417.814748</v>
      </c>
      <c r="J243">
        <v>6.976835126740808</v>
      </c>
      <c r="K243">
        <v>0.2184378471765143</v>
      </c>
      <c r="L243">
        <v>0.805335362232335</v>
      </c>
      <c r="M243">
        <v>27.36</v>
      </c>
      <c r="N243">
        <v>16.15</v>
      </c>
    </row>
    <row r="244" spans="1:14">
      <c r="A244" s="1" t="s">
        <v>256</v>
      </c>
      <c r="B244">
        <f>HYPERLINK("https://www.suredividend.com/sure-analysis-research-database/","Clear Channel Outdoor Holdings Inc.")</f>
        <v>0</v>
      </c>
      <c r="C244" t="s">
        <v>1821</v>
      </c>
      <c r="D244">
        <v>1.66</v>
      </c>
      <c r="E244">
        <v>0</v>
      </c>
      <c r="F244" t="s">
        <v>1812</v>
      </c>
      <c r="G244" t="s">
        <v>1812</v>
      </c>
      <c r="H244">
        <v>0</v>
      </c>
      <c r="I244">
        <v>801.519466</v>
      </c>
      <c r="J244" t="s">
        <v>1812</v>
      </c>
      <c r="K244">
        <v>-0</v>
      </c>
      <c r="L244">
        <v>2.259887217114022</v>
      </c>
      <c r="M244">
        <v>2.14</v>
      </c>
      <c r="N244">
        <v>0.9501000000000001</v>
      </c>
    </row>
    <row r="245" spans="1:14">
      <c r="A245" s="1" t="s">
        <v>257</v>
      </c>
      <c r="B245">
        <f>HYPERLINK("https://www.suredividend.com/sure-analysis-CCOI/","Cogent Communications Holdings Inc")</f>
        <v>0</v>
      </c>
      <c r="C245" t="s">
        <v>1821</v>
      </c>
      <c r="D245">
        <v>58.24</v>
      </c>
      <c r="E245">
        <v>0.06421703296703297</v>
      </c>
      <c r="F245">
        <v>0.0625</v>
      </c>
      <c r="G245">
        <v>0.116049790320105</v>
      </c>
      <c r="H245">
        <v>3.559393904398623</v>
      </c>
      <c r="I245">
        <v>2813.5744</v>
      </c>
      <c r="J245">
        <v>277.0084079944866</v>
      </c>
      <c r="K245">
        <v>16.58617849207187</v>
      </c>
      <c r="L245">
        <v>0.6112949071901941</v>
      </c>
      <c r="M245">
        <v>72.79000000000001</v>
      </c>
      <c r="N245">
        <v>44</v>
      </c>
    </row>
    <row r="246" spans="1:14">
      <c r="A246" s="1" t="s">
        <v>258</v>
      </c>
      <c r="B246">
        <f>HYPERLINK("https://www.suredividend.com/sure-analysis-research-database/","Cross Country Healthcares, Inc.")</f>
        <v>0</v>
      </c>
      <c r="C246" t="s">
        <v>1813</v>
      </c>
      <c r="D246">
        <v>22</v>
      </c>
      <c r="E246">
        <v>0</v>
      </c>
      <c r="F246" t="s">
        <v>1812</v>
      </c>
      <c r="G246" t="s">
        <v>1812</v>
      </c>
      <c r="H246">
        <v>0</v>
      </c>
      <c r="I246">
        <v>790.523558</v>
      </c>
      <c r="J246">
        <v>5.070253845068435</v>
      </c>
      <c r="K246">
        <v>0</v>
      </c>
      <c r="L246">
        <v>0.7318598682797121</v>
      </c>
      <c r="M246">
        <v>40.12</v>
      </c>
      <c r="N246">
        <v>20.35</v>
      </c>
    </row>
    <row r="247" spans="1:14">
      <c r="A247" s="1" t="s">
        <v>259</v>
      </c>
      <c r="B247">
        <f>HYPERLINK("https://www.suredividend.com/sure-analysis-research-database/","Century Communities Inc")</f>
        <v>0</v>
      </c>
      <c r="C247" t="s">
        <v>1816</v>
      </c>
      <c r="D247">
        <v>74.45</v>
      </c>
      <c r="E247">
        <v>0.011519437007203</v>
      </c>
      <c r="F247" t="s">
        <v>1812</v>
      </c>
      <c r="G247" t="s">
        <v>1812</v>
      </c>
      <c r="H247">
        <v>0.857622085186274</v>
      </c>
      <c r="I247">
        <v>2383.917142</v>
      </c>
      <c r="J247">
        <v>7.721989459960223</v>
      </c>
      <c r="K247">
        <v>0.08970942313663954</v>
      </c>
      <c r="L247">
        <v>1.494077515920455</v>
      </c>
      <c r="M247">
        <v>82.7</v>
      </c>
      <c r="N247">
        <v>39.94</v>
      </c>
    </row>
    <row r="248" spans="1:14">
      <c r="A248" s="1" t="s">
        <v>260</v>
      </c>
      <c r="B248">
        <f>HYPERLINK("https://www.suredividend.com/sure-analysis-research-database/","Consensus Cloud Solutions Inc")</f>
        <v>0</v>
      </c>
      <c r="C248" t="s">
        <v>1812</v>
      </c>
      <c r="D248">
        <v>30.48</v>
      </c>
      <c r="E248">
        <v>0</v>
      </c>
      <c r="F248" t="s">
        <v>1812</v>
      </c>
      <c r="G248" t="s">
        <v>1812</v>
      </c>
      <c r="H248">
        <v>0</v>
      </c>
      <c r="I248">
        <v>599.226467</v>
      </c>
      <c r="J248">
        <v>8.626183561454525</v>
      </c>
      <c r="K248">
        <v>0</v>
      </c>
      <c r="L248">
        <v>0.9095325749988581</v>
      </c>
      <c r="M248">
        <v>65.68000000000001</v>
      </c>
      <c r="N248">
        <v>29.35</v>
      </c>
    </row>
    <row r="249" spans="1:14">
      <c r="A249" s="1" t="s">
        <v>261</v>
      </c>
      <c r="B249">
        <f>HYPERLINK("https://www.suredividend.com/sure-analysis-research-database/","Coeur Mining Inc")</f>
        <v>0</v>
      </c>
      <c r="C249" t="s">
        <v>1823</v>
      </c>
      <c r="D249">
        <v>2.71</v>
      </c>
      <c r="E249">
        <v>0</v>
      </c>
      <c r="F249" t="s">
        <v>1812</v>
      </c>
      <c r="G249" t="s">
        <v>1812</v>
      </c>
      <c r="H249">
        <v>0</v>
      </c>
      <c r="I249">
        <v>902.526387</v>
      </c>
      <c r="J249" t="s">
        <v>1812</v>
      </c>
      <c r="K249">
        <v>-0</v>
      </c>
      <c r="L249">
        <v>1.352026410368508</v>
      </c>
      <c r="M249">
        <v>4.55</v>
      </c>
      <c r="N249">
        <v>2.59</v>
      </c>
    </row>
    <row r="250" spans="1:14">
      <c r="A250" s="1" t="s">
        <v>262</v>
      </c>
      <c r="B250">
        <f>HYPERLINK("https://www.suredividend.com/sure-analysis-research-database/","Cardlytics Inc")</f>
        <v>0</v>
      </c>
      <c r="C250" t="s">
        <v>1821</v>
      </c>
      <c r="D250">
        <v>13.76</v>
      </c>
      <c r="E250">
        <v>0</v>
      </c>
      <c r="F250" t="s">
        <v>1812</v>
      </c>
      <c r="G250" t="s">
        <v>1812</v>
      </c>
      <c r="H250">
        <v>0</v>
      </c>
      <c r="I250">
        <v>519.085116</v>
      </c>
      <c r="J250" t="s">
        <v>1812</v>
      </c>
      <c r="K250">
        <v>-0</v>
      </c>
      <c r="L250">
        <v>3.270914999663154</v>
      </c>
      <c r="M250">
        <v>18.21</v>
      </c>
      <c r="N250">
        <v>2.57</v>
      </c>
    </row>
    <row r="251" spans="1:14">
      <c r="A251" s="1" t="s">
        <v>263</v>
      </c>
      <c r="B251">
        <f>HYPERLINK("https://www.suredividend.com/sure-analysis-research-database/","Avid Bioservices Inc")</f>
        <v>0</v>
      </c>
      <c r="C251" t="s">
        <v>1817</v>
      </c>
      <c r="D251">
        <v>12.19</v>
      </c>
      <c r="E251">
        <v>0</v>
      </c>
      <c r="F251" t="s">
        <v>1812</v>
      </c>
      <c r="G251" t="s">
        <v>1812</v>
      </c>
      <c r="H251">
        <v>0</v>
      </c>
      <c r="I251">
        <v>764.6683870000001</v>
      </c>
      <c r="J251">
        <v>1365.479262964286</v>
      </c>
      <c r="K251">
        <v>0</v>
      </c>
      <c r="L251">
        <v>1.579692949211347</v>
      </c>
      <c r="M251">
        <v>21.05</v>
      </c>
      <c r="N251">
        <v>11.34</v>
      </c>
    </row>
    <row r="252" spans="1:14">
      <c r="A252" s="1" t="s">
        <v>264</v>
      </c>
      <c r="B252">
        <f>HYPERLINK("https://www.suredividend.com/sure-analysis-research-database/","Caredx Inc")</f>
        <v>0</v>
      </c>
      <c r="C252" t="s">
        <v>1817</v>
      </c>
      <c r="D252">
        <v>10.73</v>
      </c>
      <c r="E252">
        <v>0</v>
      </c>
      <c r="F252" t="s">
        <v>1812</v>
      </c>
      <c r="G252" t="s">
        <v>1812</v>
      </c>
      <c r="H252">
        <v>0</v>
      </c>
      <c r="I252">
        <v>577.199609</v>
      </c>
      <c r="J252">
        <v>0</v>
      </c>
      <c r="K252" t="s">
        <v>1812</v>
      </c>
      <c r="L252">
        <v>1.121297645629182</v>
      </c>
      <c r="M252">
        <v>27.33</v>
      </c>
      <c r="N252">
        <v>6.22</v>
      </c>
    </row>
    <row r="253" spans="1:14">
      <c r="A253" s="1" t="s">
        <v>265</v>
      </c>
      <c r="B253">
        <f>HYPERLINK("https://www.suredividend.com/sure-analysis-research-database/","Cadre Holdings Inc")</f>
        <v>0</v>
      </c>
      <c r="C253" t="s">
        <v>1812</v>
      </c>
      <c r="D253">
        <v>23.29</v>
      </c>
      <c r="E253">
        <v>0.013666828368655</v>
      </c>
      <c r="F253" t="s">
        <v>1812</v>
      </c>
      <c r="G253" t="s">
        <v>1812</v>
      </c>
      <c r="H253">
        <v>0.318300432705978</v>
      </c>
      <c r="I253">
        <v>875.378662</v>
      </c>
      <c r="J253">
        <v>0</v>
      </c>
      <c r="K253" t="s">
        <v>1812</v>
      </c>
      <c r="L253">
        <v>0.681874780606845</v>
      </c>
      <c r="M253">
        <v>31.16</v>
      </c>
      <c r="N253">
        <v>16.46</v>
      </c>
    </row>
    <row r="254" spans="1:14">
      <c r="A254" s="1" t="s">
        <v>266</v>
      </c>
      <c r="B254">
        <f>HYPERLINK("https://www.suredividend.com/sure-analysis-research-database/","Codexis Inc.")</f>
        <v>0</v>
      </c>
      <c r="C254" t="s">
        <v>1817</v>
      </c>
      <c r="D254">
        <v>3.38</v>
      </c>
      <c r="E254">
        <v>0</v>
      </c>
      <c r="F254" t="s">
        <v>1812</v>
      </c>
      <c r="G254" t="s">
        <v>1812</v>
      </c>
      <c r="H254">
        <v>0</v>
      </c>
      <c r="I254">
        <v>225.674883</v>
      </c>
      <c r="J254">
        <v>0</v>
      </c>
      <c r="K254" t="s">
        <v>1812</v>
      </c>
      <c r="L254">
        <v>2.1230117850139</v>
      </c>
      <c r="M254">
        <v>9.289999999999999</v>
      </c>
      <c r="N254">
        <v>2.19</v>
      </c>
    </row>
    <row r="255" spans="1:14">
      <c r="A255" s="1" t="s">
        <v>267</v>
      </c>
      <c r="B255">
        <f>HYPERLINK("https://www.suredividend.com/sure-analysis-research-database/","Consol Energy Inc")</f>
        <v>0</v>
      </c>
      <c r="C255" t="s">
        <v>1822</v>
      </c>
      <c r="D255">
        <v>70.84</v>
      </c>
      <c r="E255">
        <v>0.044800474917861</v>
      </c>
      <c r="F255" t="s">
        <v>1812</v>
      </c>
      <c r="G255" t="s">
        <v>1812</v>
      </c>
      <c r="H255">
        <v>3.173665643181302</v>
      </c>
      <c r="I255">
        <v>2461.470679</v>
      </c>
      <c r="J255">
        <v>3.507337753396238</v>
      </c>
      <c r="K255">
        <v>0.1620871115005773</v>
      </c>
      <c r="L255">
        <v>0.9005915969553391</v>
      </c>
      <c r="M255">
        <v>75.56999999999999</v>
      </c>
      <c r="N255">
        <v>48.47</v>
      </c>
    </row>
    <row r="256" spans="1:14">
      <c r="A256" s="1" t="s">
        <v>268</v>
      </c>
      <c r="B256">
        <f>HYPERLINK("https://www.suredividend.com/sure-analysis-research-database/","Celsius Holdings Inc")</f>
        <v>0</v>
      </c>
      <c r="C256" t="s">
        <v>1819</v>
      </c>
      <c r="D256">
        <v>143.36</v>
      </c>
      <c r="E256">
        <v>0</v>
      </c>
      <c r="F256" t="s">
        <v>1812</v>
      </c>
      <c r="G256" t="s">
        <v>1812</v>
      </c>
      <c r="H256">
        <v>0</v>
      </c>
      <c r="I256">
        <v>10895.36</v>
      </c>
      <c r="J256" t="s">
        <v>1812</v>
      </c>
      <c r="K256">
        <v>-0</v>
      </c>
      <c r="L256">
        <v>1.532505560080111</v>
      </c>
      <c r="M256">
        <v>157.28</v>
      </c>
      <c r="N256">
        <v>78.25</v>
      </c>
    </row>
    <row r="257" spans="1:14">
      <c r="A257" s="1" t="s">
        <v>269</v>
      </c>
      <c r="B257">
        <f>HYPERLINK("https://www.suredividend.com/sure-analysis-research-database/","PhenomeX Inc")</f>
        <v>0</v>
      </c>
      <c r="C257" t="s">
        <v>1812</v>
      </c>
      <c r="D257">
        <v>0.54</v>
      </c>
      <c r="E257">
        <v>0</v>
      </c>
      <c r="F257" t="s">
        <v>1812</v>
      </c>
      <c r="G257" t="s">
        <v>1812</v>
      </c>
      <c r="H257">
        <v>0</v>
      </c>
      <c r="I257">
        <v>53.349635</v>
      </c>
      <c r="J257">
        <v>0</v>
      </c>
      <c r="K257" t="s">
        <v>1812</v>
      </c>
      <c r="L257">
        <v>1.579321850111416</v>
      </c>
      <c r="M257">
        <v>5.7</v>
      </c>
      <c r="N257">
        <v>0.4306</v>
      </c>
    </row>
    <row r="258" spans="1:14">
      <c r="A258" s="1" t="s">
        <v>270</v>
      </c>
      <c r="B258">
        <f>HYPERLINK("https://www.suredividend.com/sure-analysis-research-database/","Celularity Inc")</f>
        <v>0</v>
      </c>
      <c r="C258" t="s">
        <v>1812</v>
      </c>
      <c r="D258">
        <v>0.3827</v>
      </c>
      <c r="E258">
        <v>0</v>
      </c>
      <c r="F258" t="s">
        <v>1812</v>
      </c>
      <c r="G258" t="s">
        <v>1812</v>
      </c>
      <c r="H258">
        <v>0</v>
      </c>
      <c r="I258">
        <v>69.08893500000001</v>
      </c>
      <c r="J258">
        <v>0</v>
      </c>
      <c r="K258" t="s">
        <v>1812</v>
      </c>
      <c r="L258">
        <v>1.407409345939112</v>
      </c>
      <c r="M258">
        <v>3.44</v>
      </c>
      <c r="N258">
        <v>0.3425</v>
      </c>
    </row>
    <row r="259" spans="1:14">
      <c r="A259" s="1" t="s">
        <v>271</v>
      </c>
      <c r="B259">
        <f>HYPERLINK("https://www.suredividend.com/sure-analysis-research-database/","Cenntro Electric Group Limited")</f>
        <v>0</v>
      </c>
      <c r="C259" t="s">
        <v>1812</v>
      </c>
      <c r="D259">
        <v>0.3819</v>
      </c>
      <c r="E259">
        <v>0</v>
      </c>
      <c r="F259" t="s">
        <v>1812</v>
      </c>
      <c r="G259" t="s">
        <v>1812</v>
      </c>
      <c r="H259">
        <v>0</v>
      </c>
      <c r="I259">
        <v>116.269108</v>
      </c>
      <c r="J259" t="s">
        <v>1812</v>
      </c>
      <c r="K259">
        <v>-0</v>
      </c>
      <c r="L259">
        <v>2.019996464748914</v>
      </c>
      <c r="M259">
        <v>1.74</v>
      </c>
      <c r="N259">
        <v>0.26</v>
      </c>
    </row>
    <row r="260" spans="1:14">
      <c r="A260" s="1" t="s">
        <v>272</v>
      </c>
      <c r="B260">
        <f>HYPERLINK("https://www.suredividend.com/sure-analysis-research-database/","Central Garden &amp; Pet Co.")</f>
        <v>0</v>
      </c>
      <c r="C260" t="s">
        <v>1819</v>
      </c>
      <c r="D260">
        <v>46.33</v>
      </c>
      <c r="E260">
        <v>0</v>
      </c>
      <c r="F260" t="s">
        <v>1812</v>
      </c>
      <c r="G260" t="s">
        <v>1812</v>
      </c>
      <c r="H260">
        <v>0</v>
      </c>
      <c r="I260">
        <v>2295.380704</v>
      </c>
      <c r="J260">
        <v>20.29299016691421</v>
      </c>
      <c r="K260">
        <v>0</v>
      </c>
      <c r="L260">
        <v>0.7501636857372631</v>
      </c>
      <c r="M260">
        <v>48.48</v>
      </c>
      <c r="N260">
        <v>35.6</v>
      </c>
    </row>
    <row r="261" spans="1:14">
      <c r="A261" s="1" t="s">
        <v>273</v>
      </c>
      <c r="B261">
        <f>HYPERLINK("https://www.suredividend.com/sure-analysis-research-database/","Central Garden &amp; Pet Co.")</f>
        <v>0</v>
      </c>
      <c r="C261" t="s">
        <v>1819</v>
      </c>
      <c r="D261">
        <v>43.02</v>
      </c>
      <c r="E261">
        <v>0</v>
      </c>
      <c r="F261" t="s">
        <v>1812</v>
      </c>
      <c r="G261" t="s">
        <v>1812</v>
      </c>
      <c r="H261">
        <v>0</v>
      </c>
      <c r="I261">
        <v>2295.380704</v>
      </c>
      <c r="J261">
        <v>20.29299016691421</v>
      </c>
      <c r="K261">
        <v>0</v>
      </c>
      <c r="L261">
        <v>0.7465356862579381</v>
      </c>
      <c r="M261">
        <v>45.93</v>
      </c>
      <c r="N261">
        <v>33.69</v>
      </c>
    </row>
    <row r="262" spans="1:14">
      <c r="A262" s="1" t="s">
        <v>274</v>
      </c>
      <c r="B262">
        <f>HYPERLINK("https://www.suredividend.com/sure-analysis-research-database/","Century Aluminum Co.")</f>
        <v>0</v>
      </c>
      <c r="C262" t="s">
        <v>1823</v>
      </c>
      <c r="D262">
        <v>9.24</v>
      </c>
      <c r="E262">
        <v>0</v>
      </c>
      <c r="F262" t="s">
        <v>1812</v>
      </c>
      <c r="G262" t="s">
        <v>1812</v>
      </c>
      <c r="H262">
        <v>0</v>
      </c>
      <c r="I262">
        <v>853.0735570000001</v>
      </c>
      <c r="J262" t="s">
        <v>1812</v>
      </c>
      <c r="K262">
        <v>-0</v>
      </c>
      <c r="L262">
        <v>2.701169810260638</v>
      </c>
      <c r="M262">
        <v>12.97</v>
      </c>
      <c r="N262">
        <v>5.27</v>
      </c>
    </row>
    <row r="263" spans="1:14">
      <c r="A263" s="1" t="s">
        <v>275</v>
      </c>
      <c r="B263">
        <f>HYPERLINK("https://www.suredividend.com/sure-analysis-research-database/","Cerevel Therapeutics Holdings Inc")</f>
        <v>0</v>
      </c>
      <c r="C263" t="s">
        <v>1812</v>
      </c>
      <c r="D263">
        <v>23.76</v>
      </c>
      <c r="E263">
        <v>0</v>
      </c>
      <c r="F263" t="s">
        <v>1812</v>
      </c>
      <c r="G263" t="s">
        <v>1812</v>
      </c>
      <c r="H263">
        <v>0</v>
      </c>
      <c r="I263">
        <v>3726.35208</v>
      </c>
      <c r="J263">
        <v>0</v>
      </c>
      <c r="K263" t="s">
        <v>1812</v>
      </c>
      <c r="L263">
        <v>1.2232325169798</v>
      </c>
      <c r="M263">
        <v>41.46</v>
      </c>
      <c r="N263">
        <v>22.63</v>
      </c>
    </row>
    <row r="264" spans="1:14">
      <c r="A264" s="1" t="s">
        <v>276</v>
      </c>
      <c r="B264">
        <f>HYPERLINK("https://www.suredividend.com/sure-analysis-research-database/","Cerus Corp.")</f>
        <v>0</v>
      </c>
      <c r="C264" t="s">
        <v>1817</v>
      </c>
      <c r="D264">
        <v>2.44</v>
      </c>
      <c r="E264">
        <v>0</v>
      </c>
      <c r="F264" t="s">
        <v>1812</v>
      </c>
      <c r="G264" t="s">
        <v>1812</v>
      </c>
      <c r="H264">
        <v>0</v>
      </c>
      <c r="I264">
        <v>440.547344</v>
      </c>
      <c r="J264" t="s">
        <v>1812</v>
      </c>
      <c r="K264">
        <v>-0</v>
      </c>
      <c r="L264">
        <v>1.71297284295865</v>
      </c>
      <c r="M264">
        <v>5.85</v>
      </c>
      <c r="N264">
        <v>1.76</v>
      </c>
    </row>
    <row r="265" spans="1:14">
      <c r="A265" s="1" t="s">
        <v>277</v>
      </c>
      <c r="B265">
        <f>HYPERLINK("https://www.suredividend.com/sure-analysis-research-database/","Ceva Inc.")</f>
        <v>0</v>
      </c>
      <c r="C265" t="s">
        <v>1818</v>
      </c>
      <c r="D265">
        <v>25.74</v>
      </c>
      <c r="E265">
        <v>0</v>
      </c>
      <c r="F265" t="s">
        <v>1812</v>
      </c>
      <c r="G265" t="s">
        <v>1812</v>
      </c>
      <c r="H265">
        <v>0</v>
      </c>
      <c r="I265">
        <v>602.728509</v>
      </c>
      <c r="J265" t="s">
        <v>1812</v>
      </c>
      <c r="K265">
        <v>-0</v>
      </c>
      <c r="L265">
        <v>1.501702196594976</v>
      </c>
      <c r="M265">
        <v>39.18</v>
      </c>
      <c r="N265">
        <v>20.52</v>
      </c>
    </row>
    <row r="266" spans="1:14">
      <c r="A266" s="1" t="s">
        <v>278</v>
      </c>
      <c r="B266">
        <f>HYPERLINK("https://www.suredividend.com/sure-analysis-research-database/","Crossfirst Bankshares Inc")</f>
        <v>0</v>
      </c>
      <c r="C266" t="s">
        <v>1815</v>
      </c>
      <c r="D266">
        <v>11.68</v>
      </c>
      <c r="E266">
        <v>0</v>
      </c>
      <c r="F266" t="s">
        <v>1812</v>
      </c>
      <c r="G266" t="s">
        <v>1812</v>
      </c>
      <c r="H266">
        <v>0</v>
      </c>
      <c r="I266">
        <v>567.655218</v>
      </c>
      <c r="J266">
        <v>0</v>
      </c>
      <c r="K266" t="s">
        <v>1812</v>
      </c>
      <c r="L266">
        <v>0.8831706697857251</v>
      </c>
      <c r="M266">
        <v>14.79</v>
      </c>
      <c r="N266">
        <v>9.289999999999999</v>
      </c>
    </row>
    <row r="267" spans="1:14">
      <c r="A267" s="1" t="s">
        <v>279</v>
      </c>
      <c r="B267">
        <f>HYPERLINK("https://www.suredividend.com/sure-analysis-research-database/","Capitol Federal Financial")</f>
        <v>0</v>
      </c>
      <c r="C267" t="s">
        <v>1815</v>
      </c>
      <c r="D267">
        <v>6.4</v>
      </c>
      <c r="E267">
        <v>0.05114702913632101</v>
      </c>
      <c r="F267">
        <v>0</v>
      </c>
      <c r="G267">
        <v>0</v>
      </c>
      <c r="H267">
        <v>0.327340986472459</v>
      </c>
      <c r="I267">
        <v>871.414842</v>
      </c>
      <c r="J267">
        <v>12.26671042103633</v>
      </c>
      <c r="K267">
        <v>0.6212582776095256</v>
      </c>
      <c r="L267">
        <v>0.8594526310247781</v>
      </c>
      <c r="M267">
        <v>9.18</v>
      </c>
      <c r="N267">
        <v>5.11</v>
      </c>
    </row>
    <row r="268" spans="1:14">
      <c r="A268" s="1" t="s">
        <v>280</v>
      </c>
      <c r="B268">
        <f>HYPERLINK("https://www.suredividend.com/sure-analysis-research-database/","Cullinan Oncology Inc")</f>
        <v>0</v>
      </c>
      <c r="C268" t="s">
        <v>1812</v>
      </c>
      <c r="D268">
        <v>10.01</v>
      </c>
      <c r="E268">
        <v>0</v>
      </c>
      <c r="F268" t="s">
        <v>1812</v>
      </c>
      <c r="G268" t="s">
        <v>1812</v>
      </c>
      <c r="H268">
        <v>0</v>
      </c>
      <c r="I268">
        <v>394.002769</v>
      </c>
      <c r="J268">
        <v>0</v>
      </c>
      <c r="K268" t="s">
        <v>1812</v>
      </c>
      <c r="L268">
        <v>0.842228172582091</v>
      </c>
      <c r="M268">
        <v>15.04</v>
      </c>
      <c r="N268">
        <v>7.78</v>
      </c>
    </row>
    <row r="269" spans="1:14">
      <c r="A269" s="1" t="s">
        <v>281</v>
      </c>
      <c r="B269">
        <f>HYPERLINK("https://www.suredividend.com/sure-analysis-research-database/","City Holding Co.")</f>
        <v>0</v>
      </c>
      <c r="C269" t="s">
        <v>1815</v>
      </c>
      <c r="D269">
        <v>97.59999999999999</v>
      </c>
      <c r="E269">
        <v>0.026120843637072</v>
      </c>
      <c r="F269">
        <v>0.08333333333333326</v>
      </c>
      <c r="G269">
        <v>0.04166362161741732</v>
      </c>
      <c r="H269">
        <v>2.5493943389783</v>
      </c>
      <c r="I269">
        <v>1471.600014</v>
      </c>
      <c r="J269">
        <v>14.13667903706123</v>
      </c>
      <c r="K269">
        <v>0.3631615867490456</v>
      </c>
      <c r="L269">
        <v>0.567423751366373</v>
      </c>
      <c r="M269">
        <v>100.71</v>
      </c>
      <c r="N269">
        <v>79.08</v>
      </c>
    </row>
    <row r="270" spans="1:14">
      <c r="A270" s="1" t="s">
        <v>282</v>
      </c>
      <c r="B270">
        <f>HYPERLINK("https://www.suredividend.com/sure-analysis-CHCT/","Community Healthcare Trust Inc")</f>
        <v>0</v>
      </c>
      <c r="C270" t="s">
        <v>1814</v>
      </c>
      <c r="D270">
        <v>36.04</v>
      </c>
      <c r="E270">
        <v>0.05022197558268591</v>
      </c>
      <c r="F270">
        <v>0.02272727272727271</v>
      </c>
      <c r="G270">
        <v>0.02256123756555906</v>
      </c>
      <c r="H270">
        <v>1.753285958610412</v>
      </c>
      <c r="I270">
        <v>957.189063</v>
      </c>
      <c r="J270">
        <v>124.7476949042096</v>
      </c>
      <c r="K270">
        <v>5.522160499560353</v>
      </c>
      <c r="L270">
        <v>0.582514021490202</v>
      </c>
      <c r="M270">
        <v>42.86</v>
      </c>
      <c r="N270">
        <v>29.3</v>
      </c>
    </row>
    <row r="271" spans="1:14">
      <c r="A271" s="1" t="s">
        <v>283</v>
      </c>
      <c r="B271">
        <f>HYPERLINK("https://www.suredividend.com/sure-analysis-research-database/","Chefs` Warehouse Inc")</f>
        <v>0</v>
      </c>
      <c r="C271" t="s">
        <v>1819</v>
      </c>
      <c r="D271">
        <v>30.14</v>
      </c>
      <c r="E271">
        <v>0</v>
      </c>
      <c r="F271" t="s">
        <v>1812</v>
      </c>
      <c r="G271" t="s">
        <v>1812</v>
      </c>
      <c r="H271">
        <v>0</v>
      </c>
      <c r="I271">
        <v>1195.523927</v>
      </c>
      <c r="J271">
        <v>43.05711758049413</v>
      </c>
      <c r="K271">
        <v>0</v>
      </c>
      <c r="L271">
        <v>1.020161594227847</v>
      </c>
      <c r="M271">
        <v>39.54</v>
      </c>
      <c r="N271">
        <v>28.7</v>
      </c>
    </row>
    <row r="272" spans="1:14">
      <c r="A272" s="1" t="s">
        <v>284</v>
      </c>
      <c r="B272">
        <f>HYPERLINK("https://www.suredividend.com/sure-analysis-research-database/","Chegg Inc")</f>
        <v>0</v>
      </c>
      <c r="C272" t="s">
        <v>1819</v>
      </c>
      <c r="D272">
        <v>10.44</v>
      </c>
      <c r="E272">
        <v>0</v>
      </c>
      <c r="F272" t="s">
        <v>1812</v>
      </c>
      <c r="G272" t="s">
        <v>1812</v>
      </c>
      <c r="H272">
        <v>0</v>
      </c>
      <c r="I272">
        <v>1249.83504</v>
      </c>
      <c r="J272">
        <v>4.750743266358017</v>
      </c>
      <c r="K272">
        <v>0</v>
      </c>
      <c r="L272">
        <v>1.150640676254804</v>
      </c>
      <c r="M272">
        <v>30.05</v>
      </c>
      <c r="N272">
        <v>8.550000000000001</v>
      </c>
    </row>
    <row r="273" spans="1:14">
      <c r="A273" s="1" t="s">
        <v>285</v>
      </c>
      <c r="B273">
        <f>HYPERLINK("https://www.suredividend.com/sure-analysis-research-database/","Chord Energy Corp")</f>
        <v>0</v>
      </c>
      <c r="C273" t="s">
        <v>1812</v>
      </c>
      <c r="D273">
        <v>156.23</v>
      </c>
      <c r="E273">
        <v>0.03138811382878001</v>
      </c>
      <c r="F273" t="s">
        <v>1812</v>
      </c>
      <c r="G273" t="s">
        <v>1812</v>
      </c>
      <c r="H273">
        <v>4.903765023470406</v>
      </c>
      <c r="I273">
        <v>6491.344939</v>
      </c>
      <c r="J273">
        <v>3.849065439517857</v>
      </c>
      <c r="K273">
        <v>0.1111208933485249</v>
      </c>
      <c r="L273">
        <v>1.079134416695283</v>
      </c>
      <c r="M273">
        <v>160.52</v>
      </c>
      <c r="N273">
        <v>112.6</v>
      </c>
    </row>
    <row r="274" spans="1:14">
      <c r="A274" s="1" t="s">
        <v>286</v>
      </c>
      <c r="B274">
        <f>HYPERLINK("https://www.suredividend.com/sure-analysis-research-database/","Coherus Biosciences Inc")</f>
        <v>0</v>
      </c>
      <c r="C274" t="s">
        <v>1817</v>
      </c>
      <c r="D274">
        <v>5.11</v>
      </c>
      <c r="E274">
        <v>0</v>
      </c>
      <c r="F274" t="s">
        <v>1812</v>
      </c>
      <c r="G274" t="s">
        <v>1812</v>
      </c>
      <c r="H274">
        <v>0</v>
      </c>
      <c r="I274">
        <v>411.62956</v>
      </c>
      <c r="J274" t="s">
        <v>1812</v>
      </c>
      <c r="K274">
        <v>-0</v>
      </c>
      <c r="L274">
        <v>1.644345335553491</v>
      </c>
      <c r="M274">
        <v>14.11</v>
      </c>
      <c r="N274">
        <v>3.6</v>
      </c>
    </row>
    <row r="275" spans="1:14">
      <c r="A275" s="1" t="s">
        <v>287</v>
      </c>
      <c r="B275">
        <f>HYPERLINK("https://www.suredividend.com/sure-analysis-research-database/","Chico`s Fas, Inc.")</f>
        <v>0</v>
      </c>
      <c r="C275" t="s">
        <v>1816</v>
      </c>
      <c r="D275">
        <v>6.07</v>
      </c>
      <c r="E275">
        <v>0</v>
      </c>
      <c r="F275" t="s">
        <v>1812</v>
      </c>
      <c r="G275" t="s">
        <v>1812</v>
      </c>
      <c r="H275">
        <v>0</v>
      </c>
      <c r="I275">
        <v>749.376475</v>
      </c>
      <c r="J275">
        <v>6.587635491538833</v>
      </c>
      <c r="K275">
        <v>0</v>
      </c>
      <c r="L275">
        <v>1.285214965889715</v>
      </c>
      <c r="M275">
        <v>7.31</v>
      </c>
      <c r="N275">
        <v>4.33</v>
      </c>
    </row>
    <row r="276" spans="1:14">
      <c r="A276" s="1" t="s">
        <v>288</v>
      </c>
      <c r="B276">
        <f>HYPERLINK("https://www.suredividend.com/sure-analysis-research-database/","Chuy`s Holdings Inc")</f>
        <v>0</v>
      </c>
      <c r="C276" t="s">
        <v>1816</v>
      </c>
      <c r="D276">
        <v>40.02</v>
      </c>
      <c r="E276">
        <v>0</v>
      </c>
      <c r="F276" t="s">
        <v>1812</v>
      </c>
      <c r="G276" t="s">
        <v>1812</v>
      </c>
      <c r="H276">
        <v>0</v>
      </c>
      <c r="I276">
        <v>722.1723459999999</v>
      </c>
      <c r="J276">
        <v>30.65377756780848</v>
      </c>
      <c r="K276">
        <v>0</v>
      </c>
      <c r="L276">
        <v>0.906926046588966</v>
      </c>
      <c r="M276">
        <v>43.17</v>
      </c>
      <c r="N276">
        <v>20.85</v>
      </c>
    </row>
    <row r="277" spans="1:14">
      <c r="A277" s="1" t="s">
        <v>289</v>
      </c>
      <c r="B277">
        <f>HYPERLINK("https://www.suredividend.com/sure-analysis-research-database/","ChampionX Corporation")</f>
        <v>0</v>
      </c>
      <c r="C277" t="s">
        <v>1812</v>
      </c>
      <c r="D277">
        <v>35.64</v>
      </c>
      <c r="E277">
        <v>0.008924906317234001</v>
      </c>
      <c r="F277" t="s">
        <v>1812</v>
      </c>
      <c r="G277" t="s">
        <v>1812</v>
      </c>
      <c r="H277">
        <v>0.318083661146237</v>
      </c>
      <c r="I277">
        <v>7006.179023</v>
      </c>
      <c r="J277">
        <v>27.99627187945048</v>
      </c>
      <c r="K277">
        <v>0.2586046025579163</v>
      </c>
      <c r="L277">
        <v>1.031208885536129</v>
      </c>
      <c r="M277">
        <v>36.27</v>
      </c>
      <c r="N277">
        <v>17.57</v>
      </c>
    </row>
    <row r="278" spans="1:14">
      <c r="A278" s="1" t="s">
        <v>290</v>
      </c>
      <c r="B278">
        <f>HYPERLINK("https://www.suredividend.com/sure-analysis-research-database/","Cipher Mining Inc")</f>
        <v>0</v>
      </c>
      <c r="C278" t="s">
        <v>1812</v>
      </c>
      <c r="D278">
        <v>3.58</v>
      </c>
      <c r="E278">
        <v>0</v>
      </c>
      <c r="F278" t="s">
        <v>1812</v>
      </c>
      <c r="G278" t="s">
        <v>1812</v>
      </c>
      <c r="H278">
        <v>0</v>
      </c>
      <c r="I278">
        <v>891.196271</v>
      </c>
      <c r="J278">
        <v>0</v>
      </c>
      <c r="K278" t="s">
        <v>1812</v>
      </c>
      <c r="L278">
        <v>1.807095078377955</v>
      </c>
      <c r="M278">
        <v>5.3</v>
      </c>
      <c r="N278">
        <v>0.3818</v>
      </c>
    </row>
    <row r="279" spans="1:14">
      <c r="A279" s="1" t="s">
        <v>291</v>
      </c>
      <c r="B279">
        <f>HYPERLINK("https://www.suredividend.com/sure-analysis-CIM/","Chimera Investment Corp")</f>
        <v>0</v>
      </c>
      <c r="C279" t="s">
        <v>1814</v>
      </c>
      <c r="D279">
        <v>5.67</v>
      </c>
      <c r="E279">
        <v>0.126984126984127</v>
      </c>
      <c r="F279">
        <v>-0.4545454545454546</v>
      </c>
      <c r="G279">
        <v>-0.1848068903940773</v>
      </c>
      <c r="H279">
        <v>0.822403137742665</v>
      </c>
      <c r="I279">
        <v>1315.98525</v>
      </c>
      <c r="J279" t="s">
        <v>1812</v>
      </c>
      <c r="K279" t="s">
        <v>1812</v>
      </c>
      <c r="L279">
        <v>1.460501849461178</v>
      </c>
      <c r="M279">
        <v>8.300000000000001</v>
      </c>
      <c r="N279">
        <v>4.34</v>
      </c>
    </row>
    <row r="280" spans="1:14">
      <c r="A280" s="1" t="s">
        <v>292</v>
      </c>
      <c r="B280">
        <f>HYPERLINK("https://www.suredividend.com/sure-analysis-CIO/","City Office REIT Inc")</f>
        <v>0</v>
      </c>
      <c r="C280" t="s">
        <v>1814</v>
      </c>
      <c r="D280">
        <v>5.32</v>
      </c>
      <c r="E280">
        <v>0.07518796992481203</v>
      </c>
      <c r="F280">
        <v>-0.5</v>
      </c>
      <c r="G280">
        <v>-0.1570798659572398</v>
      </c>
      <c r="H280">
        <v>0.864669284239682</v>
      </c>
      <c r="I280">
        <v>212.472559</v>
      </c>
      <c r="J280" t="s">
        <v>1812</v>
      </c>
      <c r="K280" t="s">
        <v>1812</v>
      </c>
      <c r="L280">
        <v>0.991438409055698</v>
      </c>
      <c r="M280">
        <v>12.32</v>
      </c>
      <c r="N280">
        <v>3.96</v>
      </c>
    </row>
    <row r="281" spans="1:14">
      <c r="A281" s="1" t="s">
        <v>293</v>
      </c>
      <c r="B281">
        <f>HYPERLINK("https://www.suredividend.com/sure-analysis-research-database/","Circor International Inc")</f>
        <v>0</v>
      </c>
      <c r="C281" t="s">
        <v>1813</v>
      </c>
      <c r="D281">
        <v>55.8</v>
      </c>
      <c r="E281">
        <v>0</v>
      </c>
      <c r="F281" t="s">
        <v>1812</v>
      </c>
      <c r="G281" t="s">
        <v>1812</v>
      </c>
      <c r="H281">
        <v>0</v>
      </c>
      <c r="I281">
        <v>1137.786831</v>
      </c>
      <c r="J281">
        <v>28.11988609065296</v>
      </c>
      <c r="K281">
        <v>0</v>
      </c>
      <c r="L281">
        <v>1.652423758077888</v>
      </c>
      <c r="M281">
        <v>56.48</v>
      </c>
      <c r="N281">
        <v>13.32</v>
      </c>
    </row>
    <row r="282" spans="1:14">
      <c r="A282" s="1" t="s">
        <v>294</v>
      </c>
      <c r="B282">
        <f>HYPERLINK("https://www.suredividend.com/sure-analysis-research-database/","CISO Global Inc")</f>
        <v>0</v>
      </c>
      <c r="C282" t="s">
        <v>1812</v>
      </c>
      <c r="D282">
        <v>0.199</v>
      </c>
      <c r="E282">
        <v>0</v>
      </c>
      <c r="F282" t="s">
        <v>1812</v>
      </c>
      <c r="G282" t="s">
        <v>1812</v>
      </c>
      <c r="H282">
        <v>0</v>
      </c>
      <c r="I282">
        <v>30.780619</v>
      </c>
      <c r="J282">
        <v>0</v>
      </c>
      <c r="K282" t="s">
        <v>1812</v>
      </c>
      <c r="L282">
        <v>1.392291195166639</v>
      </c>
      <c r="M282">
        <v>3.56</v>
      </c>
      <c r="N282">
        <v>0.171</v>
      </c>
    </row>
    <row r="283" spans="1:14">
      <c r="A283" s="1" t="s">
        <v>295</v>
      </c>
      <c r="B283">
        <f>HYPERLINK("https://www.suredividend.com/sure-analysis-research-database/","Civista Bancshares Inc")</f>
        <v>0</v>
      </c>
      <c r="C283" t="s">
        <v>1815</v>
      </c>
      <c r="D283">
        <v>18.45</v>
      </c>
      <c r="E283">
        <v>0.030316387577796</v>
      </c>
      <c r="F283" t="s">
        <v>1812</v>
      </c>
      <c r="G283" t="s">
        <v>1812</v>
      </c>
      <c r="H283">
        <v>0.5593373508103451</v>
      </c>
      <c r="I283">
        <v>290.927165</v>
      </c>
      <c r="J283">
        <v>6.7816770670645</v>
      </c>
      <c r="K283">
        <v>0.1962587195825772</v>
      </c>
      <c r="L283">
        <v>0.6910213709725721</v>
      </c>
      <c r="M283">
        <v>23.66</v>
      </c>
      <c r="N283">
        <v>13.75</v>
      </c>
    </row>
    <row r="284" spans="1:14">
      <c r="A284" s="1" t="s">
        <v>296</v>
      </c>
      <c r="B284">
        <f>HYPERLINK("https://www.suredividend.com/sure-analysis-research-database/","Civitas Resources Inc")</f>
        <v>0</v>
      </c>
      <c r="C284" t="s">
        <v>1812</v>
      </c>
      <c r="D284">
        <v>72.40000000000001</v>
      </c>
      <c r="E284">
        <v>0.048767925731993</v>
      </c>
      <c r="F284" t="s">
        <v>1812</v>
      </c>
      <c r="G284" t="s">
        <v>1812</v>
      </c>
      <c r="H284">
        <v>3.53079782299635</v>
      </c>
      <c r="I284">
        <v>6788.272218</v>
      </c>
      <c r="J284">
        <v>4.99540968988198</v>
      </c>
      <c r="K284">
        <v>0.2205370282945877</v>
      </c>
      <c r="L284">
        <v>1.211592914957224</v>
      </c>
      <c r="M284">
        <v>76.2</v>
      </c>
      <c r="N284">
        <v>49.9</v>
      </c>
    </row>
    <row r="285" spans="1:14">
      <c r="A285" s="1" t="s">
        <v>297</v>
      </c>
      <c r="B285">
        <f>HYPERLINK("https://www.suredividend.com/sure-analysis-research-database/","Compx International, Inc.")</f>
        <v>0</v>
      </c>
      <c r="C285" t="s">
        <v>1813</v>
      </c>
      <c r="D285">
        <v>22.02</v>
      </c>
      <c r="E285">
        <v>0.04405520448852501</v>
      </c>
      <c r="F285">
        <v>-0.8571428571428572</v>
      </c>
      <c r="G285">
        <v>0.3797296614612149</v>
      </c>
      <c r="H285">
        <v>0.9700956028373231</v>
      </c>
      <c r="I285">
        <v>271.003597</v>
      </c>
      <c r="J285">
        <v>13.65188641076016</v>
      </c>
      <c r="K285">
        <v>0.6025438526939896</v>
      </c>
      <c r="L285">
        <v>0.7677137518203041</v>
      </c>
      <c r="M285">
        <v>25.34</v>
      </c>
      <c r="N285">
        <v>15.17</v>
      </c>
    </row>
    <row r="286" spans="1:14">
      <c r="A286" s="1" t="s">
        <v>298</v>
      </c>
      <c r="B286">
        <f>HYPERLINK("https://www.suredividend.com/sure-analysis-research-database/","Clarus Corp")</f>
        <v>0</v>
      </c>
      <c r="C286" t="s">
        <v>1816</v>
      </c>
      <c r="D286">
        <v>8.449999999999999</v>
      </c>
      <c r="E286">
        <v>0.011742372573835</v>
      </c>
      <c r="F286">
        <v>0</v>
      </c>
      <c r="G286">
        <v>0</v>
      </c>
      <c r="H286">
        <v>0.09922304824890901</v>
      </c>
      <c r="I286">
        <v>314.258052</v>
      </c>
      <c r="J286" t="s">
        <v>1812</v>
      </c>
      <c r="K286" t="s">
        <v>1812</v>
      </c>
      <c r="L286">
        <v>1.557874938971243</v>
      </c>
      <c r="M286">
        <v>28.91</v>
      </c>
      <c r="N286">
        <v>6.8</v>
      </c>
    </row>
    <row r="287" spans="1:14">
      <c r="A287" s="1" t="s">
        <v>299</v>
      </c>
      <c r="B287">
        <f>HYPERLINK("https://www.suredividend.com/sure-analysis-research-database/","Columbia Financial, Inc")</f>
        <v>0</v>
      </c>
      <c r="C287" t="s">
        <v>1815</v>
      </c>
      <c r="D287">
        <v>17.85</v>
      </c>
      <c r="E287">
        <v>0</v>
      </c>
      <c r="F287" t="s">
        <v>1812</v>
      </c>
      <c r="G287" t="s">
        <v>1812</v>
      </c>
      <c r="H287">
        <v>0</v>
      </c>
      <c r="I287">
        <v>1888.701378</v>
      </c>
      <c r="J287">
        <v>22.35361191414572</v>
      </c>
      <c r="K287">
        <v>0</v>
      </c>
      <c r="L287">
        <v>0.650317490797787</v>
      </c>
      <c r="M287">
        <v>22.75</v>
      </c>
      <c r="N287">
        <v>14.11</v>
      </c>
    </row>
    <row r="288" spans="1:14">
      <c r="A288" s="1" t="s">
        <v>300</v>
      </c>
      <c r="B288">
        <f>HYPERLINK("https://www.suredividend.com/sure-analysis-research-database/","Chatham Lodging Trust")</f>
        <v>0</v>
      </c>
      <c r="C288" t="s">
        <v>1814</v>
      </c>
      <c r="D288">
        <v>9.300000000000001</v>
      </c>
      <c r="E288">
        <v>0.014945506881871</v>
      </c>
      <c r="F288">
        <v>-0.3636363636363635</v>
      </c>
      <c r="G288">
        <v>-0.08643159600651407</v>
      </c>
      <c r="H288">
        <v>0.138993214001408</v>
      </c>
      <c r="I288">
        <v>454.358894</v>
      </c>
      <c r="J288">
        <v>70.69533118095535</v>
      </c>
      <c r="K288">
        <v>1.061016900774107</v>
      </c>
      <c r="L288">
        <v>1.144521312450642</v>
      </c>
      <c r="M288">
        <v>14.17</v>
      </c>
      <c r="N288">
        <v>8.949999999999999</v>
      </c>
    </row>
    <row r="289" spans="1:14">
      <c r="A289" s="1" t="s">
        <v>301</v>
      </c>
      <c r="B289">
        <f>HYPERLINK("https://www.suredividend.com/sure-analysis-research-database/","Celldex Therapeutics Inc.")</f>
        <v>0</v>
      </c>
      <c r="C289" t="s">
        <v>1817</v>
      </c>
      <c r="D289">
        <v>33.79</v>
      </c>
      <c r="E289">
        <v>0</v>
      </c>
      <c r="F289" t="s">
        <v>1812</v>
      </c>
      <c r="G289" t="s">
        <v>1812</v>
      </c>
      <c r="H289">
        <v>0</v>
      </c>
      <c r="I289">
        <v>1596.660928</v>
      </c>
      <c r="J289" t="s">
        <v>1812</v>
      </c>
      <c r="K289">
        <v>-0</v>
      </c>
      <c r="L289">
        <v>1.19643364125867</v>
      </c>
      <c r="M289">
        <v>48.4</v>
      </c>
      <c r="N289">
        <v>27.01</v>
      </c>
    </row>
    <row r="290" spans="1:14">
      <c r="A290" s="1" t="s">
        <v>302</v>
      </c>
      <c r="B290">
        <f>HYPERLINK("https://www.suredividend.com/sure-analysis-research-database/","Clearfield Inc")</f>
        <v>0</v>
      </c>
      <c r="C290" t="s">
        <v>1818</v>
      </c>
      <c r="D290">
        <v>45.12</v>
      </c>
      <c r="E290">
        <v>0</v>
      </c>
      <c r="F290" t="s">
        <v>1812</v>
      </c>
      <c r="G290" t="s">
        <v>1812</v>
      </c>
      <c r="H290">
        <v>0</v>
      </c>
      <c r="I290">
        <v>688.249426</v>
      </c>
      <c r="J290">
        <v>12.66188508352344</v>
      </c>
      <c r="K290">
        <v>0</v>
      </c>
      <c r="L290">
        <v>1.067673415567281</v>
      </c>
      <c r="M290">
        <v>134.9</v>
      </c>
      <c r="N290">
        <v>30</v>
      </c>
    </row>
    <row r="291" spans="1:14">
      <c r="A291" s="1" t="s">
        <v>303</v>
      </c>
      <c r="B291">
        <f>HYPERLINK("https://www.suredividend.com/sure-analysis-research-database/","Clean Energy Fuels Corp")</f>
        <v>0</v>
      </c>
      <c r="C291" t="s">
        <v>1822</v>
      </c>
      <c r="D291">
        <v>4.73</v>
      </c>
      <c r="E291">
        <v>0</v>
      </c>
      <c r="F291" t="s">
        <v>1812</v>
      </c>
      <c r="G291" t="s">
        <v>1812</v>
      </c>
      <c r="H291">
        <v>0</v>
      </c>
      <c r="I291">
        <v>1054.353799</v>
      </c>
      <c r="J291" t="s">
        <v>1812</v>
      </c>
      <c r="K291">
        <v>-0</v>
      </c>
      <c r="L291">
        <v>1.725807317812051</v>
      </c>
      <c r="M291">
        <v>8.58</v>
      </c>
      <c r="N291">
        <v>3.84</v>
      </c>
    </row>
    <row r="292" spans="1:14">
      <c r="A292" s="1" t="s">
        <v>304</v>
      </c>
      <c r="B292">
        <f>HYPERLINK("https://www.suredividend.com/sure-analysis-research-database/","Clover Health Investments Corp")</f>
        <v>0</v>
      </c>
      <c r="C292" t="s">
        <v>1812</v>
      </c>
      <c r="D292">
        <v>1.35</v>
      </c>
      <c r="E292">
        <v>0</v>
      </c>
      <c r="F292" t="s">
        <v>1812</v>
      </c>
      <c r="G292" t="s">
        <v>1812</v>
      </c>
      <c r="H292">
        <v>0</v>
      </c>
      <c r="I292">
        <v>534.283557</v>
      </c>
      <c r="J292">
        <v>0</v>
      </c>
      <c r="K292" t="s">
        <v>1812</v>
      </c>
      <c r="L292">
        <v>2.085170514409677</v>
      </c>
      <c r="M292">
        <v>3.55</v>
      </c>
      <c r="N292">
        <v>0.7078</v>
      </c>
    </row>
    <row r="293" spans="1:14">
      <c r="A293" s="1" t="s">
        <v>305</v>
      </c>
      <c r="B293">
        <f>HYPERLINK("https://www.suredividend.com/sure-analysis-CLPR/","Clipper Realty Inc")</f>
        <v>0</v>
      </c>
      <c r="C293" t="s">
        <v>1814</v>
      </c>
      <c r="D293">
        <v>6.42</v>
      </c>
      <c r="E293">
        <v>0.05919003115264797</v>
      </c>
      <c r="F293">
        <v>0</v>
      </c>
      <c r="G293">
        <v>0</v>
      </c>
      <c r="H293">
        <v>0.370645540083937</v>
      </c>
      <c r="I293">
        <v>103.125924</v>
      </c>
      <c r="J293">
        <v>0</v>
      </c>
      <c r="K293" t="s">
        <v>1812</v>
      </c>
      <c r="L293">
        <v>0.7878429640298311</v>
      </c>
      <c r="M293">
        <v>8.69</v>
      </c>
      <c r="N293">
        <v>4.94</v>
      </c>
    </row>
    <row r="294" spans="1:14">
      <c r="A294" s="1" t="s">
        <v>306</v>
      </c>
      <c r="B294">
        <f>HYPERLINK("https://www.suredividend.com/sure-analysis-research-database/","Cleanspark Inc")</f>
        <v>0</v>
      </c>
      <c r="C294" t="s">
        <v>1818</v>
      </c>
      <c r="D294">
        <v>5.5</v>
      </c>
      <c r="E294">
        <v>0</v>
      </c>
      <c r="F294" t="s">
        <v>1812</v>
      </c>
      <c r="G294" t="s">
        <v>1812</v>
      </c>
      <c r="H294">
        <v>0</v>
      </c>
      <c r="I294">
        <v>619.779457</v>
      </c>
      <c r="J294">
        <v>0</v>
      </c>
      <c r="K294" t="s">
        <v>1812</v>
      </c>
      <c r="L294">
        <v>2.747799076360077</v>
      </c>
      <c r="M294">
        <v>7.6</v>
      </c>
      <c r="N294">
        <v>1.74</v>
      </c>
    </row>
    <row r="295" spans="1:14">
      <c r="A295" s="1" t="s">
        <v>307</v>
      </c>
      <c r="B295">
        <f>HYPERLINK("https://www.suredividend.com/sure-analysis-research-database/","Clearwater Paper Corp")</f>
        <v>0</v>
      </c>
      <c r="C295" t="s">
        <v>1823</v>
      </c>
      <c r="D295">
        <v>36.18</v>
      </c>
      <c r="E295">
        <v>0</v>
      </c>
      <c r="F295" t="s">
        <v>1812</v>
      </c>
      <c r="G295" t="s">
        <v>1812</v>
      </c>
      <c r="H295">
        <v>0</v>
      </c>
      <c r="I295">
        <v>612.031698</v>
      </c>
      <c r="J295">
        <v>8.974071815542523</v>
      </c>
      <c r="K295">
        <v>0</v>
      </c>
      <c r="L295">
        <v>0.6862770394493281</v>
      </c>
      <c r="M295">
        <v>46.48</v>
      </c>
      <c r="N295">
        <v>29.22</v>
      </c>
    </row>
    <row r="296" spans="1:14">
      <c r="A296" s="1" t="s">
        <v>308</v>
      </c>
      <c r="B296">
        <f>HYPERLINK("https://www.suredividend.com/sure-analysis-research-database/","CareMax Inc")</f>
        <v>0</v>
      </c>
      <c r="C296" t="s">
        <v>1812</v>
      </c>
      <c r="D296">
        <v>2.57</v>
      </c>
      <c r="E296">
        <v>0</v>
      </c>
      <c r="F296" t="s">
        <v>1812</v>
      </c>
      <c r="G296" t="s">
        <v>1812</v>
      </c>
      <c r="H296">
        <v>0</v>
      </c>
      <c r="I296">
        <v>286.232686</v>
      </c>
      <c r="J296">
        <v>0</v>
      </c>
      <c r="K296" t="s">
        <v>1812</v>
      </c>
      <c r="L296">
        <v>1.170154953105465</v>
      </c>
      <c r="M296">
        <v>8.470000000000001</v>
      </c>
      <c r="N296">
        <v>2.13</v>
      </c>
    </row>
    <row r="297" spans="1:14">
      <c r="A297" s="1" t="s">
        <v>309</v>
      </c>
      <c r="B297">
        <f>HYPERLINK("https://www.suredividend.com/sure-analysis-research-database/","Cambium Networks Corp")</f>
        <v>0</v>
      </c>
      <c r="C297" t="s">
        <v>1818</v>
      </c>
      <c r="D297">
        <v>9.99</v>
      </c>
      <c r="E297">
        <v>0</v>
      </c>
      <c r="F297" t="s">
        <v>1812</v>
      </c>
      <c r="G297" t="s">
        <v>1812</v>
      </c>
      <c r="H297">
        <v>0</v>
      </c>
      <c r="I297">
        <v>273.776709</v>
      </c>
      <c r="J297">
        <v>0</v>
      </c>
      <c r="K297" t="s">
        <v>1812</v>
      </c>
      <c r="L297">
        <v>1.31420553473754</v>
      </c>
      <c r="M297">
        <v>24.19</v>
      </c>
      <c r="N297">
        <v>8.84</v>
      </c>
    </row>
    <row r="298" spans="1:14">
      <c r="A298" s="1" t="s">
        <v>310</v>
      </c>
      <c r="B298">
        <f>HYPERLINK("https://www.suredividend.com/sure-analysis-research-database/","Commercial Metals Co.")</f>
        <v>0</v>
      </c>
      <c r="C298" t="s">
        <v>1823</v>
      </c>
      <c r="D298">
        <v>57.1</v>
      </c>
      <c r="E298">
        <v>0.01115612592731</v>
      </c>
      <c r="F298">
        <v>0.1428571428571428</v>
      </c>
      <c r="G298">
        <v>0.05922384104881218</v>
      </c>
      <c r="H298">
        <v>0.6370147904494291</v>
      </c>
      <c r="I298">
        <v>6668.500357</v>
      </c>
      <c r="J298">
        <v>6.915924470454997</v>
      </c>
      <c r="K298">
        <v>0.0788384641645333</v>
      </c>
      <c r="L298">
        <v>1.154522225918107</v>
      </c>
      <c r="M298">
        <v>57.91</v>
      </c>
      <c r="N298">
        <v>34.77</v>
      </c>
    </row>
    <row r="299" spans="1:14">
      <c r="A299" s="1" t="s">
        <v>311</v>
      </c>
      <c r="B299">
        <f>HYPERLINK("https://www.suredividend.com/sure-analysis-research-database/","Columbus Mckinnon Corp.")</f>
        <v>0</v>
      </c>
      <c r="C299" t="s">
        <v>1813</v>
      </c>
      <c r="D299">
        <v>39.44</v>
      </c>
      <c r="E299">
        <v>0.005313996531007</v>
      </c>
      <c r="F299">
        <v>0</v>
      </c>
      <c r="G299">
        <v>0.06961037572506878</v>
      </c>
      <c r="H299">
        <v>0.209584023182935</v>
      </c>
      <c r="I299">
        <v>1131.976235</v>
      </c>
      <c r="J299">
        <v>23.3739336992298</v>
      </c>
      <c r="K299">
        <v>0.124752394751747</v>
      </c>
      <c r="L299">
        <v>1.373350030775082</v>
      </c>
      <c r="M299">
        <v>42.87</v>
      </c>
      <c r="N299">
        <v>23.39</v>
      </c>
    </row>
    <row r="300" spans="1:14">
      <c r="A300" s="1" t="s">
        <v>312</v>
      </c>
      <c r="B300">
        <f>HYPERLINK("https://www.suredividend.com/sure-analysis-research-database/","Cumulus Media Inc.")</f>
        <v>0</v>
      </c>
      <c r="C300" t="s">
        <v>1821</v>
      </c>
      <c r="D300">
        <v>5.18</v>
      </c>
      <c r="E300">
        <v>0</v>
      </c>
      <c r="F300" t="s">
        <v>1812</v>
      </c>
      <c r="G300" t="s">
        <v>1812</v>
      </c>
      <c r="H300">
        <v>0</v>
      </c>
      <c r="I300">
        <v>83.679372</v>
      </c>
      <c r="J300">
        <v>0</v>
      </c>
      <c r="K300" t="s">
        <v>1812</v>
      </c>
      <c r="L300">
        <v>1.112602940092625</v>
      </c>
      <c r="M300">
        <v>10.18</v>
      </c>
      <c r="N300">
        <v>2.57</v>
      </c>
    </row>
    <row r="301" spans="1:14">
      <c r="A301" s="1" t="s">
        <v>313</v>
      </c>
      <c r="B301">
        <f>HYPERLINK("https://www.suredividend.com/sure-analysis-CMP/","Compass Minerals International Inc")</f>
        <v>0</v>
      </c>
      <c r="C301" t="s">
        <v>1823</v>
      </c>
      <c r="D301">
        <v>38.95</v>
      </c>
      <c r="E301">
        <v>0.01540436456996149</v>
      </c>
      <c r="F301">
        <v>0</v>
      </c>
      <c r="G301">
        <v>-0.2692787241890373</v>
      </c>
      <c r="H301">
        <v>0.5964137841400391</v>
      </c>
      <c r="I301">
        <v>1602.37741</v>
      </c>
      <c r="J301" t="s">
        <v>1812</v>
      </c>
      <c r="K301" t="s">
        <v>1812</v>
      </c>
      <c r="L301">
        <v>1.583824073967128</v>
      </c>
      <c r="M301">
        <v>47.29</v>
      </c>
      <c r="N301">
        <v>28.77</v>
      </c>
    </row>
    <row r="302" spans="1:14">
      <c r="A302" s="1" t="s">
        <v>314</v>
      </c>
      <c r="B302">
        <f>HYPERLINK("https://www.suredividend.com/sure-analysis-research-database/","CompoSecure Inc")</f>
        <v>0</v>
      </c>
      <c r="C302" t="s">
        <v>1812</v>
      </c>
      <c r="D302">
        <v>7.02</v>
      </c>
      <c r="E302">
        <v>0</v>
      </c>
      <c r="F302" t="s">
        <v>1812</v>
      </c>
      <c r="G302" t="s">
        <v>1812</v>
      </c>
      <c r="H302">
        <v>0</v>
      </c>
      <c r="I302">
        <v>129.402075</v>
      </c>
      <c r="J302">
        <v>0</v>
      </c>
      <c r="K302" t="s">
        <v>1812</v>
      </c>
      <c r="L302">
        <v>0.615430885436641</v>
      </c>
      <c r="M302">
        <v>7.9</v>
      </c>
      <c r="N302">
        <v>4.26</v>
      </c>
    </row>
    <row r="303" spans="1:14">
      <c r="A303" s="1" t="s">
        <v>315</v>
      </c>
      <c r="B303">
        <f>HYPERLINK("https://www.suredividend.com/sure-analysis-research-database/","Cimpress plc")</f>
        <v>0</v>
      </c>
      <c r="C303" t="s">
        <v>1821</v>
      </c>
      <c r="D303">
        <v>70.11</v>
      </c>
      <c r="E303">
        <v>0</v>
      </c>
      <c r="F303" t="s">
        <v>1812</v>
      </c>
      <c r="G303" t="s">
        <v>1812</v>
      </c>
      <c r="H303">
        <v>0</v>
      </c>
      <c r="I303">
        <v>1845.482113</v>
      </c>
      <c r="J303" t="s">
        <v>1812</v>
      </c>
      <c r="K303">
        <v>-0</v>
      </c>
      <c r="L303">
        <v>2.002037679805107</v>
      </c>
      <c r="M303">
        <v>71.72</v>
      </c>
      <c r="N303">
        <v>18</v>
      </c>
    </row>
    <row r="304" spans="1:14">
      <c r="A304" s="1" t="s">
        <v>316</v>
      </c>
      <c r="B304">
        <f>HYPERLINK("https://www.suredividend.com/sure-analysis-research-database/","Costamare Inc")</f>
        <v>0</v>
      </c>
      <c r="C304" t="s">
        <v>1813</v>
      </c>
      <c r="D304">
        <v>11.41</v>
      </c>
      <c r="E304">
        <v>0.03962592340919301</v>
      </c>
      <c r="F304">
        <v>0</v>
      </c>
      <c r="G304">
        <v>0.02834672210021361</v>
      </c>
      <c r="H304">
        <v>0.4521317860989</v>
      </c>
      <c r="I304">
        <v>1347.493913</v>
      </c>
      <c r="J304">
        <v>2.699750184645715</v>
      </c>
      <c r="K304">
        <v>0.1105456689728362</v>
      </c>
      <c r="L304">
        <v>0.9164769495293931</v>
      </c>
      <c r="M304">
        <v>11.85</v>
      </c>
      <c r="N304">
        <v>7.62</v>
      </c>
    </row>
    <row r="305" spans="1:14">
      <c r="A305" s="1" t="s">
        <v>317</v>
      </c>
      <c r="B305">
        <f>HYPERLINK("https://www.suredividend.com/sure-analysis-research-database/","Chimerix Inc")</f>
        <v>0</v>
      </c>
      <c r="C305" t="s">
        <v>1817</v>
      </c>
      <c r="D305">
        <v>1.16</v>
      </c>
      <c r="E305">
        <v>0</v>
      </c>
      <c r="F305" t="s">
        <v>1812</v>
      </c>
      <c r="G305" t="s">
        <v>1812</v>
      </c>
      <c r="H305">
        <v>0</v>
      </c>
      <c r="I305">
        <v>102.756938</v>
      </c>
      <c r="J305">
        <v>0.5853028429842441</v>
      </c>
      <c r="K305">
        <v>0</v>
      </c>
      <c r="L305">
        <v>1.409077042428571</v>
      </c>
      <c r="M305">
        <v>2.9</v>
      </c>
      <c r="N305">
        <v>1.09</v>
      </c>
    </row>
    <row r="306" spans="1:14">
      <c r="A306" s="1" t="s">
        <v>318</v>
      </c>
      <c r="B306">
        <f>HYPERLINK("https://www.suredividend.com/sure-analysis-research-database/","Claros Mortgage Trust Inc")</f>
        <v>0</v>
      </c>
      <c r="C306" t="s">
        <v>1812</v>
      </c>
      <c r="D306">
        <v>10.81</v>
      </c>
      <c r="E306">
        <v>0.162906501572847</v>
      </c>
      <c r="F306" t="s">
        <v>1812</v>
      </c>
      <c r="G306" t="s">
        <v>1812</v>
      </c>
      <c r="H306">
        <v>1.76101928200248</v>
      </c>
      <c r="I306">
        <v>1495.846117</v>
      </c>
      <c r="J306">
        <v>24.78659325987175</v>
      </c>
      <c r="K306">
        <v>4.046459747248345</v>
      </c>
      <c r="L306">
        <v>1.190188334949223</v>
      </c>
      <c r="M306">
        <v>16.86</v>
      </c>
      <c r="N306">
        <v>9.76</v>
      </c>
    </row>
    <row r="307" spans="1:14">
      <c r="A307" s="1" t="s">
        <v>319</v>
      </c>
      <c r="B307">
        <f>HYPERLINK("https://www.suredividend.com/sure-analysis-research-database/","Comtech Telecommunications Corp.")</f>
        <v>0</v>
      </c>
      <c r="C307" t="s">
        <v>1818</v>
      </c>
      <c r="D307">
        <v>9.98</v>
      </c>
      <c r="E307">
        <v>0.020040080458941</v>
      </c>
      <c r="F307" t="s">
        <v>1812</v>
      </c>
      <c r="G307" t="s">
        <v>1812</v>
      </c>
      <c r="H307">
        <v>0.200000002980232</v>
      </c>
      <c r="I307">
        <v>278.283218</v>
      </c>
      <c r="J307" t="s">
        <v>1812</v>
      </c>
      <c r="K307" t="s">
        <v>1812</v>
      </c>
      <c r="L307">
        <v>1.168876644855339</v>
      </c>
      <c r="M307">
        <v>16.87</v>
      </c>
      <c r="N307">
        <v>8.31</v>
      </c>
    </row>
    <row r="308" spans="1:14">
      <c r="A308" s="1" t="s">
        <v>320</v>
      </c>
      <c r="B308">
        <f>HYPERLINK("https://www.suredividend.com/sure-analysis-research-database/","Conduent Inc")</f>
        <v>0</v>
      </c>
      <c r="C308" t="s">
        <v>1818</v>
      </c>
      <c r="D308">
        <v>3.6</v>
      </c>
      <c r="E308">
        <v>0</v>
      </c>
      <c r="F308" t="s">
        <v>1812</v>
      </c>
      <c r="G308" t="s">
        <v>1812</v>
      </c>
      <c r="H308">
        <v>0</v>
      </c>
      <c r="I308">
        <v>783.877403</v>
      </c>
      <c r="J308" t="s">
        <v>1812</v>
      </c>
      <c r="K308">
        <v>-0</v>
      </c>
      <c r="L308">
        <v>1.212239118479128</v>
      </c>
      <c r="M308">
        <v>4.95</v>
      </c>
      <c r="N308">
        <v>2.7</v>
      </c>
    </row>
    <row r="309" spans="1:14">
      <c r="A309" s="1" t="s">
        <v>321</v>
      </c>
      <c r="B309">
        <f>HYPERLINK("https://www.suredividend.com/sure-analysis-research-database/","Cinemark Holdings Inc")</f>
        <v>0</v>
      </c>
      <c r="C309" t="s">
        <v>1821</v>
      </c>
      <c r="D309">
        <v>17.32</v>
      </c>
      <c r="E309">
        <v>0</v>
      </c>
      <c r="F309" t="s">
        <v>1812</v>
      </c>
      <c r="G309" t="s">
        <v>1812</v>
      </c>
      <c r="H309">
        <v>0</v>
      </c>
      <c r="I309">
        <v>2105.742114</v>
      </c>
      <c r="J309" t="s">
        <v>1812</v>
      </c>
      <c r="K309">
        <v>-0</v>
      </c>
      <c r="L309">
        <v>1.209450344105314</v>
      </c>
      <c r="M309">
        <v>18.85</v>
      </c>
      <c r="N309">
        <v>8.279999999999999</v>
      </c>
    </row>
    <row r="310" spans="1:14">
      <c r="A310" s="1" t="s">
        <v>322</v>
      </c>
      <c r="B310">
        <f>HYPERLINK("https://www.suredividend.com/sure-analysis-research-database/","Conmed Corp.")</f>
        <v>0</v>
      </c>
      <c r="C310" t="s">
        <v>1817</v>
      </c>
      <c r="D310">
        <v>113</v>
      </c>
      <c r="E310">
        <v>0.007060019756936001</v>
      </c>
      <c r="F310">
        <v>0</v>
      </c>
      <c r="G310">
        <v>0</v>
      </c>
      <c r="H310">
        <v>0.7977822325338131</v>
      </c>
      <c r="I310">
        <v>3473.591863</v>
      </c>
      <c r="J310">
        <v>39.34520997904514</v>
      </c>
      <c r="K310">
        <v>0.2668168001785328</v>
      </c>
      <c r="L310">
        <v>1.472491204231587</v>
      </c>
      <c r="M310">
        <v>138.47</v>
      </c>
      <c r="N310">
        <v>70.67</v>
      </c>
    </row>
    <row r="311" spans="1:14">
      <c r="A311" s="1" t="s">
        <v>323</v>
      </c>
      <c r="B311">
        <f>HYPERLINK("https://www.suredividend.com/sure-analysis-research-database/","Cannae Holdings Inc")</f>
        <v>0</v>
      </c>
      <c r="C311" t="s">
        <v>1816</v>
      </c>
      <c r="D311">
        <v>19.11</v>
      </c>
      <c r="E311">
        <v>0</v>
      </c>
      <c r="F311" t="s">
        <v>1812</v>
      </c>
      <c r="G311" t="s">
        <v>1812</v>
      </c>
      <c r="H311">
        <v>0</v>
      </c>
      <c r="I311">
        <v>1461.719218</v>
      </c>
      <c r="J311">
        <v>0</v>
      </c>
      <c r="K311" t="s">
        <v>1812</v>
      </c>
      <c r="L311">
        <v>1.340218730154977</v>
      </c>
      <c r="M311">
        <v>25.74</v>
      </c>
      <c r="N311">
        <v>17.35</v>
      </c>
    </row>
    <row r="312" spans="1:14">
      <c r="A312" s="1" t="s">
        <v>324</v>
      </c>
      <c r="B312">
        <f>HYPERLINK("https://www.suredividend.com/sure-analysis-research-database/","CNO Financial Group Inc")</f>
        <v>0</v>
      </c>
      <c r="C312" t="s">
        <v>1815</v>
      </c>
      <c r="D312">
        <v>24.82</v>
      </c>
      <c r="E312">
        <v>0.022760911125022</v>
      </c>
      <c r="F312">
        <v>0.0714285714285714</v>
      </c>
      <c r="G312">
        <v>0.08447177119769855</v>
      </c>
      <c r="H312">
        <v>0.5649258141230671</v>
      </c>
      <c r="I312">
        <v>2843.218093</v>
      </c>
      <c r="J312">
        <v>10.02191784765597</v>
      </c>
      <c r="K312">
        <v>0.231526973001257</v>
      </c>
      <c r="L312">
        <v>1.122781974060849</v>
      </c>
      <c r="M312">
        <v>26.04</v>
      </c>
      <c r="N312">
        <v>17.16</v>
      </c>
    </row>
    <row r="313" spans="1:14">
      <c r="A313" s="1" t="s">
        <v>325</v>
      </c>
      <c r="B313">
        <f>HYPERLINK("https://www.suredividend.com/sure-analysis-research-database/","ConnectOne Bancorp Inc.")</f>
        <v>0</v>
      </c>
      <c r="C313" t="s">
        <v>1815</v>
      </c>
      <c r="D313">
        <v>20.75</v>
      </c>
      <c r="E313">
        <v>0.029822520580978</v>
      </c>
      <c r="F313">
        <v>0.09677419354838723</v>
      </c>
      <c r="G313">
        <v>0.1778162221565904</v>
      </c>
      <c r="H313">
        <v>0.6188173020553071</v>
      </c>
      <c r="I313">
        <v>812.9653080000001</v>
      </c>
      <c r="J313">
        <v>7.228221570449271</v>
      </c>
      <c r="K313">
        <v>0.2156157846882603</v>
      </c>
      <c r="L313">
        <v>1.06429875852346</v>
      </c>
      <c r="M313">
        <v>27.45</v>
      </c>
      <c r="N313">
        <v>12.79</v>
      </c>
    </row>
    <row r="314" spans="1:14">
      <c r="A314" s="1" t="s">
        <v>326</v>
      </c>
      <c r="B314">
        <f>HYPERLINK("https://www.suredividend.com/sure-analysis-CNS/","Cohen &amp; Steers Inc.")</f>
        <v>0</v>
      </c>
      <c r="C314" t="s">
        <v>1815</v>
      </c>
      <c r="D314">
        <v>63.98</v>
      </c>
      <c r="E314">
        <v>0.03563613629259144</v>
      </c>
      <c r="F314">
        <v>0.03636363636363638</v>
      </c>
      <c r="G314">
        <v>0.09626227935295417</v>
      </c>
      <c r="H314">
        <v>2.199643787441192</v>
      </c>
      <c r="I314">
        <v>3142.524918</v>
      </c>
      <c r="J314">
        <v>19.12232665591646</v>
      </c>
      <c r="K314">
        <v>0.6605536899222798</v>
      </c>
      <c r="L314">
        <v>1.198843024585854</v>
      </c>
      <c r="M314">
        <v>77.42</v>
      </c>
      <c r="N314">
        <v>50.46</v>
      </c>
    </row>
    <row r="315" spans="1:14">
      <c r="A315" s="1" t="s">
        <v>327</v>
      </c>
      <c r="B315">
        <f>HYPERLINK("https://www.suredividend.com/sure-analysis-research-database/","Consolidated Communications Holdings Inc")</f>
        <v>0</v>
      </c>
      <c r="C315" t="s">
        <v>1821</v>
      </c>
      <c r="D315">
        <v>3.55</v>
      </c>
      <c r="E315">
        <v>0</v>
      </c>
      <c r="F315" t="s">
        <v>1812</v>
      </c>
      <c r="G315" t="s">
        <v>1812</v>
      </c>
      <c r="H315">
        <v>0</v>
      </c>
      <c r="I315">
        <v>414.105306</v>
      </c>
      <c r="J315">
        <v>2.370718798339773</v>
      </c>
      <c r="K315">
        <v>0</v>
      </c>
      <c r="L315">
        <v>1.78957814336427</v>
      </c>
      <c r="M315">
        <v>7.29</v>
      </c>
      <c r="N315">
        <v>2.1</v>
      </c>
    </row>
    <row r="316" spans="1:14">
      <c r="A316" s="1" t="s">
        <v>328</v>
      </c>
      <c r="B316">
        <f>HYPERLINK("https://www.suredividend.com/sure-analysis-research-database/","Century Casinos Inc.")</f>
        <v>0</v>
      </c>
      <c r="C316" t="s">
        <v>1816</v>
      </c>
      <c r="D316">
        <v>7.68</v>
      </c>
      <c r="E316">
        <v>0</v>
      </c>
      <c r="F316" t="s">
        <v>1812</v>
      </c>
      <c r="G316" t="s">
        <v>1812</v>
      </c>
      <c r="H316">
        <v>0</v>
      </c>
      <c r="I316">
        <v>232.97227</v>
      </c>
      <c r="J316">
        <v>35.75936609056024</v>
      </c>
      <c r="K316">
        <v>0</v>
      </c>
      <c r="L316">
        <v>1.364096946781241</v>
      </c>
      <c r="M316">
        <v>10.41</v>
      </c>
      <c r="N316">
        <v>6.1</v>
      </c>
    </row>
    <row r="317" spans="1:14">
      <c r="A317" s="1" t="s">
        <v>329</v>
      </c>
      <c r="B317">
        <f>HYPERLINK("https://www.suredividend.com/sure-analysis-research-database/","CNX Resources Corp")</f>
        <v>0</v>
      </c>
      <c r="C317" t="s">
        <v>1822</v>
      </c>
      <c r="D317">
        <v>20.93</v>
      </c>
      <c r="E317">
        <v>0</v>
      </c>
      <c r="F317" t="s">
        <v>1812</v>
      </c>
      <c r="G317" t="s">
        <v>1812</v>
      </c>
      <c r="H317">
        <v>0</v>
      </c>
      <c r="I317">
        <v>3379.461152</v>
      </c>
      <c r="J317">
        <v>1.748427924228228</v>
      </c>
      <c r="K317">
        <v>0</v>
      </c>
      <c r="L317">
        <v>0.933630865094588</v>
      </c>
      <c r="M317">
        <v>21.12</v>
      </c>
      <c r="N317">
        <v>14.36</v>
      </c>
    </row>
    <row r="318" spans="1:14">
      <c r="A318" s="1" t="s">
        <v>330</v>
      </c>
      <c r="B318">
        <f>HYPERLINK("https://www.suredividend.com/sure-analysis-research-database/","PC Connection, Inc.")</f>
        <v>0</v>
      </c>
      <c r="C318" t="s">
        <v>1818</v>
      </c>
      <c r="D318">
        <v>51.98</v>
      </c>
      <c r="E318">
        <v>0.003072223425274</v>
      </c>
      <c r="F318" t="s">
        <v>1812</v>
      </c>
      <c r="G318" t="s">
        <v>1812</v>
      </c>
      <c r="H318">
        <v>0.159694173645746</v>
      </c>
      <c r="I318">
        <v>1364.827632</v>
      </c>
      <c r="J318">
        <v>16.72070606211332</v>
      </c>
      <c r="K318">
        <v>0.05168096234490163</v>
      </c>
      <c r="L318">
        <v>0.745176149322601</v>
      </c>
      <c r="M318">
        <v>56.01</v>
      </c>
      <c r="N318">
        <v>37.62</v>
      </c>
    </row>
    <row r="319" spans="1:14">
      <c r="A319" s="1" t="s">
        <v>331</v>
      </c>
      <c r="B319">
        <f>HYPERLINK("https://www.suredividend.com/sure-analysis-research-database/","Vita Coco Company Inc (The)")</f>
        <v>0</v>
      </c>
      <c r="C319" t="s">
        <v>1812</v>
      </c>
      <c r="D319">
        <v>24.49</v>
      </c>
      <c r="E319">
        <v>0</v>
      </c>
      <c r="F319" t="s">
        <v>1812</v>
      </c>
      <c r="G319" t="s">
        <v>1812</v>
      </c>
      <c r="H319">
        <v>0</v>
      </c>
      <c r="I319">
        <v>1379.108382</v>
      </c>
      <c r="J319">
        <v>0</v>
      </c>
      <c r="K319" t="s">
        <v>1812</v>
      </c>
      <c r="L319">
        <v>1.201763460419447</v>
      </c>
      <c r="M319">
        <v>30.88</v>
      </c>
      <c r="N319">
        <v>7.39</v>
      </c>
    </row>
    <row r="320" spans="1:14">
      <c r="A320" s="1" t="s">
        <v>332</v>
      </c>
      <c r="B320">
        <f>HYPERLINK("https://www.suredividend.com/sure-analysis-CODI/","Compass Diversified Holdings")</f>
        <v>0</v>
      </c>
      <c r="C320" t="s">
        <v>1813</v>
      </c>
      <c r="D320">
        <v>22.37</v>
      </c>
      <c r="E320">
        <v>0.04470272686633885</v>
      </c>
      <c r="F320">
        <v>0</v>
      </c>
      <c r="G320">
        <v>-0.07033281522514379</v>
      </c>
      <c r="H320">
        <v>0.9824638251123561</v>
      </c>
      <c r="I320">
        <v>1609.470698</v>
      </c>
      <c r="J320">
        <v>25.82259494496856</v>
      </c>
      <c r="K320">
        <v>1.125774980076035</v>
      </c>
      <c r="L320">
        <v>0.9676590295956471</v>
      </c>
      <c r="M320">
        <v>23.89</v>
      </c>
      <c r="N320">
        <v>15.74</v>
      </c>
    </row>
    <row r="321" spans="1:14">
      <c r="A321" s="1" t="s">
        <v>333</v>
      </c>
      <c r="B321">
        <f>HYPERLINK("https://www.suredividend.com/sure-analysis-research-database/","Cogent Biosciences Inc")</f>
        <v>0</v>
      </c>
      <c r="C321" t="s">
        <v>1812</v>
      </c>
      <c r="D321">
        <v>12.1</v>
      </c>
      <c r="E321">
        <v>0</v>
      </c>
      <c r="F321" t="s">
        <v>1812</v>
      </c>
      <c r="G321" t="s">
        <v>1812</v>
      </c>
      <c r="H321">
        <v>0</v>
      </c>
      <c r="I321">
        <v>858.456159</v>
      </c>
      <c r="J321">
        <v>0</v>
      </c>
      <c r="K321" t="s">
        <v>1812</v>
      </c>
      <c r="L321">
        <v>1.165853531727169</v>
      </c>
      <c r="M321">
        <v>18.07</v>
      </c>
      <c r="N321">
        <v>9.65</v>
      </c>
    </row>
    <row r="322" spans="1:14">
      <c r="A322" s="1" t="s">
        <v>334</v>
      </c>
      <c r="B322">
        <f>HYPERLINK("https://www.suredividend.com/sure-analysis-research-database/","Cohu, Inc.")</f>
        <v>0</v>
      </c>
      <c r="C322" t="s">
        <v>1818</v>
      </c>
      <c r="D322">
        <v>40.13</v>
      </c>
      <c r="E322">
        <v>0</v>
      </c>
      <c r="F322" t="s">
        <v>1812</v>
      </c>
      <c r="G322" t="s">
        <v>1812</v>
      </c>
      <c r="H322">
        <v>0</v>
      </c>
      <c r="I322">
        <v>1898.149</v>
      </c>
      <c r="J322">
        <v>20.86726471202577</v>
      </c>
      <c r="K322">
        <v>0</v>
      </c>
      <c r="L322">
        <v>1.464871662780698</v>
      </c>
      <c r="M322">
        <v>43.99</v>
      </c>
      <c r="N322">
        <v>25.2</v>
      </c>
    </row>
    <row r="323" spans="1:14">
      <c r="A323" s="1" t="s">
        <v>335</v>
      </c>
      <c r="B323">
        <f>HYPERLINK("https://www.suredividend.com/sure-analysis-research-database/","Coca-Cola Consolidated Inc")</f>
        <v>0</v>
      </c>
      <c r="C323" t="s">
        <v>1819</v>
      </c>
      <c r="D323">
        <v>707.79</v>
      </c>
      <c r="E323">
        <v>0.002468890496575</v>
      </c>
      <c r="F323">
        <v>1</v>
      </c>
      <c r="G323">
        <v>0.1486983549970351</v>
      </c>
      <c r="H323">
        <v>1.747456004571468</v>
      </c>
      <c r="I323">
        <v>5923.489555</v>
      </c>
      <c r="J323">
        <v>13.02166336290792</v>
      </c>
      <c r="K323">
        <v>0.03612685558344983</v>
      </c>
      <c r="L323">
        <v>0.8508138252530021</v>
      </c>
      <c r="M323">
        <v>731.9</v>
      </c>
      <c r="N323">
        <v>403.39</v>
      </c>
    </row>
    <row r="324" spans="1:14">
      <c r="A324" s="1" t="s">
        <v>336</v>
      </c>
      <c r="B324">
        <f>HYPERLINK("https://www.suredividend.com/sure-analysis-research-database/","Collegium Pharmaceutical Inc")</f>
        <v>0</v>
      </c>
      <c r="C324" t="s">
        <v>1817</v>
      </c>
      <c r="D324">
        <v>22.02</v>
      </c>
      <c r="E324">
        <v>0</v>
      </c>
      <c r="F324" t="s">
        <v>1812</v>
      </c>
      <c r="G324" t="s">
        <v>1812</v>
      </c>
      <c r="H324">
        <v>0</v>
      </c>
      <c r="I324">
        <v>761.776615</v>
      </c>
      <c r="J324" t="s">
        <v>1812</v>
      </c>
      <c r="K324">
        <v>-0</v>
      </c>
      <c r="L324">
        <v>0.795617897314946</v>
      </c>
      <c r="M324">
        <v>30.22</v>
      </c>
      <c r="N324">
        <v>15.4</v>
      </c>
    </row>
    <row r="325" spans="1:14">
      <c r="A325" s="1" t="s">
        <v>337</v>
      </c>
      <c r="B325">
        <f>HYPERLINK("https://www.suredividend.com/sure-analysis-research-database/","CommScope Holding Company Inc")</f>
        <v>0</v>
      </c>
      <c r="C325" t="s">
        <v>1818</v>
      </c>
      <c r="D325">
        <v>3.26</v>
      </c>
      <c r="E325">
        <v>0</v>
      </c>
      <c r="F325" t="s">
        <v>1812</v>
      </c>
      <c r="G325" t="s">
        <v>1812</v>
      </c>
      <c r="H325">
        <v>0</v>
      </c>
      <c r="I325">
        <v>683.914882</v>
      </c>
      <c r="J325" t="s">
        <v>1812</v>
      </c>
      <c r="K325">
        <v>-0</v>
      </c>
      <c r="L325">
        <v>1.835378784395943</v>
      </c>
      <c r="M325">
        <v>13.73</v>
      </c>
      <c r="N325">
        <v>3.04</v>
      </c>
    </row>
    <row r="326" spans="1:14">
      <c r="A326" s="1" t="s">
        <v>338</v>
      </c>
      <c r="B326">
        <f>HYPERLINK("https://www.suredividend.com/sure-analysis-research-database/","Compass Inc")</f>
        <v>0</v>
      </c>
      <c r="C326" t="s">
        <v>1812</v>
      </c>
      <c r="D326">
        <v>4.35</v>
      </c>
      <c r="E326">
        <v>0</v>
      </c>
      <c r="F326" t="s">
        <v>1812</v>
      </c>
      <c r="G326" t="s">
        <v>1812</v>
      </c>
      <c r="H326">
        <v>0</v>
      </c>
      <c r="I326">
        <v>2005.995953</v>
      </c>
      <c r="J326" t="s">
        <v>1812</v>
      </c>
      <c r="K326">
        <v>-0</v>
      </c>
      <c r="L326">
        <v>3.121996148382654</v>
      </c>
      <c r="M326">
        <v>5.16</v>
      </c>
      <c r="N326">
        <v>1.84</v>
      </c>
    </row>
    <row r="327" spans="1:14">
      <c r="A327" s="1" t="s">
        <v>339</v>
      </c>
      <c r="B327">
        <f>HYPERLINK("https://www.suredividend.com/sure-analysis-research-database/","Conns Inc")</f>
        <v>0</v>
      </c>
      <c r="C327" t="s">
        <v>1816</v>
      </c>
      <c r="D327">
        <v>4.52</v>
      </c>
      <c r="E327">
        <v>0</v>
      </c>
      <c r="F327" t="s">
        <v>1812</v>
      </c>
      <c r="G327" t="s">
        <v>1812</v>
      </c>
      <c r="H327">
        <v>0</v>
      </c>
      <c r="I327">
        <v>109.535849</v>
      </c>
      <c r="J327" t="s">
        <v>1812</v>
      </c>
      <c r="K327">
        <v>-0</v>
      </c>
      <c r="L327">
        <v>2.112875136230574</v>
      </c>
      <c r="M327">
        <v>12.79</v>
      </c>
      <c r="N327">
        <v>3.07</v>
      </c>
    </row>
    <row r="328" spans="1:14">
      <c r="A328" s="1" t="s">
        <v>340</v>
      </c>
      <c r="B328">
        <f>HYPERLINK("https://www.suredividend.com/sure-analysis-research-database/","Traeger Inc")</f>
        <v>0</v>
      </c>
      <c r="C328" t="s">
        <v>1812</v>
      </c>
      <c r="D328">
        <v>5.85</v>
      </c>
      <c r="E328">
        <v>0</v>
      </c>
      <c r="F328" t="s">
        <v>1812</v>
      </c>
      <c r="G328" t="s">
        <v>1812</v>
      </c>
      <c r="H328">
        <v>0</v>
      </c>
      <c r="I328">
        <v>724.876653</v>
      </c>
      <c r="J328">
        <v>0</v>
      </c>
      <c r="K328" t="s">
        <v>1812</v>
      </c>
      <c r="L328">
        <v>1.662209117646814</v>
      </c>
      <c r="M328">
        <v>6.7</v>
      </c>
      <c r="N328">
        <v>2.48</v>
      </c>
    </row>
    <row r="329" spans="1:14">
      <c r="A329" s="1" t="s">
        <v>341</v>
      </c>
      <c r="B329">
        <f>HYPERLINK("https://www.suredividend.com/sure-analysis-research-database/","Mr. Cooper Group Inc")</f>
        <v>0</v>
      </c>
      <c r="C329" t="s">
        <v>1815</v>
      </c>
      <c r="D329">
        <v>59.38</v>
      </c>
      <c r="E329">
        <v>0</v>
      </c>
      <c r="F329" t="s">
        <v>1812</v>
      </c>
      <c r="G329" t="s">
        <v>1812</v>
      </c>
      <c r="H329">
        <v>0</v>
      </c>
      <c r="I329">
        <v>3969.466661</v>
      </c>
      <c r="J329">
        <v>13.54766778662116</v>
      </c>
      <c r="K329">
        <v>0</v>
      </c>
      <c r="L329">
        <v>1.09223616998213</v>
      </c>
      <c r="M329">
        <v>60.68</v>
      </c>
      <c r="N329">
        <v>37.54</v>
      </c>
    </row>
    <row r="330" spans="1:14">
      <c r="A330" s="1" t="s">
        <v>342</v>
      </c>
      <c r="B330">
        <f>HYPERLINK("https://www.suredividend.com/sure-analysis-research-database/","Corcept Therapeutics Inc")</f>
        <v>0</v>
      </c>
      <c r="C330" t="s">
        <v>1817</v>
      </c>
      <c r="D330">
        <v>31.24</v>
      </c>
      <c r="E330">
        <v>0</v>
      </c>
      <c r="F330" t="s">
        <v>1812</v>
      </c>
      <c r="G330" t="s">
        <v>1812</v>
      </c>
      <c r="H330">
        <v>0</v>
      </c>
      <c r="I330">
        <v>3173.3592</v>
      </c>
      <c r="J330">
        <v>33.58052063492063</v>
      </c>
      <c r="K330">
        <v>0</v>
      </c>
      <c r="L330">
        <v>0.557028531334531</v>
      </c>
      <c r="M330">
        <v>31.9</v>
      </c>
      <c r="N330">
        <v>17.86</v>
      </c>
    </row>
    <row r="331" spans="1:14">
      <c r="A331" s="1" t="s">
        <v>343</v>
      </c>
      <c r="B331">
        <f>HYPERLINK("https://www.suredividend.com/sure-analysis-research-database/","Coursera Inc")</f>
        <v>0</v>
      </c>
      <c r="C331" t="s">
        <v>1812</v>
      </c>
      <c r="D331">
        <v>15.96</v>
      </c>
      <c r="E331">
        <v>0</v>
      </c>
      <c r="F331" t="s">
        <v>1812</v>
      </c>
      <c r="G331" t="s">
        <v>1812</v>
      </c>
      <c r="H331">
        <v>0</v>
      </c>
      <c r="I331">
        <v>2405.47524</v>
      </c>
      <c r="J331">
        <v>0</v>
      </c>
      <c r="K331" t="s">
        <v>1812</v>
      </c>
      <c r="L331">
        <v>1.486668974560305</v>
      </c>
      <c r="M331">
        <v>16.73</v>
      </c>
      <c r="N331">
        <v>9.81</v>
      </c>
    </row>
    <row r="332" spans="1:14">
      <c r="A332" s="1" t="s">
        <v>344</v>
      </c>
      <c r="B332">
        <f>HYPERLINK("https://www.suredividend.com/sure-analysis-research-database/","Callon Petroleum Co.")</f>
        <v>0</v>
      </c>
      <c r="C332" t="s">
        <v>1822</v>
      </c>
      <c r="D332">
        <v>35.91</v>
      </c>
      <c r="E332">
        <v>0</v>
      </c>
      <c r="F332" t="s">
        <v>1812</v>
      </c>
      <c r="G332" t="s">
        <v>1812</v>
      </c>
      <c r="H332">
        <v>0</v>
      </c>
      <c r="I332">
        <v>2447.53367</v>
      </c>
      <c r="J332">
        <v>1.759907781669455</v>
      </c>
      <c r="K332">
        <v>0</v>
      </c>
      <c r="L332">
        <v>1.403566291709159</v>
      </c>
      <c r="M332">
        <v>50.19</v>
      </c>
      <c r="N332">
        <v>28.91</v>
      </c>
    </row>
    <row r="333" spans="1:14">
      <c r="A333" s="1" t="s">
        <v>345</v>
      </c>
      <c r="B333">
        <f>HYPERLINK("https://www.suredividend.com/sure-analysis-research-database/","Central Pacific Financial Corp.")</f>
        <v>0</v>
      </c>
      <c r="C333" t="s">
        <v>1815</v>
      </c>
      <c r="D333">
        <v>17.98</v>
      </c>
      <c r="E333">
        <v>0.057339958387252</v>
      </c>
      <c r="F333">
        <v>0</v>
      </c>
      <c r="G333">
        <v>0.04364022715043592</v>
      </c>
      <c r="H333">
        <v>1.030972451802798</v>
      </c>
      <c r="I333">
        <v>486.20243</v>
      </c>
      <c r="J333">
        <v>7.19681503537701</v>
      </c>
      <c r="K333">
        <v>0.4157146983075798</v>
      </c>
      <c r="L333">
        <v>0.9614357825482591</v>
      </c>
      <c r="M333">
        <v>24.27</v>
      </c>
      <c r="N333">
        <v>13.22</v>
      </c>
    </row>
    <row r="334" spans="1:14">
      <c r="A334" s="1" t="s">
        <v>346</v>
      </c>
      <c r="B334">
        <f>HYPERLINK("https://www.suredividend.com/sure-analysis-CPK/","Chesapeake Utilities Corp")</f>
        <v>0</v>
      </c>
      <c r="C334" t="s">
        <v>1820</v>
      </c>
      <c r="D334">
        <v>114.96</v>
      </c>
      <c r="E334">
        <v>0.02052887961029923</v>
      </c>
      <c r="F334">
        <v>0.1028037383177569</v>
      </c>
      <c r="G334">
        <v>0.0978172675622524</v>
      </c>
      <c r="H334">
        <v>2.180612651251375</v>
      </c>
      <c r="I334">
        <v>2034.792</v>
      </c>
      <c r="J334">
        <v>22.80977950160862</v>
      </c>
      <c r="K334">
        <v>0.4352520261978793</v>
      </c>
      <c r="L334">
        <v>0.6158936432151391</v>
      </c>
      <c r="M334">
        <v>136.06</v>
      </c>
      <c r="N334">
        <v>104.38</v>
      </c>
    </row>
    <row r="335" spans="1:14">
      <c r="A335" s="1" t="s">
        <v>347</v>
      </c>
      <c r="B335">
        <f>HYPERLINK("https://www.suredividend.com/sure-analysis-research-database/","Catalyst Pharmaceuticals Inc")</f>
        <v>0</v>
      </c>
      <c r="C335" t="s">
        <v>1817</v>
      </c>
      <c r="D335">
        <v>13.55</v>
      </c>
      <c r="E335">
        <v>0</v>
      </c>
      <c r="F335" t="s">
        <v>1812</v>
      </c>
      <c r="G335" t="s">
        <v>1812</v>
      </c>
      <c r="H335">
        <v>0</v>
      </c>
      <c r="I335">
        <v>1443.171313</v>
      </c>
      <c r="J335">
        <v>14.51794975554796</v>
      </c>
      <c r="K335">
        <v>0</v>
      </c>
      <c r="L335">
        <v>1.0757688895234</v>
      </c>
      <c r="M335">
        <v>22.11</v>
      </c>
      <c r="N335">
        <v>10.5</v>
      </c>
    </row>
    <row r="336" spans="1:14">
      <c r="A336" s="1" t="s">
        <v>348</v>
      </c>
      <c r="B336">
        <f>HYPERLINK("https://www.suredividend.com/sure-analysis-research-database/","Computer Programs &amp; Systems Inc")</f>
        <v>0</v>
      </c>
      <c r="C336" t="s">
        <v>1817</v>
      </c>
      <c r="D336">
        <v>26.31</v>
      </c>
      <c r="E336">
        <v>0</v>
      </c>
      <c r="F336" t="s">
        <v>1812</v>
      </c>
      <c r="G336" t="s">
        <v>1812</v>
      </c>
      <c r="H336">
        <v>0</v>
      </c>
      <c r="I336">
        <v>382.239757</v>
      </c>
      <c r="J336">
        <v>35.95858487017874</v>
      </c>
      <c r="K336">
        <v>0</v>
      </c>
      <c r="L336">
        <v>0.8364867512467741</v>
      </c>
      <c r="M336">
        <v>32.91</v>
      </c>
      <c r="N336">
        <v>22.06</v>
      </c>
    </row>
    <row r="337" spans="1:14">
      <c r="A337" s="1" t="s">
        <v>349</v>
      </c>
      <c r="B337">
        <f>HYPERLINK("https://www.suredividend.com/sure-analysis-research-database/","Consumer Portfolio Service, Inc.")</f>
        <v>0</v>
      </c>
      <c r="C337" t="s">
        <v>1815</v>
      </c>
      <c r="D337">
        <v>11.42</v>
      </c>
      <c r="E337">
        <v>0</v>
      </c>
      <c r="F337" t="s">
        <v>1812</v>
      </c>
      <c r="G337" t="s">
        <v>1812</v>
      </c>
      <c r="H337">
        <v>0</v>
      </c>
      <c r="I337">
        <v>237.283744</v>
      </c>
      <c r="J337">
        <v>0</v>
      </c>
      <c r="K337" t="s">
        <v>1812</v>
      </c>
      <c r="L337">
        <v>2.30724365387802</v>
      </c>
      <c r="M337">
        <v>14.38</v>
      </c>
      <c r="N337">
        <v>4.64</v>
      </c>
    </row>
    <row r="338" spans="1:14">
      <c r="A338" s="1" t="s">
        <v>350</v>
      </c>
      <c r="B338">
        <f>HYPERLINK("https://www.suredividend.com/sure-analysis-research-database/","Cepton Inc")</f>
        <v>0</v>
      </c>
      <c r="C338" t="s">
        <v>1812</v>
      </c>
      <c r="D338">
        <v>0.8459</v>
      </c>
      <c r="E338">
        <v>0</v>
      </c>
      <c r="F338" t="s">
        <v>1812</v>
      </c>
      <c r="G338" t="s">
        <v>1812</v>
      </c>
      <c r="H338">
        <v>0</v>
      </c>
      <c r="I338">
        <v>133.841841</v>
      </c>
      <c r="J338">
        <v>0</v>
      </c>
      <c r="K338" t="s">
        <v>1812</v>
      </c>
      <c r="L338">
        <v>1.451811108466987</v>
      </c>
      <c r="M338">
        <v>2.76</v>
      </c>
      <c r="N338">
        <v>0.3197</v>
      </c>
    </row>
    <row r="339" spans="1:14">
      <c r="A339" s="1" t="s">
        <v>351</v>
      </c>
      <c r="B339">
        <f>HYPERLINK("https://www.suredividend.com/sure-analysis-research-database/","CRA International Inc.")</f>
        <v>0</v>
      </c>
      <c r="C339" t="s">
        <v>1813</v>
      </c>
      <c r="D339">
        <v>105.74</v>
      </c>
      <c r="E339">
        <v>0.013043107271953</v>
      </c>
      <c r="F339">
        <v>0.161290322580645</v>
      </c>
      <c r="G339">
        <v>0.1619052549059898</v>
      </c>
      <c r="H339">
        <v>1.379178162936328</v>
      </c>
      <c r="I339">
        <v>742.9477450000001</v>
      </c>
      <c r="J339">
        <v>18.13925837443234</v>
      </c>
      <c r="K339">
        <v>0.245405367070521</v>
      </c>
      <c r="L339">
        <v>0.576166132717013</v>
      </c>
      <c r="M339">
        <v>126.72</v>
      </c>
      <c r="N339">
        <v>80.58</v>
      </c>
    </row>
    <row r="340" spans="1:14">
      <c r="A340" s="1" t="s">
        <v>352</v>
      </c>
      <c r="B340">
        <f>HYPERLINK("https://www.suredividend.com/sure-analysis-research-database/","Caribou Biosciences Inc")</f>
        <v>0</v>
      </c>
      <c r="C340" t="s">
        <v>1812</v>
      </c>
      <c r="D340">
        <v>6.84</v>
      </c>
      <c r="E340">
        <v>0</v>
      </c>
      <c r="F340" t="s">
        <v>1812</v>
      </c>
      <c r="G340" t="s">
        <v>1812</v>
      </c>
      <c r="H340">
        <v>0</v>
      </c>
      <c r="I340">
        <v>419.727797</v>
      </c>
      <c r="J340" t="s">
        <v>1812</v>
      </c>
      <c r="K340">
        <v>-0</v>
      </c>
      <c r="L340">
        <v>1.700999969280567</v>
      </c>
      <c r="M340">
        <v>13.19</v>
      </c>
      <c r="N340">
        <v>3.96</v>
      </c>
    </row>
    <row r="341" spans="1:14">
      <c r="A341" s="1" t="s">
        <v>353</v>
      </c>
      <c r="B341">
        <f>HYPERLINK("https://www.suredividend.com/sure-analysis-research-database/","California Resources Corporation")</f>
        <v>0</v>
      </c>
      <c r="C341" t="s">
        <v>1822</v>
      </c>
      <c r="D341">
        <v>52.15</v>
      </c>
      <c r="E341">
        <v>0.019330694153529</v>
      </c>
      <c r="F341" t="s">
        <v>1812</v>
      </c>
      <c r="G341" t="s">
        <v>1812</v>
      </c>
      <c r="H341">
        <v>1.008095700106557</v>
      </c>
      <c r="I341">
        <v>3596.379773</v>
      </c>
      <c r="J341">
        <v>3.965137566703417</v>
      </c>
      <c r="K341">
        <v>0.08297083951494295</v>
      </c>
      <c r="L341">
        <v>0.9307031150888261</v>
      </c>
      <c r="M341">
        <v>53.54</v>
      </c>
      <c r="N341">
        <v>33.77</v>
      </c>
    </row>
    <row r="342" spans="1:14">
      <c r="A342" s="1" t="s">
        <v>354</v>
      </c>
      <c r="B342">
        <f>HYPERLINK("https://www.suredividend.com/sure-analysis-research-database/","Crawford &amp; Co.")</f>
        <v>0</v>
      </c>
      <c r="C342" t="s">
        <v>1812</v>
      </c>
      <c r="D342">
        <v>7.6</v>
      </c>
      <c r="E342">
        <v>0</v>
      </c>
      <c r="F342" t="s">
        <v>1812</v>
      </c>
      <c r="G342" t="s">
        <v>1812</v>
      </c>
      <c r="H342">
        <v>0.237243744884735</v>
      </c>
      <c r="I342">
        <v>359.509599</v>
      </c>
      <c r="J342">
        <v>0</v>
      </c>
      <c r="K342" t="s">
        <v>1812</v>
      </c>
      <c r="L342">
        <v>0.428613883916256</v>
      </c>
    </row>
    <row r="343" spans="1:14">
      <c r="A343" s="1" t="s">
        <v>355</v>
      </c>
      <c r="B343">
        <f>HYPERLINK("https://www.suredividend.com/sure-analysis-research-database/","Credo Technology Group Holding Ltd")</f>
        <v>0</v>
      </c>
      <c r="C343" t="s">
        <v>1812</v>
      </c>
      <c r="D343">
        <v>16.02</v>
      </c>
      <c r="E343">
        <v>0</v>
      </c>
      <c r="F343" t="s">
        <v>1812</v>
      </c>
      <c r="G343" t="s">
        <v>1812</v>
      </c>
      <c r="H343">
        <v>0</v>
      </c>
      <c r="I343">
        <v>2388.251187</v>
      </c>
      <c r="J343">
        <v>0</v>
      </c>
      <c r="K343" t="s">
        <v>1812</v>
      </c>
      <c r="L343">
        <v>1.421383132349783</v>
      </c>
      <c r="M343">
        <v>19.46</v>
      </c>
      <c r="N343">
        <v>7.2</v>
      </c>
    </row>
    <row r="344" spans="1:14">
      <c r="A344" s="1" t="s">
        <v>356</v>
      </c>
      <c r="B344">
        <f>HYPERLINK("https://www.suredividend.com/sure-analysis-research-database/","Charge Enterprises Inc")</f>
        <v>0</v>
      </c>
      <c r="C344" t="s">
        <v>1820</v>
      </c>
      <c r="D344">
        <v>0.9242</v>
      </c>
      <c r="E344">
        <v>0</v>
      </c>
      <c r="F344" t="s">
        <v>1812</v>
      </c>
      <c r="G344" t="s">
        <v>1812</v>
      </c>
      <c r="H344">
        <v>0</v>
      </c>
      <c r="I344">
        <v>196.715306</v>
      </c>
      <c r="J344">
        <v>0</v>
      </c>
      <c r="K344" t="s">
        <v>1812</v>
      </c>
      <c r="L344">
        <v>1.677547473111709</v>
      </c>
      <c r="M344">
        <v>3.35</v>
      </c>
      <c r="N344">
        <v>0.7677</v>
      </c>
    </row>
    <row r="345" spans="1:14">
      <c r="A345" s="1" t="s">
        <v>357</v>
      </c>
      <c r="B345">
        <f>HYPERLINK("https://www.suredividend.com/sure-analysis-research-database/","Crescent Energy Company")</f>
        <v>0</v>
      </c>
      <c r="C345" t="s">
        <v>1812</v>
      </c>
      <c r="D345">
        <v>11.86</v>
      </c>
      <c r="E345">
        <v>0.05198994647203301</v>
      </c>
      <c r="F345" t="s">
        <v>1812</v>
      </c>
      <c r="G345" t="s">
        <v>1812</v>
      </c>
      <c r="H345">
        <v>0.6166007651583191</v>
      </c>
      <c r="I345">
        <v>573.568588</v>
      </c>
      <c r="J345">
        <v>0</v>
      </c>
      <c r="K345" t="s">
        <v>1812</v>
      </c>
      <c r="L345">
        <v>1.043473454588443</v>
      </c>
      <c r="M345">
        <v>17.32</v>
      </c>
      <c r="N345">
        <v>9.17</v>
      </c>
    </row>
    <row r="346" spans="1:14">
      <c r="A346" s="1" t="s">
        <v>358</v>
      </c>
      <c r="B346">
        <f>HYPERLINK("https://www.suredividend.com/sure-analysis-research-database/","Comstock Resources, Inc.")</f>
        <v>0</v>
      </c>
      <c r="C346" t="s">
        <v>1822</v>
      </c>
      <c r="D346">
        <v>12.08</v>
      </c>
      <c r="E346">
        <v>0.030663556592596</v>
      </c>
      <c r="F346" t="s">
        <v>1812</v>
      </c>
      <c r="G346" t="s">
        <v>1812</v>
      </c>
      <c r="H346">
        <v>0.370415763638567</v>
      </c>
      <c r="I346">
        <v>3352.322793</v>
      </c>
      <c r="J346">
        <v>2.437857911876141</v>
      </c>
      <c r="K346">
        <v>0.07781843773919477</v>
      </c>
      <c r="L346">
        <v>1.436153519772613</v>
      </c>
      <c r="M346">
        <v>21.2</v>
      </c>
      <c r="N346">
        <v>9.07</v>
      </c>
    </row>
    <row r="347" spans="1:14">
      <c r="A347" s="1" t="s">
        <v>359</v>
      </c>
      <c r="B347">
        <f>HYPERLINK("https://www.suredividend.com/sure-analysis-research-database/","Americas Car Mart, Inc.")</f>
        <v>0</v>
      </c>
      <c r="C347" t="s">
        <v>1816</v>
      </c>
      <c r="D347">
        <v>117.33</v>
      </c>
      <c r="E347">
        <v>0</v>
      </c>
      <c r="F347" t="s">
        <v>1812</v>
      </c>
      <c r="G347" t="s">
        <v>1812</v>
      </c>
      <c r="H347">
        <v>0</v>
      </c>
      <c r="I347">
        <v>769.888602</v>
      </c>
      <c r="J347">
        <v>37.75444302716751</v>
      </c>
      <c r="K347">
        <v>0</v>
      </c>
      <c r="L347">
        <v>1.515767631781615</v>
      </c>
      <c r="M347">
        <v>127.96</v>
      </c>
      <c r="N347">
        <v>52.24</v>
      </c>
    </row>
    <row r="348" spans="1:14">
      <c r="A348" s="1" t="s">
        <v>360</v>
      </c>
      <c r="B348">
        <f>HYPERLINK("https://www.suredividend.com/sure-analysis-research-database/","Cerence Inc")</f>
        <v>0</v>
      </c>
      <c r="C348" t="s">
        <v>1818</v>
      </c>
      <c r="D348">
        <v>26.46</v>
      </c>
      <c r="E348">
        <v>0</v>
      </c>
      <c r="F348" t="s">
        <v>1812</v>
      </c>
      <c r="G348" t="s">
        <v>1812</v>
      </c>
      <c r="H348">
        <v>0</v>
      </c>
      <c r="I348">
        <v>1066.579077</v>
      </c>
      <c r="J348" t="s">
        <v>1812</v>
      </c>
      <c r="K348">
        <v>-0</v>
      </c>
      <c r="L348">
        <v>1.593971482853406</v>
      </c>
      <c r="M348">
        <v>36.79</v>
      </c>
      <c r="N348">
        <v>12.82</v>
      </c>
    </row>
    <row r="349" spans="1:14">
      <c r="A349" s="1" t="s">
        <v>361</v>
      </c>
      <c r="B349">
        <f>HYPERLINK("https://www.suredividend.com/sure-analysis-research-database/","Crinetics Pharmaceuticals Inc")</f>
        <v>0</v>
      </c>
      <c r="C349" t="s">
        <v>1817</v>
      </c>
      <c r="D349">
        <v>19.2</v>
      </c>
      <c r="E349">
        <v>0</v>
      </c>
      <c r="F349" t="s">
        <v>1812</v>
      </c>
      <c r="G349" t="s">
        <v>1812</v>
      </c>
      <c r="H349">
        <v>0</v>
      </c>
      <c r="I349">
        <v>1037.301178</v>
      </c>
      <c r="J349">
        <v>0</v>
      </c>
      <c r="K349" t="s">
        <v>1812</v>
      </c>
      <c r="L349">
        <v>0.9673969095655711</v>
      </c>
      <c r="M349">
        <v>24.58</v>
      </c>
      <c r="N349">
        <v>15.23</v>
      </c>
    </row>
    <row r="350" spans="1:14">
      <c r="A350" s="1" t="s">
        <v>362</v>
      </c>
      <c r="B350">
        <f>HYPERLINK("https://www.suredividend.com/sure-analysis-research-database/","Crocs Inc")</f>
        <v>0</v>
      </c>
      <c r="C350" t="s">
        <v>1816</v>
      </c>
      <c r="D350">
        <v>103.77</v>
      </c>
      <c r="E350">
        <v>0</v>
      </c>
      <c r="F350" t="s">
        <v>1812</v>
      </c>
      <c r="G350" t="s">
        <v>1812</v>
      </c>
      <c r="H350">
        <v>0</v>
      </c>
      <c r="I350">
        <v>6396.824653</v>
      </c>
      <c r="J350">
        <v>9.561213401102178</v>
      </c>
      <c r="K350">
        <v>0</v>
      </c>
      <c r="L350">
        <v>1.629591689678744</v>
      </c>
      <c r="M350">
        <v>151.32</v>
      </c>
      <c r="N350">
        <v>65.17</v>
      </c>
    </row>
    <row r="351" spans="1:14">
      <c r="A351" s="1" t="s">
        <v>363</v>
      </c>
      <c r="B351">
        <f>HYPERLINK("https://www.suredividend.com/sure-analysis-research-database/","Carpenter Technology Corp.")</f>
        <v>0</v>
      </c>
      <c r="C351" t="s">
        <v>1813</v>
      </c>
      <c r="D351">
        <v>57.68</v>
      </c>
      <c r="E351">
        <v>0.013783107441667</v>
      </c>
      <c r="F351">
        <v>0</v>
      </c>
      <c r="G351">
        <v>0</v>
      </c>
      <c r="H351">
        <v>0.7950096372354001</v>
      </c>
      <c r="I351">
        <v>2800.374325</v>
      </c>
      <c r="J351">
        <v>139.3221057074627</v>
      </c>
      <c r="K351">
        <v>1.930103513560087</v>
      </c>
      <c r="L351">
        <v>1.536655689047064</v>
      </c>
      <c r="M351">
        <v>61.02</v>
      </c>
      <c r="N351">
        <v>30.61</v>
      </c>
    </row>
    <row r="352" spans="1:14">
      <c r="A352" s="1" t="s">
        <v>364</v>
      </c>
      <c r="B352">
        <f>HYPERLINK("https://www.suredividend.com/sure-analysis-research-database/","Corsair Gaming Inc")</f>
        <v>0</v>
      </c>
      <c r="C352" t="s">
        <v>1812</v>
      </c>
      <c r="D352">
        <v>18.28</v>
      </c>
      <c r="E352">
        <v>0</v>
      </c>
      <c r="F352" t="s">
        <v>1812</v>
      </c>
      <c r="G352" t="s">
        <v>1812</v>
      </c>
      <c r="H352">
        <v>0</v>
      </c>
      <c r="I352">
        <v>1865.660785</v>
      </c>
      <c r="J352" t="s">
        <v>1812</v>
      </c>
      <c r="K352">
        <v>-0</v>
      </c>
      <c r="L352">
        <v>1.805191111466131</v>
      </c>
      <c r="M352">
        <v>20.72</v>
      </c>
      <c r="N352">
        <v>10.96</v>
      </c>
    </row>
    <row r="353" spans="1:14">
      <c r="A353" s="1" t="s">
        <v>365</v>
      </c>
      <c r="B353">
        <f>HYPERLINK("https://www.suredividend.com/sure-analysis-research-database/","Corvel Corp.")</f>
        <v>0</v>
      </c>
      <c r="C353" t="s">
        <v>1815</v>
      </c>
      <c r="D353">
        <v>210.87</v>
      </c>
      <c r="E353">
        <v>0</v>
      </c>
      <c r="F353" t="s">
        <v>1812</v>
      </c>
      <c r="G353" t="s">
        <v>1812</v>
      </c>
      <c r="H353">
        <v>0</v>
      </c>
      <c r="I353">
        <v>3620.532465</v>
      </c>
      <c r="J353">
        <v>54.55484766066451</v>
      </c>
      <c r="K353">
        <v>0</v>
      </c>
      <c r="L353">
        <v>0.7220369404768681</v>
      </c>
      <c r="M353">
        <v>221.82</v>
      </c>
      <c r="N353">
        <v>135.81</v>
      </c>
    </row>
    <row r="354" spans="1:14">
      <c r="A354" s="1" t="s">
        <v>366</v>
      </c>
      <c r="B354">
        <f>HYPERLINK("https://www.suredividend.com/sure-analysis-research-database/","CSG Systems International Inc.")</f>
        <v>0</v>
      </c>
      <c r="C354" t="s">
        <v>1818</v>
      </c>
      <c r="D354">
        <v>59.57</v>
      </c>
      <c r="E354">
        <v>0.018075480675051</v>
      </c>
      <c r="F354">
        <v>0.05660377358490565</v>
      </c>
      <c r="G354">
        <v>0.05922384104881218</v>
      </c>
      <c r="H354">
        <v>1.076756383812819</v>
      </c>
      <c r="I354">
        <v>1887.334031</v>
      </c>
      <c r="J354">
        <v>32.05662897358811</v>
      </c>
      <c r="K354">
        <v>0.5667138862172731</v>
      </c>
      <c r="L354">
        <v>0.7442886497408341</v>
      </c>
      <c r="M354">
        <v>69.34999999999999</v>
      </c>
      <c r="N354">
        <v>46.51</v>
      </c>
    </row>
    <row r="355" spans="1:14">
      <c r="A355" s="1" t="s">
        <v>367</v>
      </c>
      <c r="B355">
        <f>HYPERLINK("https://www.suredividend.com/sure-analysis-research-database/","Centerspace")</f>
        <v>0</v>
      </c>
      <c r="C355" t="s">
        <v>1812</v>
      </c>
      <c r="D355">
        <v>63.91</v>
      </c>
      <c r="E355">
        <v>0.044822070869224</v>
      </c>
      <c r="F355">
        <v>0</v>
      </c>
      <c r="G355">
        <v>0.5982509233954636</v>
      </c>
      <c r="H355">
        <v>2.864578549252149</v>
      </c>
      <c r="I355">
        <v>955.394425</v>
      </c>
      <c r="J355">
        <v>29.17145811120271</v>
      </c>
      <c r="K355">
        <v>1.390572111287451</v>
      </c>
      <c r="L355">
        <v>0.9601764430994121</v>
      </c>
      <c r="M355">
        <v>85.67</v>
      </c>
      <c r="N355">
        <v>49.94</v>
      </c>
    </row>
    <row r="356" spans="1:14">
      <c r="A356" s="1" t="s">
        <v>368</v>
      </c>
      <c r="B356">
        <f>HYPERLINK("https://www.suredividend.com/sure-analysis-research-database/","Caesarstone Ltd")</f>
        <v>0</v>
      </c>
      <c r="C356" t="s">
        <v>1813</v>
      </c>
      <c r="D356">
        <v>5.27</v>
      </c>
      <c r="E356">
        <v>0.047438330170777</v>
      </c>
      <c r="F356" t="s">
        <v>1812</v>
      </c>
      <c r="G356" t="s">
        <v>1812</v>
      </c>
      <c r="H356">
        <v>0.25</v>
      </c>
      <c r="I356">
        <v>181.853487</v>
      </c>
      <c r="J356" t="s">
        <v>1812</v>
      </c>
      <c r="K356" t="s">
        <v>1812</v>
      </c>
      <c r="L356">
        <v>0.9294870060634021</v>
      </c>
      <c r="M356">
        <v>10.67</v>
      </c>
      <c r="N356">
        <v>3.51</v>
      </c>
    </row>
    <row r="357" spans="1:14">
      <c r="A357" s="1" t="s">
        <v>369</v>
      </c>
      <c r="B357">
        <f>HYPERLINK("https://www.suredividend.com/sure-analysis-research-database/","Castle Biosciences Inc")</f>
        <v>0</v>
      </c>
      <c r="C357" t="s">
        <v>1817</v>
      </c>
      <c r="D357">
        <v>18.77</v>
      </c>
      <c r="E357">
        <v>0</v>
      </c>
      <c r="F357" t="s">
        <v>1812</v>
      </c>
      <c r="G357" t="s">
        <v>1812</v>
      </c>
      <c r="H357">
        <v>0</v>
      </c>
      <c r="I357">
        <v>503.218595</v>
      </c>
      <c r="J357">
        <v>0</v>
      </c>
      <c r="K357" t="s">
        <v>1812</v>
      </c>
      <c r="L357">
        <v>1.684093347324461</v>
      </c>
      <c r="M357">
        <v>36.1</v>
      </c>
      <c r="N357">
        <v>9.26</v>
      </c>
    </row>
    <row r="358" spans="1:14">
      <c r="A358" s="1" t="s">
        <v>370</v>
      </c>
      <c r="B358">
        <f>HYPERLINK("https://www.suredividend.com/sure-analysis-research-database/","Constellium SE")</f>
        <v>0</v>
      </c>
      <c r="C358" t="s">
        <v>1823</v>
      </c>
      <c r="D358">
        <v>18.33</v>
      </c>
      <c r="E358">
        <v>0</v>
      </c>
      <c r="F358" t="s">
        <v>1812</v>
      </c>
      <c r="G358" t="s">
        <v>1812</v>
      </c>
      <c r="H358">
        <v>0</v>
      </c>
      <c r="I358">
        <v>2645.048181</v>
      </c>
      <c r="J358">
        <v>0</v>
      </c>
      <c r="K358" t="s">
        <v>1812</v>
      </c>
      <c r="L358">
        <v>1.561905923738468</v>
      </c>
      <c r="M358">
        <v>19.46</v>
      </c>
      <c r="N358">
        <v>9.82</v>
      </c>
    </row>
    <row r="359" spans="1:14">
      <c r="A359" s="1" t="s">
        <v>371</v>
      </c>
      <c r="B359">
        <f>HYPERLINK("https://www.suredividend.com/sure-analysis-research-database/","CapStar Financial Holdings Inc")</f>
        <v>0</v>
      </c>
      <c r="C359" t="s">
        <v>1815</v>
      </c>
      <c r="D359">
        <v>14.85</v>
      </c>
      <c r="E359">
        <v>0.027135245251107</v>
      </c>
      <c r="F359" t="s">
        <v>1812</v>
      </c>
      <c r="G359" t="s">
        <v>1812</v>
      </c>
      <c r="H359">
        <v>0.4029583919789521</v>
      </c>
      <c r="I359">
        <v>312.478021</v>
      </c>
      <c r="J359">
        <v>8.981834473986778</v>
      </c>
      <c r="K359">
        <v>0.2534329509301586</v>
      </c>
      <c r="L359">
        <v>0.679190130829007</v>
      </c>
      <c r="M359">
        <v>21.36</v>
      </c>
      <c r="N359">
        <v>11.02</v>
      </c>
    </row>
    <row r="360" spans="1:14">
      <c r="A360" s="1" t="s">
        <v>372</v>
      </c>
      <c r="B360">
        <f>HYPERLINK("https://www.suredividend.com/sure-analysis-research-database/","Carriage Services, Inc.")</f>
        <v>0</v>
      </c>
      <c r="C360" t="s">
        <v>1816</v>
      </c>
      <c r="D360">
        <v>31.36</v>
      </c>
      <c r="E360">
        <v>0.014262572632642</v>
      </c>
      <c r="F360">
        <v>0</v>
      </c>
      <c r="G360">
        <v>0.08447177119769855</v>
      </c>
      <c r="H360">
        <v>0.4472742777596541</v>
      </c>
      <c r="I360">
        <v>468.336857</v>
      </c>
      <c r="J360">
        <v>13.88034904004031</v>
      </c>
      <c r="K360">
        <v>0.2051716870457129</v>
      </c>
      <c r="L360">
        <v>1.007952229421916</v>
      </c>
      <c r="M360">
        <v>41</v>
      </c>
      <c r="N360">
        <v>22.43</v>
      </c>
    </row>
    <row r="361" spans="1:14">
      <c r="A361" s="1" t="s">
        <v>373</v>
      </c>
      <c r="B361">
        <f>HYPERLINK("https://www.suredividend.com/sure-analysis-research-database/","CSW Industrials Inc")</f>
        <v>0</v>
      </c>
      <c r="C361" t="s">
        <v>1813</v>
      </c>
      <c r="D361">
        <v>184.73</v>
      </c>
      <c r="E361">
        <v>0.003885026563219</v>
      </c>
      <c r="F361" t="s">
        <v>1812</v>
      </c>
      <c r="G361" t="s">
        <v>1812</v>
      </c>
      <c r="H361">
        <v>0.7176809570235371</v>
      </c>
      <c r="I361">
        <v>2864.89869</v>
      </c>
      <c r="J361">
        <v>29.70807995323274</v>
      </c>
      <c r="K361">
        <v>0.1157549930683124</v>
      </c>
      <c r="L361">
        <v>1.007728455656802</v>
      </c>
      <c r="M361">
        <v>185.52</v>
      </c>
      <c r="N361">
        <v>111</v>
      </c>
    </row>
    <row r="362" spans="1:14">
      <c r="A362" s="1" t="s">
        <v>374</v>
      </c>
      <c r="B362">
        <f>HYPERLINK("https://www.suredividend.com/sure-analysis-CTBI/","Community Trust Bancorp, Inc.")</f>
        <v>0</v>
      </c>
      <c r="C362" t="s">
        <v>1815</v>
      </c>
      <c r="D362">
        <v>38.99</v>
      </c>
      <c r="E362">
        <v>0.04719158758656065</v>
      </c>
      <c r="F362">
        <v>0.09999999999999987</v>
      </c>
      <c r="G362">
        <v>0.04095039696925684</v>
      </c>
      <c r="H362">
        <v>1.716768918942722</v>
      </c>
      <c r="I362">
        <v>701.1844630000001</v>
      </c>
      <c r="J362">
        <v>8.61416556714456</v>
      </c>
      <c r="K362">
        <v>0.3764844120488425</v>
      </c>
      <c r="L362">
        <v>0.7393411175862551</v>
      </c>
      <c r="M362">
        <v>46.01</v>
      </c>
      <c r="N362">
        <v>31.94</v>
      </c>
    </row>
    <row r="363" spans="1:14">
      <c r="A363" s="1" t="s">
        <v>375</v>
      </c>
      <c r="B363">
        <f>HYPERLINK("https://www.suredividend.com/sure-analysis-research-database/","CTI BioPharma Corp")</f>
        <v>0</v>
      </c>
      <c r="C363" t="s">
        <v>1817</v>
      </c>
      <c r="D363">
        <v>9.09</v>
      </c>
      <c r="E363">
        <v>0</v>
      </c>
      <c r="F363" t="s">
        <v>1812</v>
      </c>
      <c r="G363" t="s">
        <v>1812</v>
      </c>
      <c r="H363">
        <v>0</v>
      </c>
      <c r="I363">
        <v>0</v>
      </c>
      <c r="J363">
        <v>0</v>
      </c>
      <c r="K363">
        <v>-0</v>
      </c>
    </row>
    <row r="364" spans="1:14">
      <c r="A364" s="1" t="s">
        <v>376</v>
      </c>
      <c r="B364">
        <f>HYPERLINK("https://www.suredividend.com/sure-analysis-research-database/","Cytek BioSciences Inc")</f>
        <v>0</v>
      </c>
      <c r="C364" t="s">
        <v>1812</v>
      </c>
      <c r="D364">
        <v>8.890000000000001</v>
      </c>
      <c r="E364">
        <v>0</v>
      </c>
      <c r="F364" t="s">
        <v>1812</v>
      </c>
      <c r="G364" t="s">
        <v>1812</v>
      </c>
      <c r="H364">
        <v>0</v>
      </c>
      <c r="I364">
        <v>1206.07675</v>
      </c>
      <c r="J364" t="s">
        <v>1812</v>
      </c>
      <c r="K364">
        <v>-0</v>
      </c>
      <c r="L364">
        <v>1.353499933066299</v>
      </c>
      <c r="M364">
        <v>16.05</v>
      </c>
      <c r="N364">
        <v>6.45</v>
      </c>
    </row>
    <row r="365" spans="1:14">
      <c r="A365" s="1" t="s">
        <v>377</v>
      </c>
      <c r="B365">
        <f>HYPERLINK("https://www.suredividend.com/sure-analysis-research-database/","Cantaloupe Inc")</f>
        <v>0</v>
      </c>
      <c r="C365" t="s">
        <v>1812</v>
      </c>
      <c r="D365">
        <v>7.43</v>
      </c>
      <c r="E365">
        <v>0</v>
      </c>
      <c r="F365" t="s">
        <v>1812</v>
      </c>
      <c r="G365" t="s">
        <v>1812</v>
      </c>
      <c r="H365">
        <v>0</v>
      </c>
      <c r="I365">
        <v>538.818087</v>
      </c>
      <c r="J365">
        <v>0</v>
      </c>
      <c r="K365" t="s">
        <v>1812</v>
      </c>
      <c r="L365">
        <v>1.118300570893538</v>
      </c>
      <c r="M365">
        <v>8.289999999999999</v>
      </c>
      <c r="N365">
        <v>2.77</v>
      </c>
    </row>
    <row r="366" spans="1:14">
      <c r="A366" s="1" t="s">
        <v>378</v>
      </c>
      <c r="B366">
        <f>HYPERLINK("https://www.suredividend.com/sure-analysis-CTO/","CTO Realty Growth Inc")</f>
        <v>0</v>
      </c>
      <c r="C366" t="s">
        <v>1814</v>
      </c>
      <c r="D366">
        <v>17.55</v>
      </c>
      <c r="E366">
        <v>0.08660968660968661</v>
      </c>
      <c r="F366">
        <v>-0.6607142857142858</v>
      </c>
      <c r="G366">
        <v>0.3656478393234042</v>
      </c>
      <c r="H366">
        <v>1.471364799779393</v>
      </c>
      <c r="I366">
        <v>398.351164</v>
      </c>
      <c r="J366" t="s">
        <v>1812</v>
      </c>
      <c r="K366" t="s">
        <v>1812</v>
      </c>
      <c r="L366">
        <v>0.67052352634597</v>
      </c>
      <c r="M366">
        <v>21.23</v>
      </c>
      <c r="N366">
        <v>15.35</v>
      </c>
    </row>
    <row r="367" spans="1:14">
      <c r="A367" s="1" t="s">
        <v>379</v>
      </c>
      <c r="B367">
        <f>HYPERLINK("https://www.suredividend.com/sure-analysis-research-database/","Custom Truck One Source Inc")</f>
        <v>0</v>
      </c>
      <c r="C367" t="s">
        <v>1812</v>
      </c>
      <c r="D367">
        <v>6.84</v>
      </c>
      <c r="E367">
        <v>0</v>
      </c>
      <c r="F367" t="s">
        <v>1812</v>
      </c>
      <c r="G367" t="s">
        <v>1812</v>
      </c>
      <c r="H367">
        <v>0</v>
      </c>
      <c r="I367">
        <v>1683.228336</v>
      </c>
      <c r="J367">
        <v>0</v>
      </c>
      <c r="K367" t="s">
        <v>1812</v>
      </c>
      <c r="L367">
        <v>1.166085593687401</v>
      </c>
      <c r="M367">
        <v>7.64</v>
      </c>
      <c r="N367">
        <v>5.53</v>
      </c>
    </row>
    <row r="368" spans="1:14">
      <c r="A368" s="1" t="s">
        <v>380</v>
      </c>
      <c r="B368">
        <f>HYPERLINK("https://www.suredividend.com/sure-analysis-CTRE/","CareTrust REIT Inc")</f>
        <v>0</v>
      </c>
      <c r="C368" t="s">
        <v>1814</v>
      </c>
      <c r="D368">
        <v>20.69</v>
      </c>
      <c r="E368">
        <v>0.0541324311261479</v>
      </c>
      <c r="F368">
        <v>0.0181818181818183</v>
      </c>
      <c r="G368">
        <v>0.06434110272003535</v>
      </c>
      <c r="H368">
        <v>1.086343530444772</v>
      </c>
      <c r="I368">
        <v>2058.137998</v>
      </c>
      <c r="J368">
        <v>37.71348465871402</v>
      </c>
      <c r="K368">
        <v>1.93816865378193</v>
      </c>
      <c r="L368">
        <v>0.6563241962807651</v>
      </c>
      <c r="M368">
        <v>21.37</v>
      </c>
      <c r="N368">
        <v>15.52</v>
      </c>
    </row>
    <row r="369" spans="1:14">
      <c r="A369" s="1" t="s">
        <v>381</v>
      </c>
      <c r="B369">
        <f>HYPERLINK("https://www.suredividend.com/sure-analysis-research-database/","Citi Trends Inc")</f>
        <v>0</v>
      </c>
      <c r="C369" t="s">
        <v>1816</v>
      </c>
      <c r="D369">
        <v>19.32</v>
      </c>
      <c r="E369">
        <v>0</v>
      </c>
      <c r="F369" t="s">
        <v>1812</v>
      </c>
      <c r="G369" t="s">
        <v>1812</v>
      </c>
      <c r="H369">
        <v>0</v>
      </c>
      <c r="I369">
        <v>160.605267</v>
      </c>
      <c r="J369">
        <v>7.28236449805024</v>
      </c>
      <c r="K369">
        <v>0</v>
      </c>
      <c r="L369">
        <v>1.698186695852142</v>
      </c>
      <c r="M369">
        <v>35.24</v>
      </c>
      <c r="N369">
        <v>14.21</v>
      </c>
    </row>
    <row r="370" spans="1:14">
      <c r="A370" s="1" t="s">
        <v>382</v>
      </c>
      <c r="B370">
        <f>HYPERLINK("https://www.suredividend.com/sure-analysis-research-database/","CTS Corp.")</f>
        <v>0</v>
      </c>
      <c r="C370" t="s">
        <v>1818</v>
      </c>
      <c r="D370">
        <v>45.39</v>
      </c>
      <c r="E370">
        <v>0.003519970512149</v>
      </c>
      <c r="F370">
        <v>0</v>
      </c>
      <c r="G370">
        <v>0</v>
      </c>
      <c r="H370">
        <v>0.159771461546458</v>
      </c>
      <c r="I370">
        <v>1423.220562</v>
      </c>
      <c r="J370">
        <v>24.54717332189241</v>
      </c>
      <c r="K370">
        <v>0.08827152571627515</v>
      </c>
      <c r="L370">
        <v>0.7784910306028701</v>
      </c>
      <c r="M370">
        <v>49.54</v>
      </c>
      <c r="N370">
        <v>35.86</v>
      </c>
    </row>
    <row r="371" spans="1:14">
      <c r="A371" s="1" t="s">
        <v>383</v>
      </c>
      <c r="B371">
        <f>HYPERLINK("https://www.suredividend.com/sure-analysis-research-database/","Innovid Corp")</f>
        <v>0</v>
      </c>
      <c r="C371" t="s">
        <v>1812</v>
      </c>
      <c r="D371">
        <v>1.06</v>
      </c>
      <c r="E371">
        <v>0</v>
      </c>
      <c r="F371" t="s">
        <v>1812</v>
      </c>
      <c r="G371" t="s">
        <v>1812</v>
      </c>
      <c r="H371">
        <v>0</v>
      </c>
      <c r="I371">
        <v>145.427207</v>
      </c>
      <c r="J371">
        <v>0</v>
      </c>
      <c r="K371" t="s">
        <v>1812</v>
      </c>
      <c r="L371">
        <v>1.371628636041583</v>
      </c>
      <c r="M371">
        <v>4.4</v>
      </c>
      <c r="N371">
        <v>0.75</v>
      </c>
    </row>
    <row r="372" spans="1:14">
      <c r="A372" s="1" t="s">
        <v>384</v>
      </c>
      <c r="B372">
        <f>HYPERLINK("https://www.suredividend.com/sure-analysis-research-database/","Customers Bancorp Inc")</f>
        <v>0</v>
      </c>
      <c r="C372" t="s">
        <v>1815</v>
      </c>
      <c r="D372">
        <v>40.62</v>
      </c>
      <c r="E372">
        <v>0</v>
      </c>
      <c r="F372" t="s">
        <v>1812</v>
      </c>
      <c r="G372" t="s">
        <v>1812</v>
      </c>
      <c r="H372">
        <v>0</v>
      </c>
      <c r="I372">
        <v>1269.373578</v>
      </c>
      <c r="J372">
        <v>6.550895532871276</v>
      </c>
      <c r="K372">
        <v>0</v>
      </c>
      <c r="L372">
        <v>1.967929718268585</v>
      </c>
      <c r="M372">
        <v>45</v>
      </c>
      <c r="N372">
        <v>6.87</v>
      </c>
    </row>
    <row r="373" spans="1:14">
      <c r="A373" s="1" t="s">
        <v>385</v>
      </c>
      <c r="B373">
        <f>HYPERLINK("https://www.suredividend.com/sure-analysis-research-database/","CURO Group Holdings Corp")</f>
        <v>0</v>
      </c>
      <c r="C373" t="s">
        <v>1815</v>
      </c>
      <c r="D373">
        <v>1.46</v>
      </c>
      <c r="E373">
        <v>0.07534246534517301</v>
      </c>
      <c r="F373" t="s">
        <v>1812</v>
      </c>
      <c r="G373" t="s">
        <v>1812</v>
      </c>
      <c r="H373">
        <v>0.109999999403953</v>
      </c>
      <c r="I373">
        <v>59.823869</v>
      </c>
      <c r="J373" t="s">
        <v>1812</v>
      </c>
      <c r="K373" t="s">
        <v>1812</v>
      </c>
      <c r="L373">
        <v>2.483119764488077</v>
      </c>
      <c r="M373">
        <v>8.06</v>
      </c>
      <c r="N373">
        <v>1</v>
      </c>
    </row>
    <row r="374" spans="1:14">
      <c r="A374" s="1" t="s">
        <v>386</v>
      </c>
      <c r="B374">
        <f>HYPERLINK("https://www.suredividend.com/sure-analysis-research-database/","Torrid Holdings Inc")</f>
        <v>0</v>
      </c>
      <c r="C374" t="s">
        <v>1812</v>
      </c>
      <c r="D374">
        <v>2.83</v>
      </c>
      <c r="E374">
        <v>0</v>
      </c>
      <c r="F374" t="s">
        <v>1812</v>
      </c>
      <c r="G374" t="s">
        <v>1812</v>
      </c>
      <c r="H374">
        <v>0</v>
      </c>
      <c r="I374">
        <v>293.948047</v>
      </c>
      <c r="J374">
        <v>0</v>
      </c>
      <c r="K374" t="s">
        <v>1812</v>
      </c>
      <c r="L374">
        <v>1.852633364098042</v>
      </c>
      <c r="M374">
        <v>8.289999999999999</v>
      </c>
      <c r="N374">
        <v>2.05</v>
      </c>
    </row>
    <row r="375" spans="1:14">
      <c r="A375" s="1" t="s">
        <v>387</v>
      </c>
      <c r="B375">
        <f>HYPERLINK("https://www.suredividend.com/sure-analysis-research-database/","Cutera Inc")</f>
        <v>0</v>
      </c>
      <c r="C375" t="s">
        <v>1817</v>
      </c>
      <c r="D375">
        <v>18.3</v>
      </c>
      <c r="E375">
        <v>0</v>
      </c>
      <c r="F375" t="s">
        <v>1812</v>
      </c>
      <c r="G375" t="s">
        <v>1812</v>
      </c>
      <c r="H375">
        <v>0</v>
      </c>
      <c r="I375">
        <v>362.989138</v>
      </c>
      <c r="J375" t="s">
        <v>1812</v>
      </c>
      <c r="K375">
        <v>-0</v>
      </c>
      <c r="L375">
        <v>1.501496564628285</v>
      </c>
      <c r="M375">
        <v>54.04</v>
      </c>
      <c r="N375">
        <v>13.21</v>
      </c>
    </row>
    <row r="376" spans="1:14">
      <c r="A376" s="1" t="s">
        <v>388</v>
      </c>
      <c r="B376">
        <f>HYPERLINK("https://www.suredividend.com/sure-analysis-research-database/","CVB Financial Corp.")</f>
        <v>0</v>
      </c>
      <c r="C376" t="s">
        <v>1815</v>
      </c>
      <c r="D376">
        <v>19.17</v>
      </c>
      <c r="E376">
        <v>0.04115530646876901</v>
      </c>
      <c r="F376">
        <v>0.05263157894736836</v>
      </c>
      <c r="G376">
        <v>0.07394092378577932</v>
      </c>
      <c r="H376">
        <v>0.7889472250063131</v>
      </c>
      <c r="I376">
        <v>2670.180003</v>
      </c>
      <c r="J376">
        <v>10.78978313816053</v>
      </c>
      <c r="K376">
        <v>0.4407526396683313</v>
      </c>
      <c r="L376">
        <v>0.8185206037367341</v>
      </c>
      <c r="M376">
        <v>28.33</v>
      </c>
      <c r="N376">
        <v>10.66</v>
      </c>
    </row>
    <row r="377" spans="1:14">
      <c r="A377" s="1" t="s">
        <v>389</v>
      </c>
      <c r="B377">
        <f>HYPERLINK("https://www.suredividend.com/sure-analysis-research-database/","Cavco Industries Inc")</f>
        <v>0</v>
      </c>
      <c r="C377" t="s">
        <v>1816</v>
      </c>
      <c r="D377">
        <v>278.76</v>
      </c>
      <c r="E377">
        <v>0</v>
      </c>
      <c r="F377" t="s">
        <v>1812</v>
      </c>
      <c r="G377" t="s">
        <v>1812</v>
      </c>
      <c r="H377">
        <v>0</v>
      </c>
      <c r="I377">
        <v>2418.299588</v>
      </c>
      <c r="J377">
        <v>10.05304251136959</v>
      </c>
      <c r="K377">
        <v>0</v>
      </c>
      <c r="L377">
        <v>1.493450167711938</v>
      </c>
      <c r="M377">
        <v>318</v>
      </c>
      <c r="N377">
        <v>193.91</v>
      </c>
    </row>
    <row r="378" spans="1:14">
      <c r="A378" s="1" t="s">
        <v>390</v>
      </c>
      <c r="B378">
        <f>HYPERLINK("https://www.suredividend.com/sure-analysis-research-database/","Calavo Growers, Inc")</f>
        <v>0</v>
      </c>
      <c r="C378" t="s">
        <v>1819</v>
      </c>
      <c r="D378">
        <v>38.24</v>
      </c>
      <c r="E378">
        <v>0.012655223414953</v>
      </c>
      <c r="F378" t="s">
        <v>1812</v>
      </c>
      <c r="G378" t="s">
        <v>1812</v>
      </c>
      <c r="H378">
        <v>0.483935743387817</v>
      </c>
      <c r="I378">
        <v>680.072626</v>
      </c>
      <c r="J378" t="s">
        <v>1812</v>
      </c>
      <c r="K378" t="s">
        <v>1812</v>
      </c>
      <c r="L378">
        <v>0.7338889648905481</v>
      </c>
      <c r="M378">
        <v>44.67</v>
      </c>
      <c r="N378">
        <v>22.41</v>
      </c>
    </row>
    <row r="379" spans="1:14">
      <c r="A379" s="1" t="s">
        <v>391</v>
      </c>
      <c r="B379">
        <f>HYPERLINK("https://www.suredividend.com/sure-analysis-research-database/","CVR Energy Inc")</f>
        <v>0</v>
      </c>
      <c r="C379" t="s">
        <v>1822</v>
      </c>
      <c r="D379">
        <v>36.7</v>
      </c>
      <c r="E379">
        <v>0.04766956056853</v>
      </c>
      <c r="F379">
        <v>-0.5</v>
      </c>
      <c r="G379">
        <v>-0.07789208851827223</v>
      </c>
      <c r="H379">
        <v>1.749472872865078</v>
      </c>
      <c r="I379">
        <v>3689.472983</v>
      </c>
      <c r="J379">
        <v>6.974429079962194</v>
      </c>
      <c r="K379">
        <v>0.3325994054876574</v>
      </c>
      <c r="L379">
        <v>0.890208648486127</v>
      </c>
      <c r="M379">
        <v>39.86</v>
      </c>
      <c r="N379">
        <v>22.6</v>
      </c>
    </row>
    <row r="380" spans="1:14">
      <c r="A380" s="1" t="s">
        <v>392</v>
      </c>
      <c r="B380">
        <f>HYPERLINK("https://www.suredividend.com/sure-analysis-research-database/","Covenant Logistics Group Inc")</f>
        <v>0</v>
      </c>
      <c r="C380" t="s">
        <v>1812</v>
      </c>
      <c r="D380">
        <v>55.67</v>
      </c>
      <c r="E380">
        <v>0.006786132053038</v>
      </c>
      <c r="F380" t="s">
        <v>1812</v>
      </c>
      <c r="G380" t="s">
        <v>1812</v>
      </c>
      <c r="H380">
        <v>0.377783971392662</v>
      </c>
      <c r="I380">
        <v>588.291278</v>
      </c>
      <c r="J380">
        <v>5.703260083179836</v>
      </c>
      <c r="K380">
        <v>0.05420143061587691</v>
      </c>
      <c r="L380">
        <v>0.940066598317667</v>
      </c>
      <c r="M380">
        <v>57.11</v>
      </c>
      <c r="N380">
        <v>26.76</v>
      </c>
    </row>
    <row r="381" spans="1:14">
      <c r="A381" s="1" t="s">
        <v>393</v>
      </c>
      <c r="B381">
        <f>HYPERLINK("https://www.suredividend.com/sure-analysis-research-database/","Commvault Systems Inc")</f>
        <v>0</v>
      </c>
      <c r="C381" t="s">
        <v>1818</v>
      </c>
      <c r="D381">
        <v>71.41</v>
      </c>
      <c r="E381">
        <v>0</v>
      </c>
      <c r="F381" t="s">
        <v>1812</v>
      </c>
      <c r="G381" t="s">
        <v>1812</v>
      </c>
      <c r="H381">
        <v>0</v>
      </c>
      <c r="I381">
        <v>3133.093255</v>
      </c>
      <c r="J381" t="s">
        <v>1812</v>
      </c>
      <c r="K381">
        <v>-0</v>
      </c>
      <c r="L381">
        <v>0.721558172103653</v>
      </c>
      <c r="M381">
        <v>78.8</v>
      </c>
      <c r="N381">
        <v>50.26</v>
      </c>
    </row>
    <row r="382" spans="1:14">
      <c r="A382" s="1" t="s">
        <v>394</v>
      </c>
      <c r="B382">
        <f>HYPERLINK("https://www.suredividend.com/sure-analysis-research-database/","Cvent Holding Corp")</f>
        <v>0</v>
      </c>
      <c r="C382" t="s">
        <v>1812</v>
      </c>
      <c r="D382">
        <v>8.52</v>
      </c>
      <c r="E382">
        <v>0</v>
      </c>
      <c r="F382" t="s">
        <v>1812</v>
      </c>
      <c r="G382" t="s">
        <v>1812</v>
      </c>
      <c r="H382">
        <v>0</v>
      </c>
      <c r="I382">
        <v>0</v>
      </c>
      <c r="J382">
        <v>0</v>
      </c>
      <c r="K382" t="s">
        <v>1812</v>
      </c>
    </row>
    <row r="383" spans="1:14">
      <c r="A383" s="1" t="s">
        <v>395</v>
      </c>
      <c r="B383">
        <f>HYPERLINK("https://www.suredividend.com/sure-analysis-CWEN/","Clearway Energy Inc")</f>
        <v>0</v>
      </c>
      <c r="C383" t="s">
        <v>1820</v>
      </c>
      <c r="D383">
        <v>24.67</v>
      </c>
      <c r="E383">
        <v>0.0620186461289015</v>
      </c>
      <c r="F383">
        <v>0.0797511312217194</v>
      </c>
      <c r="G383">
        <v>0.03594617007425938</v>
      </c>
      <c r="H383">
        <v>1.457354031943104</v>
      </c>
      <c r="I383">
        <v>2832.73204</v>
      </c>
      <c r="J383">
        <v>4.613570097133551</v>
      </c>
      <c r="K383">
        <v>0.2775912441796389</v>
      </c>
      <c r="L383">
        <v>0.8183686398467981</v>
      </c>
      <c r="M383">
        <v>39.94</v>
      </c>
      <c r="N383">
        <v>24.63</v>
      </c>
    </row>
    <row r="384" spans="1:14">
      <c r="A384" s="1" t="s">
        <v>396</v>
      </c>
      <c r="B384">
        <f>HYPERLINK("https://www.suredividend.com/sure-analysis-research-database/","Clearway Energy Inc")</f>
        <v>0</v>
      </c>
      <c r="C384" t="s">
        <v>1812</v>
      </c>
      <c r="D384">
        <v>29.44</v>
      </c>
      <c r="E384">
        <v>0</v>
      </c>
      <c r="F384" t="s">
        <v>1812</v>
      </c>
      <c r="G384" t="s">
        <v>1812</v>
      </c>
      <c r="H384">
        <v>1.364013877257408</v>
      </c>
      <c r="I384">
        <v>3649.023621</v>
      </c>
      <c r="J384">
        <v>0</v>
      </c>
      <c r="K384" t="s">
        <v>1812</v>
      </c>
      <c r="L384">
        <v>0.740100413721515</v>
      </c>
    </row>
    <row r="385" spans="1:14">
      <c r="A385" s="1" t="s">
        <v>397</v>
      </c>
      <c r="B385">
        <f>HYPERLINK("https://www.suredividend.com/sure-analysis-CWH/","Camping World Holdings Inc")</f>
        <v>0</v>
      </c>
      <c r="C385" t="s">
        <v>1816</v>
      </c>
      <c r="D385">
        <v>26.51</v>
      </c>
      <c r="E385">
        <v>0.01886080724254998</v>
      </c>
      <c r="F385">
        <v>0</v>
      </c>
      <c r="G385">
        <v>0.5355847386831107</v>
      </c>
      <c r="H385">
        <v>2.410013533934017</v>
      </c>
      <c r="I385">
        <v>1181.027393</v>
      </c>
      <c r="J385">
        <v>12.38155906107815</v>
      </c>
      <c r="K385">
        <v>1.338896407741121</v>
      </c>
      <c r="L385">
        <v>1.467909316198687</v>
      </c>
      <c r="M385">
        <v>32.88</v>
      </c>
      <c r="N385">
        <v>18.29</v>
      </c>
    </row>
    <row r="386" spans="1:14">
      <c r="A386" s="1" t="s">
        <v>398</v>
      </c>
      <c r="B386">
        <f>HYPERLINK("https://www.suredividend.com/sure-analysis-research-database/","Cushman &amp; Wakefield plc")</f>
        <v>0</v>
      </c>
      <c r="C386" t="s">
        <v>1814</v>
      </c>
      <c r="D386">
        <v>10.11</v>
      </c>
      <c r="E386">
        <v>0</v>
      </c>
      <c r="F386" t="s">
        <v>1812</v>
      </c>
      <c r="G386" t="s">
        <v>1812</v>
      </c>
      <c r="H386">
        <v>0</v>
      </c>
      <c r="I386">
        <v>2296.492374</v>
      </c>
      <c r="J386" t="s">
        <v>1812</v>
      </c>
      <c r="K386">
        <v>-0</v>
      </c>
      <c r="L386">
        <v>1.523895307186955</v>
      </c>
      <c r="M386">
        <v>16.94</v>
      </c>
      <c r="N386">
        <v>7.16</v>
      </c>
    </row>
    <row r="387" spans="1:14">
      <c r="A387" s="1" t="s">
        <v>399</v>
      </c>
      <c r="B387">
        <f>HYPERLINK("https://www.suredividend.com/sure-analysis-research-database/","Casella Waste Systems, Inc.")</f>
        <v>0</v>
      </c>
      <c r="C387" t="s">
        <v>1813</v>
      </c>
      <c r="D387">
        <v>81.33</v>
      </c>
      <c r="E387">
        <v>0</v>
      </c>
      <c r="F387" t="s">
        <v>1812</v>
      </c>
      <c r="G387" t="s">
        <v>1812</v>
      </c>
      <c r="H387">
        <v>0</v>
      </c>
      <c r="I387">
        <v>4714.04946</v>
      </c>
      <c r="J387">
        <v>117.466533602452</v>
      </c>
      <c r="K387">
        <v>0</v>
      </c>
      <c r="L387">
        <v>0.6731192547122561</v>
      </c>
      <c r="M387">
        <v>95.78</v>
      </c>
      <c r="N387">
        <v>70.06999999999999</v>
      </c>
    </row>
    <row r="388" spans="1:14">
      <c r="A388" s="1" t="s">
        <v>400</v>
      </c>
      <c r="B388">
        <f>HYPERLINK("https://www.suredividend.com/sure-analysis-CWT/","California Water Service Group")</f>
        <v>0</v>
      </c>
      <c r="C388" t="s">
        <v>1820</v>
      </c>
      <c r="D388">
        <v>51.01</v>
      </c>
      <c r="E388">
        <v>0.02038815918447363</v>
      </c>
      <c r="F388">
        <v>0.04000000000000004</v>
      </c>
      <c r="G388">
        <v>0.06756521663494941</v>
      </c>
      <c r="H388">
        <v>1.013448614390978</v>
      </c>
      <c r="I388">
        <v>2943.37902</v>
      </c>
      <c r="J388">
        <v>46.87954352881216</v>
      </c>
      <c r="K388">
        <v>0.8968571808769717</v>
      </c>
      <c r="L388">
        <v>0.76511064339145</v>
      </c>
      <c r="M388">
        <v>65.55</v>
      </c>
      <c r="N388">
        <v>49</v>
      </c>
    </row>
    <row r="389" spans="1:14">
      <c r="A389" s="1" t="s">
        <v>401</v>
      </c>
      <c r="B389">
        <f>HYPERLINK("https://www.suredividend.com/sure-analysis-research-database/","CoreCivic Inc")</f>
        <v>0</v>
      </c>
      <c r="C389" t="s">
        <v>1814</v>
      </c>
      <c r="D389">
        <v>9.48</v>
      </c>
      <c r="E389">
        <v>0</v>
      </c>
      <c r="F389" t="s">
        <v>1812</v>
      </c>
      <c r="G389" t="s">
        <v>1812</v>
      </c>
      <c r="H389">
        <v>0</v>
      </c>
      <c r="I389">
        <v>1077.468199</v>
      </c>
      <c r="J389">
        <v>9.311235158533318</v>
      </c>
      <c r="K389">
        <v>0</v>
      </c>
      <c r="L389">
        <v>0.7288842720074591</v>
      </c>
      <c r="M389">
        <v>13.5</v>
      </c>
      <c r="N389">
        <v>7.84</v>
      </c>
    </row>
    <row r="390" spans="1:14">
      <c r="A390" s="1" t="s">
        <v>402</v>
      </c>
      <c r="B390">
        <f>HYPERLINK("https://www.suredividend.com/sure-analysis-research-database/","Community Health Systems, Inc.")</f>
        <v>0</v>
      </c>
      <c r="C390" t="s">
        <v>1817</v>
      </c>
      <c r="D390">
        <v>4.92</v>
      </c>
      <c r="E390">
        <v>0</v>
      </c>
      <c r="F390" t="s">
        <v>1812</v>
      </c>
      <c r="G390" t="s">
        <v>1812</v>
      </c>
      <c r="H390">
        <v>0</v>
      </c>
      <c r="I390">
        <v>672.772741</v>
      </c>
      <c r="J390" t="s">
        <v>1812</v>
      </c>
      <c r="K390">
        <v>-0</v>
      </c>
      <c r="L390">
        <v>2.143570857820623</v>
      </c>
      <c r="M390">
        <v>8.01</v>
      </c>
      <c r="N390">
        <v>1.88</v>
      </c>
    </row>
    <row r="391" spans="1:14">
      <c r="A391" s="1" t="s">
        <v>403</v>
      </c>
      <c r="B391">
        <f>HYPERLINK("https://www.suredividend.com/sure-analysis-research-database/","CryoPort Inc")</f>
        <v>0</v>
      </c>
      <c r="C391" t="s">
        <v>1813</v>
      </c>
      <c r="D391">
        <v>14.16</v>
      </c>
      <c r="E391">
        <v>0</v>
      </c>
      <c r="F391" t="s">
        <v>1812</v>
      </c>
      <c r="G391" t="s">
        <v>1812</v>
      </c>
      <c r="H391">
        <v>0</v>
      </c>
      <c r="I391">
        <v>644.921618</v>
      </c>
      <c r="J391">
        <v>0</v>
      </c>
      <c r="K391" t="s">
        <v>1812</v>
      </c>
      <c r="L391">
        <v>2.272006600585289</v>
      </c>
      <c r="M391">
        <v>45.36</v>
      </c>
      <c r="N391">
        <v>13.83</v>
      </c>
    </row>
    <row r="392" spans="1:14">
      <c r="A392" s="1" t="s">
        <v>404</v>
      </c>
      <c r="B392">
        <f>HYPERLINK("https://www.suredividend.com/sure-analysis-research-database/","Cytokinetics Inc")</f>
        <v>0</v>
      </c>
      <c r="C392" t="s">
        <v>1817</v>
      </c>
      <c r="D392">
        <v>31.7</v>
      </c>
      <c r="E392">
        <v>0</v>
      </c>
      <c r="F392" t="s">
        <v>1812</v>
      </c>
      <c r="G392" t="s">
        <v>1812</v>
      </c>
      <c r="H392">
        <v>0</v>
      </c>
      <c r="I392">
        <v>3031.80702</v>
      </c>
      <c r="J392" t="s">
        <v>1812</v>
      </c>
      <c r="K392">
        <v>-0</v>
      </c>
      <c r="M392">
        <v>55.8</v>
      </c>
      <c r="N392">
        <v>30.66</v>
      </c>
    </row>
    <row r="393" spans="1:14">
      <c r="A393" s="1" t="s">
        <v>405</v>
      </c>
      <c r="B393">
        <f>HYPERLINK("https://www.suredividend.com/sure-analysis-research-database/","Citizens &amp; Northern Corp")</f>
        <v>0</v>
      </c>
      <c r="C393" t="s">
        <v>1815</v>
      </c>
      <c r="D393">
        <v>20.82</v>
      </c>
      <c r="E393">
        <v>0.051836074730284</v>
      </c>
      <c r="F393">
        <v>0</v>
      </c>
      <c r="G393">
        <v>0.007300045195211657</v>
      </c>
      <c r="H393">
        <v>1.079227075884531</v>
      </c>
      <c r="I393">
        <v>319.818373</v>
      </c>
      <c r="J393">
        <v>12.42157815124092</v>
      </c>
      <c r="K393">
        <v>0.6462437580146893</v>
      </c>
      <c r="L393">
        <v>0.486001678914582</v>
      </c>
      <c r="M393">
        <v>23.81</v>
      </c>
      <c r="N393">
        <v>16.27</v>
      </c>
    </row>
    <row r="394" spans="1:14">
      <c r="A394" s="1" t="s">
        <v>406</v>
      </c>
      <c r="B394">
        <f>HYPERLINK("https://www.suredividend.com/sure-analysis-research-database/","Dana Inc")</f>
        <v>0</v>
      </c>
      <c r="C394" t="s">
        <v>1816</v>
      </c>
      <c r="D394">
        <v>18.23</v>
      </c>
      <c r="E394">
        <v>0.021656689024417</v>
      </c>
      <c r="F394" t="s">
        <v>1812</v>
      </c>
      <c r="G394" t="s">
        <v>1812</v>
      </c>
      <c r="H394">
        <v>0.394801440915125</v>
      </c>
      <c r="I394">
        <v>2631.26001</v>
      </c>
      <c r="J394" t="s">
        <v>1812</v>
      </c>
      <c r="K394" t="s">
        <v>1812</v>
      </c>
      <c r="L394">
        <v>1.69080151787235</v>
      </c>
      <c r="M394">
        <v>19.75</v>
      </c>
      <c r="N394">
        <v>10.89</v>
      </c>
    </row>
    <row r="395" spans="1:14">
      <c r="A395" s="1" t="s">
        <v>407</v>
      </c>
      <c r="B395">
        <f>HYPERLINK("https://www.suredividend.com/sure-analysis-research-database/","Day One Biopharmaceuticals Inc")</f>
        <v>0</v>
      </c>
      <c r="C395" t="s">
        <v>1812</v>
      </c>
      <c r="D395">
        <v>12.86</v>
      </c>
      <c r="E395">
        <v>0</v>
      </c>
      <c r="F395" t="s">
        <v>1812</v>
      </c>
      <c r="G395" t="s">
        <v>1812</v>
      </c>
      <c r="H395">
        <v>0</v>
      </c>
      <c r="I395">
        <v>946.14406</v>
      </c>
      <c r="J395">
        <v>0</v>
      </c>
      <c r="K395" t="s">
        <v>1812</v>
      </c>
      <c r="L395">
        <v>1.014401928889112</v>
      </c>
      <c r="M395">
        <v>28.35</v>
      </c>
      <c r="N395">
        <v>10.84</v>
      </c>
    </row>
    <row r="396" spans="1:14">
      <c r="A396" s="1" t="s">
        <v>408</v>
      </c>
      <c r="B396">
        <f>HYPERLINK("https://www.suredividend.com/sure-analysis-research-database/","Designer Brands Inc")</f>
        <v>0</v>
      </c>
      <c r="C396" t="s">
        <v>1816</v>
      </c>
      <c r="D396">
        <v>10.16</v>
      </c>
      <c r="E396">
        <v>0.019527405329972</v>
      </c>
      <c r="F396" t="s">
        <v>1812</v>
      </c>
      <c r="G396" t="s">
        <v>1812</v>
      </c>
      <c r="H396">
        <v>0.198398438152517</v>
      </c>
      <c r="I396">
        <v>664.0576</v>
      </c>
      <c r="J396">
        <v>4.490911427160895</v>
      </c>
      <c r="K396">
        <v>0.09358416893986651</v>
      </c>
      <c r="L396">
        <v>1.422392926765638</v>
      </c>
      <c r="M396">
        <v>19.01</v>
      </c>
      <c r="N396">
        <v>6.11</v>
      </c>
    </row>
    <row r="397" spans="1:14">
      <c r="A397" s="1" t="s">
        <v>409</v>
      </c>
      <c r="B397">
        <f>HYPERLINK("https://www.suredividend.com/sure-analysis-research-database/","DigitalBridge Group Inc")</f>
        <v>0</v>
      </c>
      <c r="C397" t="s">
        <v>1812</v>
      </c>
      <c r="D397">
        <v>15.86</v>
      </c>
      <c r="E397">
        <v>0.002519003735895</v>
      </c>
      <c r="F397" t="s">
        <v>1812</v>
      </c>
      <c r="G397" t="s">
        <v>1812</v>
      </c>
      <c r="H397">
        <v>0.039951399251305</v>
      </c>
      <c r="I397">
        <v>2567.489312</v>
      </c>
      <c r="J397" t="s">
        <v>1812</v>
      </c>
      <c r="K397" t="s">
        <v>1812</v>
      </c>
      <c r="L397">
        <v>1.989671674695527</v>
      </c>
      <c r="M397">
        <v>23.36</v>
      </c>
      <c r="N397">
        <v>9.970000000000001</v>
      </c>
    </row>
    <row r="398" spans="1:14">
      <c r="A398" s="1" t="s">
        <v>410</v>
      </c>
      <c r="B398">
        <f>HYPERLINK("https://www.suredividend.com/sure-analysis-research-database/","Dakota Gold Corp")</f>
        <v>0</v>
      </c>
      <c r="C398" t="s">
        <v>1812</v>
      </c>
      <c r="D398">
        <v>2.89</v>
      </c>
      <c r="E398">
        <v>0</v>
      </c>
      <c r="F398" t="s">
        <v>1812</v>
      </c>
      <c r="G398" t="s">
        <v>1812</v>
      </c>
      <c r="H398">
        <v>0</v>
      </c>
      <c r="I398">
        <v>217.658766</v>
      </c>
      <c r="J398">
        <v>0</v>
      </c>
      <c r="K398" t="s">
        <v>1812</v>
      </c>
      <c r="L398">
        <v>1.147565695386441</v>
      </c>
      <c r="M398">
        <v>4.69</v>
      </c>
      <c r="N398">
        <v>2.61</v>
      </c>
    </row>
    <row r="399" spans="1:14">
      <c r="A399" s="1" t="s">
        <v>411</v>
      </c>
      <c r="B399">
        <f>HYPERLINK("https://www.suredividend.com/sure-analysis-research-database/","DocGo Inc")</f>
        <v>0</v>
      </c>
      <c r="C399" t="s">
        <v>1812</v>
      </c>
      <c r="D399">
        <v>8.699999999999999</v>
      </c>
      <c r="E399">
        <v>0</v>
      </c>
      <c r="F399" t="s">
        <v>1812</v>
      </c>
      <c r="G399" t="s">
        <v>1812</v>
      </c>
      <c r="H399">
        <v>0</v>
      </c>
      <c r="I399">
        <v>900.222895</v>
      </c>
      <c r="J399">
        <v>43.93660050249073</v>
      </c>
      <c r="K399">
        <v>0</v>
      </c>
      <c r="L399">
        <v>0.8230952656395031</v>
      </c>
      <c r="M399">
        <v>11.41</v>
      </c>
      <c r="N399">
        <v>6.36</v>
      </c>
    </row>
    <row r="400" spans="1:14">
      <c r="A400" s="1" t="s">
        <v>412</v>
      </c>
      <c r="B400">
        <f>HYPERLINK("https://www.suredividend.com/sure-analysis-research-database/","Ducommun Inc.")</f>
        <v>0</v>
      </c>
      <c r="C400" t="s">
        <v>1813</v>
      </c>
      <c r="D400">
        <v>44.27</v>
      </c>
      <c r="E400">
        <v>0</v>
      </c>
      <c r="F400" t="s">
        <v>1812</v>
      </c>
      <c r="G400" t="s">
        <v>1812</v>
      </c>
      <c r="H400">
        <v>0</v>
      </c>
      <c r="I400">
        <v>542.0618459999999</v>
      </c>
      <c r="J400">
        <v>20.91207305929555</v>
      </c>
      <c r="K400">
        <v>0</v>
      </c>
      <c r="L400">
        <v>0.9834622935010471</v>
      </c>
      <c r="M400">
        <v>58.28</v>
      </c>
      <c r="N400">
        <v>38.89</v>
      </c>
    </row>
    <row r="401" spans="1:14">
      <c r="A401" s="1" t="s">
        <v>413</v>
      </c>
      <c r="B401">
        <f>HYPERLINK("https://www.suredividend.com/sure-analysis-research-database/","Dime Community Bancshares Inc")</f>
        <v>0</v>
      </c>
      <c r="C401" t="s">
        <v>1815</v>
      </c>
      <c r="D401">
        <v>22.77</v>
      </c>
      <c r="E401">
        <v>0.041900463371171</v>
      </c>
      <c r="F401">
        <v>0.04166666666666674</v>
      </c>
      <c r="G401">
        <v>0.008197818497166498</v>
      </c>
      <c r="H401">
        <v>0.9540735509615841</v>
      </c>
      <c r="I401">
        <v>884.088991</v>
      </c>
      <c r="J401">
        <v>6.041376469498903</v>
      </c>
      <c r="K401">
        <v>0.2497574740737131</v>
      </c>
      <c r="L401">
        <v>1.141449352950965</v>
      </c>
      <c r="M401">
        <v>34.9</v>
      </c>
      <c r="N401">
        <v>15.17</v>
      </c>
    </row>
    <row r="402" spans="1:14">
      <c r="A402" s="1" t="s">
        <v>414</v>
      </c>
      <c r="B402">
        <f>HYPERLINK("https://www.suredividend.com/sure-analysis-research-database/","Deciphera Pharmaceuticals Inc")</f>
        <v>0</v>
      </c>
      <c r="C402" t="s">
        <v>1817</v>
      </c>
      <c r="D402">
        <v>13.17</v>
      </c>
      <c r="E402">
        <v>0</v>
      </c>
      <c r="F402" t="s">
        <v>1812</v>
      </c>
      <c r="G402" t="s">
        <v>1812</v>
      </c>
      <c r="H402">
        <v>0</v>
      </c>
      <c r="I402">
        <v>1034.168482</v>
      </c>
      <c r="J402">
        <v>0</v>
      </c>
      <c r="K402" t="s">
        <v>1812</v>
      </c>
      <c r="L402">
        <v>1.087957064716929</v>
      </c>
      <c r="M402">
        <v>22.76</v>
      </c>
      <c r="N402">
        <v>12.73</v>
      </c>
    </row>
    <row r="403" spans="1:14">
      <c r="A403" s="1" t="s">
        <v>415</v>
      </c>
      <c r="B403">
        <f>HYPERLINK("https://www.suredividend.com/sure-analysis-research-database/","3D Systems Corp.")</f>
        <v>0</v>
      </c>
      <c r="C403" t="s">
        <v>1818</v>
      </c>
      <c r="D403">
        <v>8.23</v>
      </c>
      <c r="E403">
        <v>0</v>
      </c>
      <c r="F403" t="s">
        <v>1812</v>
      </c>
      <c r="G403" t="s">
        <v>1812</v>
      </c>
      <c r="H403">
        <v>0</v>
      </c>
      <c r="I403">
        <v>1098.591665</v>
      </c>
      <c r="J403" t="s">
        <v>1812</v>
      </c>
      <c r="K403">
        <v>-0</v>
      </c>
      <c r="L403">
        <v>2.076296139929416</v>
      </c>
      <c r="M403">
        <v>13.52</v>
      </c>
      <c r="N403">
        <v>7.02</v>
      </c>
    </row>
    <row r="404" spans="1:14">
      <c r="A404" s="1" t="s">
        <v>416</v>
      </c>
      <c r="B404">
        <f>HYPERLINK("https://www.suredividend.com/sure-analysis-DDS/","Dillard`s Inc.")</f>
        <v>0</v>
      </c>
      <c r="C404" t="s">
        <v>1816</v>
      </c>
      <c r="D404">
        <v>338.04</v>
      </c>
      <c r="E404">
        <v>0.002366583836232399</v>
      </c>
      <c r="F404">
        <v>0</v>
      </c>
      <c r="G404">
        <v>0.1486983549970351</v>
      </c>
      <c r="H404">
        <v>0.790066948456949</v>
      </c>
      <c r="I404">
        <v>4224.776256</v>
      </c>
      <c r="J404">
        <v>5.017316604527819</v>
      </c>
      <c r="K404">
        <v>0.01615018292021564</v>
      </c>
      <c r="L404">
        <v>1.215951362987306</v>
      </c>
      <c r="M404">
        <v>417.32</v>
      </c>
      <c r="N404">
        <v>224.56</v>
      </c>
    </row>
    <row r="405" spans="1:14">
      <c r="A405" s="1" t="s">
        <v>417</v>
      </c>
      <c r="B405">
        <f>HYPERLINK("https://www.suredividend.com/sure-analysis-DEA/","Easterly Government Properties Inc")</f>
        <v>0</v>
      </c>
      <c r="C405" t="s">
        <v>1814</v>
      </c>
      <c r="D405">
        <v>14.43</v>
      </c>
      <c r="E405">
        <v>0.07345807345807347</v>
      </c>
      <c r="F405">
        <v>0</v>
      </c>
      <c r="G405">
        <v>0.003816904892658401</v>
      </c>
      <c r="H405">
        <v>1.023182442626644</v>
      </c>
      <c r="I405">
        <v>1347.616344</v>
      </c>
      <c r="J405">
        <v>49.06667917640634</v>
      </c>
      <c r="K405">
        <v>3.39476590121647</v>
      </c>
      <c r="L405">
        <v>0.669448165960381</v>
      </c>
      <c r="M405">
        <v>18.1</v>
      </c>
      <c r="N405">
        <v>12.04</v>
      </c>
    </row>
    <row r="406" spans="1:14">
      <c r="A406" s="1" t="s">
        <v>418</v>
      </c>
      <c r="B406">
        <f>HYPERLINK("https://www.suredividend.com/sure-analysis-research-database/","Denbury Inc.")</f>
        <v>0</v>
      </c>
      <c r="C406" t="s">
        <v>1812</v>
      </c>
      <c r="D406">
        <v>88.06999999999999</v>
      </c>
      <c r="E406">
        <v>0</v>
      </c>
      <c r="F406" t="s">
        <v>1812</v>
      </c>
      <c r="G406" t="s">
        <v>1812</v>
      </c>
      <c r="H406">
        <v>0</v>
      </c>
      <c r="I406">
        <v>4427.911771</v>
      </c>
      <c r="J406" t="s">
        <v>1812</v>
      </c>
      <c r="K406">
        <v>-0</v>
      </c>
      <c r="L406">
        <v>0.7641488931874441</v>
      </c>
      <c r="M406">
        <v>104.05</v>
      </c>
      <c r="N406">
        <v>71.16</v>
      </c>
    </row>
    <row r="407" spans="1:14">
      <c r="A407" s="1" t="s">
        <v>419</v>
      </c>
      <c r="B407">
        <f>HYPERLINK("https://www.suredividend.com/sure-analysis-research-database/","Denny`s Corp.")</f>
        <v>0</v>
      </c>
      <c r="C407" t="s">
        <v>1816</v>
      </c>
      <c r="D407">
        <v>10.38</v>
      </c>
      <c r="E407">
        <v>0</v>
      </c>
      <c r="F407" t="s">
        <v>1812</v>
      </c>
      <c r="G407" t="s">
        <v>1812</v>
      </c>
      <c r="H407">
        <v>0</v>
      </c>
      <c r="I407">
        <v>575.717192</v>
      </c>
      <c r="J407">
        <v>14.7661440898715</v>
      </c>
      <c r="K407">
        <v>0</v>
      </c>
      <c r="L407">
        <v>0.9806293122530291</v>
      </c>
      <c r="M407">
        <v>13.13</v>
      </c>
      <c r="N407">
        <v>8.66</v>
      </c>
    </row>
    <row r="408" spans="1:14">
      <c r="A408" s="1" t="s">
        <v>420</v>
      </c>
      <c r="B408">
        <f>HYPERLINK("https://www.suredividend.com/sure-analysis-research-database/","Dream Finders Homes Inc")</f>
        <v>0</v>
      </c>
      <c r="C408" t="s">
        <v>1812</v>
      </c>
      <c r="D408">
        <v>23.94</v>
      </c>
      <c r="E408">
        <v>0</v>
      </c>
      <c r="F408" t="s">
        <v>1812</v>
      </c>
      <c r="G408" t="s">
        <v>1812</v>
      </c>
      <c r="H408">
        <v>0</v>
      </c>
      <c r="I408">
        <v>787.753528</v>
      </c>
      <c r="J408">
        <v>0</v>
      </c>
      <c r="K408" t="s">
        <v>1812</v>
      </c>
      <c r="L408">
        <v>1.356583209155862</v>
      </c>
      <c r="M408">
        <v>27.28</v>
      </c>
      <c r="N408">
        <v>8.17</v>
      </c>
    </row>
    <row r="409" spans="1:14">
      <c r="A409" s="1" t="s">
        <v>421</v>
      </c>
      <c r="B409">
        <f>HYPERLINK("https://www.suredividend.com/sure-analysis-research-database/","Donnelley Financial Solutions Inc")</f>
        <v>0</v>
      </c>
      <c r="C409" t="s">
        <v>1815</v>
      </c>
      <c r="D409">
        <v>47.52</v>
      </c>
      <c r="E409">
        <v>0</v>
      </c>
      <c r="F409" t="s">
        <v>1812</v>
      </c>
      <c r="G409" t="s">
        <v>1812</v>
      </c>
      <c r="H409">
        <v>0</v>
      </c>
      <c r="I409">
        <v>1398.41856</v>
      </c>
      <c r="J409">
        <v>15.2167416757345</v>
      </c>
      <c r="K409">
        <v>0</v>
      </c>
      <c r="L409">
        <v>1.112545222488918</v>
      </c>
      <c r="M409">
        <v>50.38</v>
      </c>
      <c r="N409">
        <v>33.17</v>
      </c>
    </row>
    <row r="410" spans="1:14">
      <c r="A410" s="1" t="s">
        <v>422</v>
      </c>
      <c r="B410">
        <f>HYPERLINK("https://www.suredividend.com/sure-analysis-DGICA/","Donegal Group Inc.")</f>
        <v>0</v>
      </c>
      <c r="C410" t="s">
        <v>1815</v>
      </c>
      <c r="D410">
        <v>14.99</v>
      </c>
      <c r="E410">
        <v>0.04536357571714476</v>
      </c>
      <c r="F410">
        <v>0.03030303030303028</v>
      </c>
      <c r="G410">
        <v>0.0359214157823311</v>
      </c>
      <c r="H410">
        <v>0.807109058183469</v>
      </c>
      <c r="I410">
        <v>491.862727</v>
      </c>
      <c r="J410" t="s">
        <v>1812</v>
      </c>
      <c r="K410" t="s">
        <v>1812</v>
      </c>
      <c r="L410">
        <v>0.414085503862113</v>
      </c>
      <c r="M410">
        <v>15.4</v>
      </c>
      <c r="N410">
        <v>12.19</v>
      </c>
    </row>
    <row r="411" spans="1:14">
      <c r="A411" s="1" t="s">
        <v>423</v>
      </c>
      <c r="B411">
        <f>HYPERLINK("https://www.suredividend.com/sure-analysis-research-database/","Digi International, Inc.")</f>
        <v>0</v>
      </c>
      <c r="C411" t="s">
        <v>1818</v>
      </c>
      <c r="D411">
        <v>35.67</v>
      </c>
      <c r="E411">
        <v>0</v>
      </c>
      <c r="F411" t="s">
        <v>1812</v>
      </c>
      <c r="G411" t="s">
        <v>1812</v>
      </c>
      <c r="H411">
        <v>0</v>
      </c>
      <c r="I411">
        <v>1279.501662</v>
      </c>
      <c r="J411">
        <v>47.34160885114886</v>
      </c>
      <c r="K411">
        <v>0</v>
      </c>
      <c r="L411">
        <v>1.167007945294833</v>
      </c>
      <c r="M411">
        <v>43.68</v>
      </c>
      <c r="N411">
        <v>28.67</v>
      </c>
    </row>
    <row r="412" spans="1:14">
      <c r="A412" s="1" t="s">
        <v>424</v>
      </c>
      <c r="B412">
        <f>HYPERLINK("https://www.suredividend.com/sure-analysis-research-database/","Diversified Healthcare Trust")</f>
        <v>0</v>
      </c>
      <c r="C412" t="s">
        <v>1814</v>
      </c>
      <c r="D412">
        <v>2.5</v>
      </c>
      <c r="E412">
        <v>0.015740327578964</v>
      </c>
      <c r="F412">
        <v>0</v>
      </c>
      <c r="G412">
        <v>-0.5193963347123083</v>
      </c>
      <c r="H412">
        <v>0.03935081894741</v>
      </c>
      <c r="I412">
        <v>599.466908</v>
      </c>
      <c r="J412" t="s">
        <v>1812</v>
      </c>
      <c r="K412" t="s">
        <v>1812</v>
      </c>
      <c r="L412">
        <v>1.838199542904979</v>
      </c>
      <c r="M412">
        <v>3.29</v>
      </c>
      <c r="N412">
        <v>0.5873</v>
      </c>
    </row>
    <row r="413" spans="1:14">
      <c r="A413" s="1" t="s">
        <v>425</v>
      </c>
      <c r="B413">
        <f>HYPERLINK("https://www.suredividend.com/sure-analysis-research-database/","Diamond Hill Investment Group, Inc.")</f>
        <v>0</v>
      </c>
      <c r="C413" t="s">
        <v>1815</v>
      </c>
      <c r="D413">
        <v>179.585</v>
      </c>
      <c r="E413">
        <v>0.032645461901621</v>
      </c>
      <c r="F413" t="s">
        <v>1812</v>
      </c>
      <c r="G413" t="s">
        <v>1812</v>
      </c>
      <c r="H413">
        <v>5.862635275602747</v>
      </c>
      <c r="I413">
        <v>533.452753</v>
      </c>
      <c r="J413">
        <v>12.12070126875561</v>
      </c>
      <c r="K413">
        <v>0.4085460122371252</v>
      </c>
      <c r="L413">
        <v>0.755351077466565</v>
      </c>
      <c r="M413">
        <v>188.28</v>
      </c>
      <c r="N413">
        <v>151.41</v>
      </c>
    </row>
    <row r="414" spans="1:14">
      <c r="A414" s="1" t="s">
        <v>426</v>
      </c>
      <c r="B414">
        <f>HYPERLINK("https://www.suredividend.com/sure-analysis-research-database/","DHT Holdings Inc")</f>
        <v>0</v>
      </c>
      <c r="C414" t="s">
        <v>1822</v>
      </c>
      <c r="D414">
        <v>9.92</v>
      </c>
      <c r="E414">
        <v>0.06798578830525601</v>
      </c>
      <c r="F414">
        <v>10.5</v>
      </c>
      <c r="G414">
        <v>0.6298197193463291</v>
      </c>
      <c r="H414">
        <v>0.67441901998814</v>
      </c>
      <c r="I414">
        <v>1616.826685</v>
      </c>
      <c r="J414">
        <v>13.82458496250631</v>
      </c>
      <c r="K414">
        <v>0.9458892285948668</v>
      </c>
      <c r="L414">
        <v>0.609500578715771</v>
      </c>
      <c r="M414">
        <v>11.79</v>
      </c>
      <c r="N414">
        <v>6.47</v>
      </c>
    </row>
    <row r="415" spans="1:14">
      <c r="A415" s="1" t="s">
        <v>427</v>
      </c>
      <c r="B415">
        <f>HYPERLINK("https://www.suredividend.com/sure-analysis-research-database/","DHI Group Inc")</f>
        <v>0</v>
      </c>
      <c r="C415" t="s">
        <v>1813</v>
      </c>
      <c r="D415">
        <v>3.92</v>
      </c>
      <c r="E415">
        <v>0</v>
      </c>
      <c r="F415" t="s">
        <v>1812</v>
      </c>
      <c r="G415" t="s">
        <v>1812</v>
      </c>
      <c r="H415">
        <v>0</v>
      </c>
      <c r="I415">
        <v>185.578233</v>
      </c>
      <c r="J415">
        <v>55.64564711244378</v>
      </c>
      <c r="K415">
        <v>0</v>
      </c>
      <c r="L415">
        <v>1.403527668044825</v>
      </c>
      <c r="M415">
        <v>6.56</v>
      </c>
      <c r="N415">
        <v>3</v>
      </c>
    </row>
    <row r="416" spans="1:14">
      <c r="A416" s="1" t="s">
        <v>428</v>
      </c>
      <c r="B416">
        <f>HYPERLINK("https://www.suredividend.com/sure-analysis-research-database/","1stdibs.com Inc")</f>
        <v>0</v>
      </c>
      <c r="C416" t="s">
        <v>1812</v>
      </c>
      <c r="D416">
        <v>3.91</v>
      </c>
      <c r="E416">
        <v>0</v>
      </c>
      <c r="F416" t="s">
        <v>1812</v>
      </c>
      <c r="G416" t="s">
        <v>1812</v>
      </c>
      <c r="H416">
        <v>0</v>
      </c>
      <c r="I416">
        <v>154.481543</v>
      </c>
      <c r="J416">
        <v>0</v>
      </c>
      <c r="K416" t="s">
        <v>1812</v>
      </c>
      <c r="L416">
        <v>1.102957669934025</v>
      </c>
      <c r="M416">
        <v>7.47</v>
      </c>
      <c r="N416">
        <v>3.45</v>
      </c>
    </row>
    <row r="417" spans="1:14">
      <c r="A417" s="1" t="s">
        <v>429</v>
      </c>
      <c r="B417">
        <f>HYPERLINK("https://www.suredividend.com/sure-analysis-research-database/","DICE Therapeutics Inc")</f>
        <v>0</v>
      </c>
      <c r="C417" t="s">
        <v>1812</v>
      </c>
      <c r="D417">
        <v>47.45</v>
      </c>
      <c r="E417">
        <v>0</v>
      </c>
      <c r="F417" t="s">
        <v>1812</v>
      </c>
      <c r="G417" t="s">
        <v>1812</v>
      </c>
      <c r="H417">
        <v>0</v>
      </c>
      <c r="I417">
        <v>2264.815879</v>
      </c>
      <c r="J417">
        <v>0</v>
      </c>
      <c r="K417" t="s">
        <v>1812</v>
      </c>
      <c r="L417">
        <v>0.551034341857783</v>
      </c>
      <c r="M417">
        <v>47.9</v>
      </c>
      <c r="N417">
        <v>15.08</v>
      </c>
    </row>
    <row r="418" spans="1:14">
      <c r="A418" s="1" t="s">
        <v>430</v>
      </c>
      <c r="B418">
        <f>HYPERLINK("https://www.suredividend.com/sure-analysis-research-database/","Dine Brands Global Inc")</f>
        <v>0</v>
      </c>
      <c r="C418" t="s">
        <v>1816</v>
      </c>
      <c r="D418">
        <v>57.65</v>
      </c>
      <c r="E418">
        <v>0.034962368085217</v>
      </c>
      <c r="F418" t="s">
        <v>1812</v>
      </c>
      <c r="G418" t="s">
        <v>1812</v>
      </c>
      <c r="H418">
        <v>2.015580520112806</v>
      </c>
      <c r="I418">
        <v>903.0142070000001</v>
      </c>
      <c r="J418">
        <v>11.09136051206151</v>
      </c>
      <c r="K418">
        <v>0.3846527710138943</v>
      </c>
      <c r="L418">
        <v>0.984143703160491</v>
      </c>
      <c r="M418">
        <v>81.11</v>
      </c>
      <c r="N418">
        <v>56</v>
      </c>
    </row>
    <row r="419" spans="1:14">
      <c r="A419" s="1" t="s">
        <v>431</v>
      </c>
      <c r="B419">
        <f>HYPERLINK("https://www.suredividend.com/sure-analysis-research-database/","Diodes, Inc.")</f>
        <v>0</v>
      </c>
      <c r="C419" t="s">
        <v>1818</v>
      </c>
      <c r="D419">
        <v>89.43000000000001</v>
      </c>
      <c r="E419">
        <v>0</v>
      </c>
      <c r="F419" t="s">
        <v>1812</v>
      </c>
      <c r="G419" t="s">
        <v>1812</v>
      </c>
      <c r="H419">
        <v>0</v>
      </c>
      <c r="I419">
        <v>4088.76151</v>
      </c>
      <c r="J419">
        <v>12.3998808472988</v>
      </c>
      <c r="K419">
        <v>0</v>
      </c>
      <c r="L419">
        <v>1.629627435431923</v>
      </c>
      <c r="M419">
        <v>97.45</v>
      </c>
      <c r="N419">
        <v>61.51</v>
      </c>
    </row>
    <row r="420" spans="1:14">
      <c r="A420" s="1" t="s">
        <v>432</v>
      </c>
      <c r="B420">
        <f>HYPERLINK("https://www.suredividend.com/sure-analysis-research-database/","Daily Journal Corporation")</f>
        <v>0</v>
      </c>
      <c r="C420" t="s">
        <v>1821</v>
      </c>
      <c r="D420">
        <v>292.75</v>
      </c>
      <c r="E420">
        <v>0</v>
      </c>
      <c r="F420" t="s">
        <v>1812</v>
      </c>
      <c r="G420" t="s">
        <v>1812</v>
      </c>
      <c r="H420">
        <v>0</v>
      </c>
      <c r="I420">
        <v>403.124362</v>
      </c>
      <c r="J420">
        <v>0</v>
      </c>
      <c r="K420" t="s">
        <v>1812</v>
      </c>
      <c r="M420">
        <v>315.23</v>
      </c>
      <c r="N420">
        <v>236.01</v>
      </c>
    </row>
    <row r="421" spans="1:14">
      <c r="A421" s="1" t="s">
        <v>433</v>
      </c>
      <c r="B421">
        <f>HYPERLINK("https://www.suredividend.com/sure-analysis-research-database/","Delek US Holdings Inc")</f>
        <v>0</v>
      </c>
      <c r="C421" t="s">
        <v>1822</v>
      </c>
      <c r="D421">
        <v>27.67</v>
      </c>
      <c r="E421">
        <v>0.030669766931249</v>
      </c>
      <c r="F421" t="s">
        <v>1812</v>
      </c>
      <c r="G421" t="s">
        <v>1812</v>
      </c>
      <c r="H421">
        <v>0.848632450987678</v>
      </c>
      <c r="I421">
        <v>1818.726051</v>
      </c>
      <c r="J421">
        <v>0</v>
      </c>
      <c r="K421" t="s">
        <v>1812</v>
      </c>
      <c r="L421">
        <v>0.816048102777274</v>
      </c>
      <c r="M421">
        <v>34.77</v>
      </c>
      <c r="N421">
        <v>19.19</v>
      </c>
    </row>
    <row r="422" spans="1:14">
      <c r="A422" s="1" t="s">
        <v>434</v>
      </c>
      <c r="B422">
        <f>HYPERLINK("https://www.suredividend.com/sure-analysis-research-database/","Duluth Holdings Inc")</f>
        <v>0</v>
      </c>
      <c r="C422" t="s">
        <v>1816</v>
      </c>
      <c r="D422">
        <v>7.32</v>
      </c>
      <c r="E422">
        <v>0</v>
      </c>
      <c r="F422" t="s">
        <v>1812</v>
      </c>
      <c r="G422" t="s">
        <v>1812</v>
      </c>
      <c r="H422">
        <v>0</v>
      </c>
      <c r="I422">
        <v>228.346141</v>
      </c>
      <c r="J422" t="s">
        <v>1812</v>
      </c>
      <c r="K422">
        <v>-0</v>
      </c>
      <c r="L422">
        <v>1.090389231976784</v>
      </c>
      <c r="M422">
        <v>10.43</v>
      </c>
      <c r="N422">
        <v>5.11</v>
      </c>
    </row>
    <row r="423" spans="1:14">
      <c r="A423" s="1" t="s">
        <v>435</v>
      </c>
      <c r="B423">
        <f>HYPERLINK("https://www.suredividend.com/sure-analysis-research-database/","Deluxe Corp.")</f>
        <v>0</v>
      </c>
      <c r="C423" t="s">
        <v>1821</v>
      </c>
      <c r="D423">
        <v>19.88</v>
      </c>
      <c r="E423">
        <v>0.058811884048128</v>
      </c>
      <c r="F423">
        <v>0</v>
      </c>
      <c r="G423">
        <v>0</v>
      </c>
      <c r="H423">
        <v>1.169180254876798</v>
      </c>
      <c r="I423">
        <v>863.995734</v>
      </c>
      <c r="J423">
        <v>14.78027463391269</v>
      </c>
      <c r="K423">
        <v>0.8660594480568874</v>
      </c>
      <c r="L423">
        <v>1.280168756676633</v>
      </c>
      <c r="M423">
        <v>23.5</v>
      </c>
      <c r="N423">
        <v>13.35</v>
      </c>
    </row>
    <row r="424" spans="1:14">
      <c r="A424" s="1" t="s">
        <v>436</v>
      </c>
      <c r="B424">
        <f>HYPERLINK("https://www.suredividend.com/sure-analysis-research-database/","Desktop Metal Inc")</f>
        <v>0</v>
      </c>
      <c r="C424" t="s">
        <v>1812</v>
      </c>
      <c r="D424">
        <v>1.81</v>
      </c>
      <c r="E424">
        <v>0</v>
      </c>
      <c r="F424" t="s">
        <v>1812</v>
      </c>
      <c r="G424" t="s">
        <v>1812</v>
      </c>
      <c r="H424">
        <v>0</v>
      </c>
      <c r="I424">
        <v>581.843224</v>
      </c>
      <c r="J424">
        <v>0</v>
      </c>
      <c r="K424" t="s">
        <v>1812</v>
      </c>
      <c r="L424">
        <v>2.15364045435186</v>
      </c>
      <c r="M424">
        <v>3.65</v>
      </c>
      <c r="N424">
        <v>1.13</v>
      </c>
    </row>
    <row r="425" spans="1:14">
      <c r="A425" s="1" t="s">
        <v>437</v>
      </c>
      <c r="B425">
        <f>HYPERLINK("https://www.suredividend.com/sure-analysis-research-database/","Digimarc Corporation")</f>
        <v>0</v>
      </c>
      <c r="C425" t="s">
        <v>1818</v>
      </c>
      <c r="D425">
        <v>35.8</v>
      </c>
      <c r="E425">
        <v>0</v>
      </c>
      <c r="F425" t="s">
        <v>1812</v>
      </c>
      <c r="G425" t="s">
        <v>1812</v>
      </c>
      <c r="H425">
        <v>0</v>
      </c>
      <c r="I425">
        <v>727.6593800000001</v>
      </c>
      <c r="J425" t="s">
        <v>1812</v>
      </c>
      <c r="K425">
        <v>-0</v>
      </c>
      <c r="L425">
        <v>1.697131950106275</v>
      </c>
      <c r="M425">
        <v>36.22</v>
      </c>
      <c r="N425">
        <v>12.45</v>
      </c>
    </row>
    <row r="426" spans="1:14">
      <c r="A426" s="1" t="s">
        <v>438</v>
      </c>
      <c r="B426">
        <f>HYPERLINK("https://www.suredividend.com/sure-analysis-research-database/","Denali Therapeutics Inc")</f>
        <v>0</v>
      </c>
      <c r="C426" t="s">
        <v>1817</v>
      </c>
      <c r="D426">
        <v>27.21</v>
      </c>
      <c r="E426">
        <v>0</v>
      </c>
      <c r="F426" t="s">
        <v>1812</v>
      </c>
      <c r="G426" t="s">
        <v>1812</v>
      </c>
      <c r="H426">
        <v>0</v>
      </c>
      <c r="I426">
        <v>3724.747296</v>
      </c>
      <c r="J426" t="s">
        <v>1812</v>
      </c>
      <c r="K426">
        <v>-0</v>
      </c>
      <c r="L426">
        <v>1.504207263857239</v>
      </c>
      <c r="M426">
        <v>39.43</v>
      </c>
      <c r="N426">
        <v>21.74</v>
      </c>
    </row>
    <row r="427" spans="1:14">
      <c r="A427" s="1" t="s">
        <v>439</v>
      </c>
      <c r="B427">
        <f>HYPERLINK("https://www.suredividend.com/sure-analysis-research-database/","Danimer Scientific Inc")</f>
        <v>0</v>
      </c>
      <c r="C427" t="s">
        <v>1812</v>
      </c>
      <c r="D427">
        <v>2.61</v>
      </c>
      <c r="E427">
        <v>0</v>
      </c>
      <c r="F427" t="s">
        <v>1812</v>
      </c>
      <c r="G427" t="s">
        <v>1812</v>
      </c>
      <c r="H427">
        <v>0</v>
      </c>
      <c r="I427">
        <v>266.059161</v>
      </c>
      <c r="J427">
        <v>0</v>
      </c>
      <c r="K427" t="s">
        <v>1812</v>
      </c>
      <c r="L427">
        <v>2.179435318039213</v>
      </c>
      <c r="M427">
        <v>5.79</v>
      </c>
      <c r="N427">
        <v>1.57</v>
      </c>
    </row>
    <row r="428" spans="1:14">
      <c r="A428" s="1" t="s">
        <v>440</v>
      </c>
      <c r="B428">
        <f>HYPERLINK("https://www.suredividend.com/sure-analysis-research-database/","NOW Inc")</f>
        <v>0</v>
      </c>
      <c r="C428" t="s">
        <v>1822</v>
      </c>
      <c r="D428">
        <v>10.45</v>
      </c>
      <c r="E428">
        <v>0</v>
      </c>
      <c r="F428" t="s">
        <v>1812</v>
      </c>
      <c r="G428" t="s">
        <v>1812</v>
      </c>
      <c r="H428">
        <v>0</v>
      </c>
      <c r="I428">
        <v>1115.213571</v>
      </c>
      <c r="J428">
        <v>8.645066441085271</v>
      </c>
      <c r="K428">
        <v>0</v>
      </c>
      <c r="L428">
        <v>1.291321054561107</v>
      </c>
      <c r="M428">
        <v>14.86</v>
      </c>
      <c r="N428">
        <v>8.83</v>
      </c>
    </row>
    <row r="429" spans="1:14">
      <c r="A429" s="1" t="s">
        <v>441</v>
      </c>
      <c r="B429">
        <f>HYPERLINK("https://www.suredividend.com/sure-analysis-research-database/","Krispy Kreme Inc")</f>
        <v>0</v>
      </c>
      <c r="C429" t="s">
        <v>1812</v>
      </c>
      <c r="D429">
        <v>14.89</v>
      </c>
      <c r="E429">
        <v>0.009353203693853</v>
      </c>
      <c r="F429" t="s">
        <v>1812</v>
      </c>
      <c r="G429" t="s">
        <v>1812</v>
      </c>
      <c r="H429">
        <v>0.139269203001482</v>
      </c>
      <c r="I429">
        <v>2504.498</v>
      </c>
      <c r="J429" t="s">
        <v>1812</v>
      </c>
      <c r="K429" t="s">
        <v>1812</v>
      </c>
      <c r="L429">
        <v>0.703101964823121</v>
      </c>
      <c r="M429">
        <v>16.15</v>
      </c>
      <c r="N429">
        <v>10.11</v>
      </c>
    </row>
    <row r="430" spans="1:14">
      <c r="A430" s="1" t="s">
        <v>442</v>
      </c>
      <c r="B430">
        <f>HYPERLINK("https://www.suredividend.com/sure-analysis-research-database/","Diamond Offshore Drilling, Inc.")</f>
        <v>0</v>
      </c>
      <c r="C430" t="s">
        <v>1822</v>
      </c>
      <c r="D430">
        <v>15.44</v>
      </c>
      <c r="E430">
        <v>0</v>
      </c>
      <c r="F430" t="s">
        <v>1812</v>
      </c>
      <c r="G430" t="s">
        <v>1812</v>
      </c>
      <c r="H430">
        <v>0</v>
      </c>
      <c r="I430">
        <v>1564.965482</v>
      </c>
      <c r="J430" t="s">
        <v>1812</v>
      </c>
      <c r="K430">
        <v>-0</v>
      </c>
      <c r="L430">
        <v>1.319796228032483</v>
      </c>
      <c r="M430">
        <v>16.52</v>
      </c>
      <c r="N430">
        <v>6.12</v>
      </c>
    </row>
    <row r="431" spans="1:14">
      <c r="A431" s="1" t="s">
        <v>443</v>
      </c>
      <c r="B431">
        <f>HYPERLINK("https://www.suredividend.com/sure-analysis-DOC/","Physicians Realty Trust")</f>
        <v>0</v>
      </c>
      <c r="C431" t="s">
        <v>1814</v>
      </c>
      <c r="D431">
        <v>14.51</v>
      </c>
      <c r="E431">
        <v>0.06340454858718125</v>
      </c>
      <c r="F431">
        <v>0</v>
      </c>
      <c r="G431">
        <v>0</v>
      </c>
      <c r="H431">
        <v>0.9016854114775851</v>
      </c>
      <c r="I431">
        <v>3459.16312</v>
      </c>
      <c r="J431">
        <v>34.08848516013639</v>
      </c>
      <c r="K431">
        <v>2.151993822142208</v>
      </c>
      <c r="L431">
        <v>0.707331276705326</v>
      </c>
      <c r="M431">
        <v>17.45</v>
      </c>
      <c r="N431">
        <v>13</v>
      </c>
    </row>
    <row r="432" spans="1:14">
      <c r="A432" s="1" t="s">
        <v>444</v>
      </c>
      <c r="B432">
        <f>HYPERLINK("https://www.suredividend.com/sure-analysis-research-database/","DigitalOcean Holdings Inc")</f>
        <v>0</v>
      </c>
      <c r="C432" t="s">
        <v>1812</v>
      </c>
      <c r="D432">
        <v>46.68</v>
      </c>
      <c r="E432">
        <v>0</v>
      </c>
      <c r="F432" t="s">
        <v>1812</v>
      </c>
      <c r="G432" t="s">
        <v>1812</v>
      </c>
      <c r="H432">
        <v>0</v>
      </c>
      <c r="I432">
        <v>4145.7682</v>
      </c>
      <c r="J432">
        <v>0</v>
      </c>
      <c r="K432" t="s">
        <v>1812</v>
      </c>
      <c r="L432">
        <v>1.848909780357111</v>
      </c>
      <c r="M432">
        <v>53.88</v>
      </c>
      <c r="N432">
        <v>23.38</v>
      </c>
    </row>
    <row r="433" spans="1:14">
      <c r="A433" s="1" t="s">
        <v>445</v>
      </c>
      <c r="B433">
        <f>HYPERLINK("https://www.suredividend.com/sure-analysis-research-database/","Doma Holdings Inc")</f>
        <v>0</v>
      </c>
      <c r="C433" t="s">
        <v>1812</v>
      </c>
      <c r="D433">
        <v>7.3</v>
      </c>
      <c r="E433">
        <v>0</v>
      </c>
      <c r="F433" t="s">
        <v>1812</v>
      </c>
      <c r="G433" t="s">
        <v>1812</v>
      </c>
      <c r="H433">
        <v>0</v>
      </c>
      <c r="I433">
        <v>2431.351359</v>
      </c>
      <c r="J433">
        <v>0</v>
      </c>
      <c r="K433" t="s">
        <v>1812</v>
      </c>
      <c r="L433">
        <v>1.776774205436262</v>
      </c>
      <c r="M433">
        <v>26.11</v>
      </c>
      <c r="N433">
        <v>4.25</v>
      </c>
    </row>
    <row r="434" spans="1:14">
      <c r="A434" s="1" t="s">
        <v>446</v>
      </c>
      <c r="B434">
        <f>HYPERLINK("https://www.suredividend.com/sure-analysis-research-database/","Domo Inc.")</f>
        <v>0</v>
      </c>
      <c r="C434" t="s">
        <v>1818</v>
      </c>
      <c r="D434">
        <v>16.68</v>
      </c>
      <c r="E434">
        <v>0</v>
      </c>
      <c r="F434" t="s">
        <v>1812</v>
      </c>
      <c r="G434" t="s">
        <v>1812</v>
      </c>
      <c r="H434">
        <v>0</v>
      </c>
      <c r="I434">
        <v>542.411949</v>
      </c>
      <c r="J434" t="s">
        <v>1812</v>
      </c>
      <c r="K434">
        <v>-0</v>
      </c>
      <c r="L434">
        <v>2.1661333238791</v>
      </c>
      <c r="M434">
        <v>35.43</v>
      </c>
      <c r="N434">
        <v>11.35</v>
      </c>
    </row>
    <row r="435" spans="1:14">
      <c r="A435" s="1" t="s">
        <v>447</v>
      </c>
      <c r="B435">
        <f>HYPERLINK("https://www.suredividend.com/sure-analysis-research-database/","Masonite International Corp")</f>
        <v>0</v>
      </c>
      <c r="C435" t="s">
        <v>1813</v>
      </c>
      <c r="D435">
        <v>101.35</v>
      </c>
      <c r="E435">
        <v>0</v>
      </c>
      <c r="F435" t="s">
        <v>1812</v>
      </c>
      <c r="G435" t="s">
        <v>1812</v>
      </c>
      <c r="H435">
        <v>0</v>
      </c>
      <c r="I435">
        <v>2241.103902</v>
      </c>
      <c r="J435">
        <v>12.10478390640697</v>
      </c>
      <c r="K435">
        <v>0</v>
      </c>
      <c r="L435">
        <v>1.341582402100894</v>
      </c>
      <c r="M435">
        <v>106.36</v>
      </c>
      <c r="N435">
        <v>65.70999999999999</v>
      </c>
    </row>
    <row r="436" spans="1:14">
      <c r="A436" s="1" t="s">
        <v>448</v>
      </c>
      <c r="B436">
        <f>HYPERLINK("https://www.suredividend.com/sure-analysis-research-database/","Dorman Products Inc")</f>
        <v>0</v>
      </c>
      <c r="C436" t="s">
        <v>1816</v>
      </c>
      <c r="D436">
        <v>88.8</v>
      </c>
      <c r="E436">
        <v>0</v>
      </c>
      <c r="F436" t="s">
        <v>1812</v>
      </c>
      <c r="G436" t="s">
        <v>1812</v>
      </c>
      <c r="H436">
        <v>0</v>
      </c>
      <c r="I436">
        <v>2796.148963</v>
      </c>
      <c r="J436">
        <v>32.18033103003798</v>
      </c>
      <c r="K436">
        <v>0</v>
      </c>
      <c r="L436">
        <v>0.8272235359436231</v>
      </c>
      <c r="M436">
        <v>108.69</v>
      </c>
      <c r="N436">
        <v>73.31999999999999</v>
      </c>
    </row>
    <row r="437" spans="1:14">
      <c r="A437" s="1" t="s">
        <v>449</v>
      </c>
      <c r="B437">
        <f>HYPERLINK("https://www.suredividend.com/sure-analysis-research-database/","Douglas Elliman Inc")</f>
        <v>0</v>
      </c>
      <c r="C437" t="s">
        <v>1812</v>
      </c>
      <c r="D437">
        <v>2.12</v>
      </c>
      <c r="E437">
        <v>0.066376821022571</v>
      </c>
      <c r="F437" t="s">
        <v>1812</v>
      </c>
      <c r="G437" t="s">
        <v>1812</v>
      </c>
      <c r="H437">
        <v>0.140718860567851</v>
      </c>
      <c r="I437">
        <v>178.953624</v>
      </c>
      <c r="J437" t="s">
        <v>1812</v>
      </c>
      <c r="K437" t="s">
        <v>1812</v>
      </c>
      <c r="L437">
        <v>1.397881433309109</v>
      </c>
      <c r="M437">
        <v>5.64</v>
      </c>
      <c r="N437">
        <v>2.07</v>
      </c>
    </row>
    <row r="438" spans="1:14">
      <c r="A438" s="1" t="s">
        <v>450</v>
      </c>
      <c r="B438">
        <f>HYPERLINK("https://www.suredividend.com/sure-analysis-research-database/","Diamondrock Hospitality Co.")</f>
        <v>0</v>
      </c>
      <c r="C438" t="s">
        <v>1814</v>
      </c>
      <c r="D438">
        <v>7.88</v>
      </c>
      <c r="E438">
        <v>0.015140589790434</v>
      </c>
      <c r="F438" t="s">
        <v>1812</v>
      </c>
      <c r="G438" t="s">
        <v>1812</v>
      </c>
      <c r="H438">
        <v>0.119307847548625</v>
      </c>
      <c r="I438">
        <v>1653.138833</v>
      </c>
      <c r="J438">
        <v>16.75948491935238</v>
      </c>
      <c r="K438">
        <v>0.2592521676415146</v>
      </c>
      <c r="L438">
        <v>1.248885160187134</v>
      </c>
      <c r="M438">
        <v>9.94</v>
      </c>
      <c r="N438">
        <v>7.08</v>
      </c>
    </row>
    <row r="439" spans="1:14">
      <c r="A439" s="1" t="s">
        <v>451</v>
      </c>
      <c r="B439">
        <f>HYPERLINK("https://www.suredividend.com/sure-analysis-research-database/","Dril-Quip, Inc.")</f>
        <v>0</v>
      </c>
      <c r="C439" t="s">
        <v>1822</v>
      </c>
      <c r="D439">
        <v>28.11</v>
      </c>
      <c r="E439">
        <v>0</v>
      </c>
      <c r="F439" t="s">
        <v>1812</v>
      </c>
      <c r="G439" t="s">
        <v>1812</v>
      </c>
      <c r="H439">
        <v>0</v>
      </c>
      <c r="I439">
        <v>960.6005280000001</v>
      </c>
      <c r="J439">
        <v>46.30515922921186</v>
      </c>
      <c r="K439">
        <v>0</v>
      </c>
      <c r="L439">
        <v>1.144358651651997</v>
      </c>
      <c r="M439">
        <v>35.95</v>
      </c>
      <c r="N439">
        <v>19.1</v>
      </c>
    </row>
    <row r="440" spans="1:14">
      <c r="A440" s="1" t="s">
        <v>452</v>
      </c>
      <c r="B440">
        <f>HYPERLINK("https://www.suredividend.com/sure-analysis-research-database/","Diversey Holdings Ltd")</f>
        <v>0</v>
      </c>
      <c r="C440" t="s">
        <v>1812</v>
      </c>
      <c r="D440">
        <v>8.390000000000001</v>
      </c>
      <c r="E440">
        <v>0</v>
      </c>
      <c r="F440" t="s">
        <v>1812</v>
      </c>
      <c r="G440" t="s">
        <v>1812</v>
      </c>
      <c r="H440">
        <v>0</v>
      </c>
      <c r="I440">
        <v>0</v>
      </c>
      <c r="J440">
        <v>0</v>
      </c>
      <c r="K440" t="s">
        <v>1812</v>
      </c>
    </row>
    <row r="441" spans="1:14">
      <c r="A441" s="1" t="s">
        <v>453</v>
      </c>
      <c r="B441">
        <f>HYPERLINK("https://www.suredividend.com/sure-analysis-research-database/","Design Therapeutics Inc")</f>
        <v>0</v>
      </c>
      <c r="C441" t="s">
        <v>1812</v>
      </c>
      <c r="D441">
        <v>7.61</v>
      </c>
      <c r="E441">
        <v>0</v>
      </c>
      <c r="F441" t="s">
        <v>1812</v>
      </c>
      <c r="G441" t="s">
        <v>1812</v>
      </c>
      <c r="H441">
        <v>0</v>
      </c>
      <c r="I441">
        <v>425.745643</v>
      </c>
      <c r="J441">
        <v>0</v>
      </c>
      <c r="K441" t="s">
        <v>1812</v>
      </c>
      <c r="L441">
        <v>1.274874493634326</v>
      </c>
      <c r="M441">
        <v>26.3</v>
      </c>
      <c r="N441">
        <v>4.9</v>
      </c>
    </row>
    <row r="442" spans="1:14">
      <c r="A442" s="1" t="s">
        <v>454</v>
      </c>
      <c r="B442">
        <f>HYPERLINK("https://www.suredividend.com/sure-analysis-research-database/","Distribution Solutions Group Inc")</f>
        <v>0</v>
      </c>
      <c r="C442" t="s">
        <v>1812</v>
      </c>
      <c r="D442">
        <v>54.21</v>
      </c>
      <c r="E442">
        <v>0</v>
      </c>
      <c r="F442" t="s">
        <v>1812</v>
      </c>
      <c r="G442" t="s">
        <v>1812</v>
      </c>
      <c r="H442">
        <v>0</v>
      </c>
      <c r="I442">
        <v>1145.274992</v>
      </c>
      <c r="J442">
        <v>154.6415057750472</v>
      </c>
      <c r="K442">
        <v>0</v>
      </c>
      <c r="L442">
        <v>1.323354476542585</v>
      </c>
      <c r="M442">
        <v>56.67</v>
      </c>
      <c r="N442">
        <v>25.51</v>
      </c>
    </row>
    <row r="443" spans="1:14">
      <c r="A443" s="1" t="s">
        <v>455</v>
      </c>
      <c r="B443">
        <f>HYPERLINK("https://www.suredividend.com/sure-analysis-research-database/","Daseke Inc")</f>
        <v>0</v>
      </c>
      <c r="C443" t="s">
        <v>1813</v>
      </c>
      <c r="D443">
        <v>6.31</v>
      </c>
      <c r="E443">
        <v>0</v>
      </c>
      <c r="F443" t="s">
        <v>1812</v>
      </c>
      <c r="G443" t="s">
        <v>1812</v>
      </c>
      <c r="H443">
        <v>0</v>
      </c>
      <c r="I443">
        <v>286.424997</v>
      </c>
      <c r="J443">
        <v>9.360294004575165</v>
      </c>
      <c r="K443">
        <v>0</v>
      </c>
      <c r="L443">
        <v>1.313614017624367</v>
      </c>
      <c r="M443">
        <v>9.57</v>
      </c>
      <c r="N443">
        <v>4.69</v>
      </c>
    </row>
    <row r="444" spans="1:14">
      <c r="A444" s="1" t="s">
        <v>456</v>
      </c>
      <c r="B444">
        <f>HYPERLINK("https://www.suredividend.com/sure-analysis-research-database/","Viant Technology Inc")</f>
        <v>0</v>
      </c>
      <c r="C444" t="s">
        <v>1812</v>
      </c>
      <c r="D444">
        <v>4.65</v>
      </c>
      <c r="E444">
        <v>0</v>
      </c>
      <c r="F444" t="s">
        <v>1812</v>
      </c>
      <c r="G444" t="s">
        <v>1812</v>
      </c>
      <c r="H444">
        <v>0</v>
      </c>
      <c r="I444">
        <v>70.215</v>
      </c>
      <c r="J444">
        <v>0</v>
      </c>
      <c r="K444" t="s">
        <v>1812</v>
      </c>
      <c r="L444">
        <v>0.9820255951246891</v>
      </c>
      <c r="M444">
        <v>5.99</v>
      </c>
      <c r="N444">
        <v>3.15</v>
      </c>
    </row>
    <row r="445" spans="1:14">
      <c r="A445" s="1" t="s">
        <v>457</v>
      </c>
      <c r="B445">
        <f>HYPERLINK("https://www.suredividend.com/sure-analysis-research-database/","Solo Brands Inc")</f>
        <v>0</v>
      </c>
      <c r="C445" t="s">
        <v>1812</v>
      </c>
      <c r="D445">
        <v>5.79</v>
      </c>
      <c r="E445">
        <v>0</v>
      </c>
      <c r="F445" t="s">
        <v>1812</v>
      </c>
      <c r="G445" t="s">
        <v>1812</v>
      </c>
      <c r="H445">
        <v>0</v>
      </c>
      <c r="I445">
        <v>368.758725</v>
      </c>
      <c r="J445">
        <v>0</v>
      </c>
      <c r="K445" t="s">
        <v>1812</v>
      </c>
      <c r="L445">
        <v>1.176219898635099</v>
      </c>
      <c r="M445">
        <v>8.859999999999999</v>
      </c>
      <c r="N445">
        <v>3.39</v>
      </c>
    </row>
    <row r="446" spans="1:14">
      <c r="A446" s="1" t="s">
        <v>458</v>
      </c>
      <c r="B446">
        <f>HYPERLINK("https://www.suredividend.com/sure-analysis-research-database/","Duolingo Inc")</f>
        <v>0</v>
      </c>
      <c r="C446" t="s">
        <v>1812</v>
      </c>
      <c r="D446">
        <v>141.24</v>
      </c>
      <c r="E446">
        <v>0</v>
      </c>
      <c r="F446" t="s">
        <v>1812</v>
      </c>
      <c r="G446" t="s">
        <v>1812</v>
      </c>
      <c r="H446">
        <v>0</v>
      </c>
      <c r="I446">
        <v>4905.9714</v>
      </c>
      <c r="J446" t="s">
        <v>1812</v>
      </c>
      <c r="K446">
        <v>-0</v>
      </c>
      <c r="L446">
        <v>1.326949634309521</v>
      </c>
      <c r="M446">
        <v>168.4</v>
      </c>
      <c r="N446">
        <v>64.73</v>
      </c>
    </row>
    <row r="447" spans="1:14">
      <c r="A447" s="1" t="s">
        <v>459</v>
      </c>
      <c r="B447">
        <f>HYPERLINK("https://www.suredividend.com/sure-analysis-research-database/","Dynavax Technologies Corp.")</f>
        <v>0</v>
      </c>
      <c r="C447" t="s">
        <v>1817</v>
      </c>
      <c r="D447">
        <v>13.39</v>
      </c>
      <c r="E447">
        <v>0</v>
      </c>
      <c r="F447" t="s">
        <v>1812</v>
      </c>
      <c r="G447" t="s">
        <v>1812</v>
      </c>
      <c r="H447">
        <v>0</v>
      </c>
      <c r="I447">
        <v>1709.903</v>
      </c>
      <c r="J447">
        <v>7.251097267750294</v>
      </c>
      <c r="K447">
        <v>0</v>
      </c>
      <c r="L447">
        <v>1.214038064768546</v>
      </c>
      <c r="M447">
        <v>17.48</v>
      </c>
      <c r="N447">
        <v>9.42</v>
      </c>
    </row>
    <row r="448" spans="1:14">
      <c r="A448" s="1" t="s">
        <v>460</v>
      </c>
      <c r="B448">
        <f>HYPERLINK("https://www.suredividend.com/sure-analysis-DX/","Dynex Capital, Inc.")</f>
        <v>0</v>
      </c>
      <c r="C448" t="s">
        <v>1814</v>
      </c>
      <c r="D448">
        <v>12.6</v>
      </c>
      <c r="E448">
        <v>0.1238095238095238</v>
      </c>
      <c r="F448">
        <v>0</v>
      </c>
      <c r="G448">
        <v>0</v>
      </c>
      <c r="H448">
        <v>1.473500681403456</v>
      </c>
      <c r="I448">
        <v>682.974419</v>
      </c>
      <c r="J448">
        <v>444.3555103448276</v>
      </c>
      <c r="K448">
        <v>48.63038552486653</v>
      </c>
      <c r="L448">
        <v>0.979625952448231</v>
      </c>
      <c r="M448">
        <v>14.74</v>
      </c>
      <c r="N448">
        <v>9.65</v>
      </c>
    </row>
    <row r="449" spans="1:14">
      <c r="A449" s="1" t="s">
        <v>461</v>
      </c>
      <c r="B449">
        <f>HYPERLINK("https://www.suredividend.com/sure-analysis-research-database/","Destination XL Group Inc")</f>
        <v>0</v>
      </c>
      <c r="C449" t="s">
        <v>1816</v>
      </c>
      <c r="D449">
        <v>5.02</v>
      </c>
      <c r="E449">
        <v>0</v>
      </c>
      <c r="F449" t="s">
        <v>1812</v>
      </c>
      <c r="G449" t="s">
        <v>1812</v>
      </c>
      <c r="H449">
        <v>0</v>
      </c>
      <c r="I449">
        <v>311.749018</v>
      </c>
      <c r="J449">
        <v>3.769546298275737</v>
      </c>
      <c r="K449">
        <v>0</v>
      </c>
      <c r="L449">
        <v>1.11269466436113</v>
      </c>
      <c r="M449">
        <v>7.57</v>
      </c>
      <c r="N449">
        <v>3.69</v>
      </c>
    </row>
    <row r="450" spans="1:14">
      <c r="A450" s="1" t="s">
        <v>462</v>
      </c>
      <c r="B450">
        <f>HYPERLINK("https://www.suredividend.com/sure-analysis-research-database/","DXP Enterprises, Inc.")</f>
        <v>0</v>
      </c>
      <c r="C450" t="s">
        <v>1813</v>
      </c>
      <c r="D450">
        <v>37.23</v>
      </c>
      <c r="E450">
        <v>0</v>
      </c>
      <c r="F450" t="s">
        <v>1812</v>
      </c>
      <c r="G450" t="s">
        <v>1812</v>
      </c>
      <c r="H450">
        <v>0</v>
      </c>
      <c r="I450">
        <v>647.558367</v>
      </c>
      <c r="J450">
        <v>12.21739084353716</v>
      </c>
      <c r="K450">
        <v>0</v>
      </c>
      <c r="L450">
        <v>0.9930607124052401</v>
      </c>
      <c r="M450">
        <v>39.89</v>
      </c>
      <c r="N450">
        <v>22.06</v>
      </c>
    </row>
    <row r="451" spans="1:14">
      <c r="A451" s="1" t="s">
        <v>463</v>
      </c>
      <c r="B451">
        <f>HYPERLINK("https://www.suredividend.com/sure-analysis-research-database/","Dycom Industries, Inc.")</f>
        <v>0</v>
      </c>
      <c r="C451" t="s">
        <v>1813</v>
      </c>
      <c r="D451">
        <v>97.31</v>
      </c>
      <c r="E451">
        <v>0</v>
      </c>
      <c r="F451" t="s">
        <v>1812</v>
      </c>
      <c r="G451" t="s">
        <v>1812</v>
      </c>
      <c r="H451">
        <v>0</v>
      </c>
      <c r="I451">
        <v>2853.630736</v>
      </c>
      <c r="J451">
        <v>16.38134750711826</v>
      </c>
      <c r="K451">
        <v>0</v>
      </c>
      <c r="L451">
        <v>0.9685003921978681</v>
      </c>
      <c r="M451">
        <v>122.13</v>
      </c>
      <c r="N451">
        <v>77.33</v>
      </c>
    </row>
    <row r="452" spans="1:14">
      <c r="A452" s="1" t="s">
        <v>464</v>
      </c>
      <c r="B452">
        <f>HYPERLINK("https://www.suredividend.com/sure-analysis-research-database/","Dyne Therapeutics Inc")</f>
        <v>0</v>
      </c>
      <c r="C452" t="s">
        <v>1812</v>
      </c>
      <c r="D452">
        <v>11.5</v>
      </c>
      <c r="E452">
        <v>0</v>
      </c>
      <c r="F452" t="s">
        <v>1812</v>
      </c>
      <c r="G452" t="s">
        <v>1812</v>
      </c>
      <c r="H452">
        <v>0</v>
      </c>
      <c r="I452">
        <v>670.573085</v>
      </c>
      <c r="J452">
        <v>0</v>
      </c>
      <c r="K452" t="s">
        <v>1812</v>
      </c>
      <c r="L452">
        <v>1.147607337682706</v>
      </c>
      <c r="M452">
        <v>15.63</v>
      </c>
      <c r="N452">
        <v>8.039999999999999</v>
      </c>
    </row>
    <row r="453" spans="1:14">
      <c r="A453" s="1" t="s">
        <v>465</v>
      </c>
      <c r="B453">
        <f>HYPERLINK("https://www.suredividend.com/sure-analysis-research-database/","DZS Inc")</f>
        <v>0</v>
      </c>
      <c r="C453" t="s">
        <v>1818</v>
      </c>
      <c r="D453">
        <v>3.29</v>
      </c>
      <c r="E453">
        <v>0</v>
      </c>
      <c r="F453" t="s">
        <v>1812</v>
      </c>
      <c r="G453" t="s">
        <v>1812</v>
      </c>
      <c r="H453">
        <v>0</v>
      </c>
      <c r="I453">
        <v>102.51567</v>
      </c>
      <c r="J453" t="s">
        <v>1812</v>
      </c>
      <c r="K453">
        <v>-0</v>
      </c>
      <c r="L453">
        <v>0.9793381299029261</v>
      </c>
      <c r="M453">
        <v>16.25</v>
      </c>
      <c r="N453">
        <v>3.24</v>
      </c>
    </row>
    <row r="454" spans="1:14">
      <c r="A454" s="1" t="s">
        <v>466</v>
      </c>
      <c r="B454">
        <f>HYPERLINK("https://www.suredividend.com/sure-analysis-research-database/","GrafTech International Ltd.")</f>
        <v>0</v>
      </c>
      <c r="C454" t="s">
        <v>1813</v>
      </c>
      <c r="D454">
        <v>5.23</v>
      </c>
      <c r="E454">
        <v>0.007637595112205001</v>
      </c>
      <c r="F454">
        <v>0</v>
      </c>
      <c r="G454">
        <v>-0.3481972103686233</v>
      </c>
      <c r="H454">
        <v>0.039944622436835</v>
      </c>
      <c r="I454">
        <v>1342.576088</v>
      </c>
      <c r="J454">
        <v>5.34018570490434</v>
      </c>
      <c r="K454">
        <v>0.04089334811305795</v>
      </c>
      <c r="L454">
        <v>1.169382482298659</v>
      </c>
      <c r="M454">
        <v>7.42</v>
      </c>
      <c r="N454">
        <v>3.75</v>
      </c>
    </row>
    <row r="455" spans="1:14">
      <c r="A455" s="1" t="s">
        <v>467</v>
      </c>
      <c r="B455">
        <f>HYPERLINK("https://www.suredividend.com/sure-analysis-research-database/","Brinker International, Inc.")</f>
        <v>0</v>
      </c>
      <c r="C455" t="s">
        <v>1816</v>
      </c>
      <c r="D455">
        <v>39.03</v>
      </c>
      <c r="E455">
        <v>0</v>
      </c>
      <c r="F455" t="s">
        <v>1812</v>
      </c>
      <c r="G455" t="s">
        <v>1812</v>
      </c>
      <c r="H455">
        <v>0</v>
      </c>
      <c r="I455">
        <v>1728.904768</v>
      </c>
      <c r="J455">
        <v>19.51359782742664</v>
      </c>
      <c r="K455">
        <v>0</v>
      </c>
      <c r="L455">
        <v>1.430891014646536</v>
      </c>
      <c r="M455">
        <v>42.12</v>
      </c>
      <c r="N455">
        <v>23.66</v>
      </c>
    </row>
    <row r="456" spans="1:14">
      <c r="A456" s="1" t="s">
        <v>468</v>
      </c>
      <c r="B456">
        <f>HYPERLINK("https://www.suredividend.com/sure-analysis-research-database/","Eventbrite Inc")</f>
        <v>0</v>
      </c>
      <c r="C456" t="s">
        <v>1818</v>
      </c>
      <c r="D456">
        <v>10.77</v>
      </c>
      <c r="E456">
        <v>0</v>
      </c>
      <c r="F456" t="s">
        <v>1812</v>
      </c>
      <c r="G456" t="s">
        <v>1812</v>
      </c>
      <c r="H456">
        <v>0</v>
      </c>
      <c r="I456">
        <v>887.448</v>
      </c>
      <c r="J456" t="s">
        <v>1812</v>
      </c>
      <c r="K456">
        <v>-0</v>
      </c>
      <c r="L456">
        <v>1.737116992105958</v>
      </c>
      <c r="M456">
        <v>11.82</v>
      </c>
      <c r="N456">
        <v>5.3</v>
      </c>
    </row>
    <row r="457" spans="1:14">
      <c r="A457" s="1" t="s">
        <v>469</v>
      </c>
      <c r="B457">
        <f>HYPERLINK("https://www.suredividend.com/sure-analysis-research-database/","Eastern Bankshares Inc.")</f>
        <v>0</v>
      </c>
      <c r="C457" t="s">
        <v>1812</v>
      </c>
      <c r="D457">
        <v>14.17</v>
      </c>
      <c r="E457">
        <v>0.027717003561549</v>
      </c>
      <c r="F457" t="s">
        <v>1812</v>
      </c>
      <c r="G457" t="s">
        <v>1812</v>
      </c>
      <c r="H457">
        <v>0.3927499404671611</v>
      </c>
      <c r="I457">
        <v>2498.573796</v>
      </c>
      <c r="J457" t="s">
        <v>1812</v>
      </c>
      <c r="K457" t="s">
        <v>1812</v>
      </c>
      <c r="L457">
        <v>0.9208753201882931</v>
      </c>
      <c r="M457">
        <v>20.9</v>
      </c>
      <c r="N457">
        <v>9.75</v>
      </c>
    </row>
    <row r="458" spans="1:14">
      <c r="A458" s="1" t="s">
        <v>470</v>
      </c>
      <c r="B458">
        <f>HYPERLINK("https://www.suredividend.com/sure-analysis-EBF/","Ennis Inc.")</f>
        <v>0</v>
      </c>
      <c r="C458" t="s">
        <v>1813</v>
      </c>
      <c r="D458">
        <v>21.91</v>
      </c>
      <c r="E458">
        <v>0.04564125969876769</v>
      </c>
      <c r="F458">
        <v>0</v>
      </c>
      <c r="G458">
        <v>0.02129568760013512</v>
      </c>
      <c r="H458">
        <v>0.98229007991606</v>
      </c>
      <c r="I458">
        <v>566.439822</v>
      </c>
      <c r="J458">
        <v>11.9734468075167</v>
      </c>
      <c r="K458">
        <v>0.5397198241297033</v>
      </c>
      <c r="L458">
        <v>0.6107648843737801</v>
      </c>
      <c r="M458">
        <v>22.66</v>
      </c>
      <c r="N458">
        <v>18.71</v>
      </c>
    </row>
    <row r="459" spans="1:14">
      <c r="A459" s="1" t="s">
        <v>471</v>
      </c>
      <c r="B459">
        <f>HYPERLINK("https://www.suredividend.com/sure-analysis-research-database/","Ebix Inc.")</f>
        <v>0</v>
      </c>
      <c r="C459" t="s">
        <v>1818</v>
      </c>
      <c r="D459">
        <v>27.07</v>
      </c>
      <c r="E459">
        <v>0.005530445954009</v>
      </c>
      <c r="F459" t="s">
        <v>1812</v>
      </c>
      <c r="G459" t="s">
        <v>1812</v>
      </c>
      <c r="H459">
        <v>0.149709171975041</v>
      </c>
      <c r="I459">
        <v>836.501981</v>
      </c>
      <c r="J459">
        <v>15.92518096978697</v>
      </c>
      <c r="K459">
        <v>0.08754922337721698</v>
      </c>
      <c r="L459">
        <v>2.392703474326576</v>
      </c>
      <c r="M459">
        <v>32.87</v>
      </c>
      <c r="N459">
        <v>11.75</v>
      </c>
    </row>
    <row r="460" spans="1:14">
      <c r="A460" s="1" t="s">
        <v>472</v>
      </c>
      <c r="B460">
        <f>HYPERLINK("https://www.suredividend.com/sure-analysis-research-database/","Emergent Biosolutions Inc")</f>
        <v>0</v>
      </c>
      <c r="C460" t="s">
        <v>1817</v>
      </c>
      <c r="D460">
        <v>7.2</v>
      </c>
      <c r="E460">
        <v>0</v>
      </c>
      <c r="F460" t="s">
        <v>1812</v>
      </c>
      <c r="G460" t="s">
        <v>1812</v>
      </c>
      <c r="H460">
        <v>0</v>
      </c>
      <c r="I460">
        <v>363.22501</v>
      </c>
      <c r="J460" t="s">
        <v>1812</v>
      </c>
      <c r="K460">
        <v>-0</v>
      </c>
      <c r="L460">
        <v>1.855935201834199</v>
      </c>
      <c r="M460">
        <v>32.15</v>
      </c>
      <c r="N460">
        <v>6.72</v>
      </c>
    </row>
    <row r="461" spans="1:14">
      <c r="A461" s="1" t="s">
        <v>473</v>
      </c>
      <c r="B461">
        <f>HYPERLINK("https://www.suredividend.com/sure-analysis-EBTC/","Enterprise Bancorp, Inc.")</f>
        <v>0</v>
      </c>
      <c r="C461" t="s">
        <v>1815</v>
      </c>
      <c r="D461">
        <v>31.91</v>
      </c>
      <c r="E461">
        <v>0.02883108743340646</v>
      </c>
      <c r="F461" t="s">
        <v>1812</v>
      </c>
      <c r="G461" t="s">
        <v>1812</v>
      </c>
      <c r="H461">
        <v>0.8555221384908031</v>
      </c>
      <c r="I461">
        <v>390.000989</v>
      </c>
      <c r="J461">
        <v>0</v>
      </c>
      <c r="K461" t="s">
        <v>1812</v>
      </c>
      <c r="L461">
        <v>0.872488576435514</v>
      </c>
      <c r="M461">
        <v>36.15</v>
      </c>
      <c r="N461">
        <v>25.83</v>
      </c>
    </row>
    <row r="462" spans="1:14">
      <c r="A462" s="1" t="s">
        <v>474</v>
      </c>
      <c r="B462">
        <f>HYPERLINK("https://www.suredividend.com/sure-analysis-research-database/","Encore Capital Group, Inc.")</f>
        <v>0</v>
      </c>
      <c r="C462" t="s">
        <v>1815</v>
      </c>
      <c r="D462">
        <v>49.91</v>
      </c>
      <c r="E462">
        <v>0</v>
      </c>
      <c r="F462" t="s">
        <v>1812</v>
      </c>
      <c r="G462" t="s">
        <v>1812</v>
      </c>
      <c r="H462">
        <v>0</v>
      </c>
      <c r="I462">
        <v>1172.140742</v>
      </c>
      <c r="J462">
        <v>31.30634176651265</v>
      </c>
      <c r="K462">
        <v>0</v>
      </c>
      <c r="L462">
        <v>0.6784970695473841</v>
      </c>
      <c r="M462">
        <v>58.46</v>
      </c>
      <c r="N462">
        <v>42.5</v>
      </c>
    </row>
    <row r="463" spans="1:14">
      <c r="A463" s="1" t="s">
        <v>475</v>
      </c>
      <c r="B463">
        <f>HYPERLINK("https://www.suredividend.com/sure-analysis-research-database/","Ecovyst Inc")</f>
        <v>0</v>
      </c>
      <c r="C463" t="s">
        <v>1812</v>
      </c>
      <c r="D463">
        <v>10.32</v>
      </c>
      <c r="E463">
        <v>0</v>
      </c>
      <c r="F463" t="s">
        <v>1812</v>
      </c>
      <c r="G463" t="s">
        <v>1812</v>
      </c>
      <c r="H463">
        <v>0</v>
      </c>
      <c r="I463">
        <v>1240.062985</v>
      </c>
      <c r="J463">
        <v>19.2702986035959</v>
      </c>
      <c r="K463">
        <v>0</v>
      </c>
      <c r="L463">
        <v>0.9577639927750491</v>
      </c>
      <c r="M463">
        <v>12.35</v>
      </c>
      <c r="N463">
        <v>8.199999999999999</v>
      </c>
    </row>
    <row r="464" spans="1:14">
      <c r="A464" s="1" t="s">
        <v>476</v>
      </c>
      <c r="B464">
        <f>HYPERLINK("https://www.suredividend.com/sure-analysis-research-database/","Editas Medicine Inc")</f>
        <v>0</v>
      </c>
      <c r="C464" t="s">
        <v>1817</v>
      </c>
      <c r="D464">
        <v>9.31</v>
      </c>
      <c r="E464">
        <v>0</v>
      </c>
      <c r="F464" t="s">
        <v>1812</v>
      </c>
      <c r="G464" t="s">
        <v>1812</v>
      </c>
      <c r="H464">
        <v>0</v>
      </c>
      <c r="I464">
        <v>759.999683</v>
      </c>
      <c r="J464" t="s">
        <v>1812</v>
      </c>
      <c r="K464">
        <v>-0</v>
      </c>
      <c r="L464">
        <v>1.923890365059163</v>
      </c>
      <c r="M464">
        <v>19.97</v>
      </c>
      <c r="N464">
        <v>6.33</v>
      </c>
    </row>
    <row r="465" spans="1:14">
      <c r="A465" s="1" t="s">
        <v>477</v>
      </c>
      <c r="B465">
        <f>HYPERLINK("https://www.suredividend.com/sure-analysis-research-database/","Excelerate Energy Inc")</f>
        <v>0</v>
      </c>
      <c r="C465" t="s">
        <v>1820</v>
      </c>
      <c r="D465">
        <v>21.24</v>
      </c>
      <c r="E465">
        <v>0.004700081823421001</v>
      </c>
      <c r="F465" t="s">
        <v>1812</v>
      </c>
      <c r="G465" t="s">
        <v>1812</v>
      </c>
      <c r="H465">
        <v>0.09982973792947901</v>
      </c>
      <c r="I465">
        <v>557.638507</v>
      </c>
      <c r="J465">
        <v>88.93756093779903</v>
      </c>
      <c r="K465">
        <v>0.4182226138645957</v>
      </c>
      <c r="L465">
        <v>1.076946038592771</v>
      </c>
      <c r="M465">
        <v>31.06</v>
      </c>
      <c r="N465">
        <v>18.27</v>
      </c>
    </row>
    <row r="466" spans="1:14">
      <c r="A466" s="1" t="s">
        <v>478</v>
      </c>
      <c r="B466">
        <f>HYPERLINK("https://www.suredividend.com/sure-analysis-EFC/","Ellington Financial Inc")</f>
        <v>0</v>
      </c>
      <c r="C466" t="s">
        <v>1815</v>
      </c>
      <c r="D466">
        <v>13.08</v>
      </c>
      <c r="E466">
        <v>0.1376146788990826</v>
      </c>
      <c r="F466">
        <v>0</v>
      </c>
      <c r="G466">
        <v>0</v>
      </c>
      <c r="H466">
        <v>1.690891506657889</v>
      </c>
      <c r="I466">
        <v>878.475559</v>
      </c>
      <c r="J466" t="s">
        <v>1812</v>
      </c>
      <c r="K466" t="s">
        <v>1812</v>
      </c>
      <c r="L466">
        <v>0.9828537779788641</v>
      </c>
      <c r="M466">
        <v>14.05</v>
      </c>
      <c r="N466">
        <v>9.630000000000001</v>
      </c>
    </row>
    <row r="467" spans="1:14">
      <c r="A467" s="1" t="s">
        <v>479</v>
      </c>
      <c r="B467">
        <f>HYPERLINK("https://www.suredividend.com/sure-analysis-research-database/","Enterprise Financial Services Corp.")</f>
        <v>0</v>
      </c>
      <c r="C467" t="s">
        <v>1815</v>
      </c>
      <c r="D467">
        <v>40.88</v>
      </c>
      <c r="E467">
        <v>0.023435066599298</v>
      </c>
      <c r="F467">
        <v>0.1363636363636365</v>
      </c>
      <c r="G467">
        <v>0.1581151756192944</v>
      </c>
      <c r="H467">
        <v>0.958025522579332</v>
      </c>
      <c r="I467">
        <v>1525.329604</v>
      </c>
      <c r="J467">
        <v>7.356729609815857</v>
      </c>
      <c r="K467">
        <v>0.1729287946894101</v>
      </c>
      <c r="L467">
        <v>0.8460298882516951</v>
      </c>
      <c r="M467">
        <v>55.4</v>
      </c>
      <c r="N467">
        <v>35.74</v>
      </c>
    </row>
    <row r="468" spans="1:14">
      <c r="A468" s="1" t="s">
        <v>480</v>
      </c>
      <c r="B468">
        <f>HYPERLINK("https://www.suredividend.com/sure-analysis-research-database/","eGain Corp")</f>
        <v>0</v>
      </c>
      <c r="C468" t="s">
        <v>1818</v>
      </c>
      <c r="D468">
        <v>7.19</v>
      </c>
      <c r="E468">
        <v>0</v>
      </c>
      <c r="F468" t="s">
        <v>1812</v>
      </c>
      <c r="G468" t="s">
        <v>1812</v>
      </c>
      <c r="H468">
        <v>0</v>
      </c>
      <c r="I468">
        <v>229.136413</v>
      </c>
      <c r="J468" t="s">
        <v>1812</v>
      </c>
      <c r="K468">
        <v>-0</v>
      </c>
      <c r="L468">
        <v>0.9153654337027031</v>
      </c>
      <c r="M468">
        <v>10.35</v>
      </c>
      <c r="N468">
        <v>6.5</v>
      </c>
    </row>
    <row r="469" spans="1:14">
      <c r="A469" s="1" t="s">
        <v>481</v>
      </c>
      <c r="B469">
        <f>HYPERLINK("https://www.suredividend.com/sure-analysis-research-database/","Eagle Bancorp Inc (MD)")</f>
        <v>0</v>
      </c>
      <c r="C469" t="s">
        <v>1815</v>
      </c>
      <c r="D469">
        <v>26.98</v>
      </c>
      <c r="E469">
        <v>0.06432904391317901</v>
      </c>
      <c r="F469" t="s">
        <v>1812</v>
      </c>
      <c r="G469" t="s">
        <v>1812</v>
      </c>
      <c r="H469">
        <v>1.735597604777579</v>
      </c>
      <c r="I469">
        <v>828.729767</v>
      </c>
      <c r="J469">
        <v>6.939622902696366</v>
      </c>
      <c r="K469">
        <v>0.4628260279406877</v>
      </c>
      <c r="L469">
        <v>0.8335432828630721</v>
      </c>
      <c r="M469">
        <v>48.43</v>
      </c>
      <c r="N469">
        <v>16.12</v>
      </c>
    </row>
    <row r="470" spans="1:14">
      <c r="A470" s="1" t="s">
        <v>482</v>
      </c>
      <c r="B470">
        <f>HYPERLINK("https://www.suredividend.com/sure-analysis-research-database/","8X8 Inc.")</f>
        <v>0</v>
      </c>
      <c r="C470" t="s">
        <v>1818</v>
      </c>
      <c r="D470">
        <v>4.61</v>
      </c>
      <c r="E470">
        <v>0</v>
      </c>
      <c r="F470" t="s">
        <v>1812</v>
      </c>
      <c r="G470" t="s">
        <v>1812</v>
      </c>
      <c r="H470">
        <v>0</v>
      </c>
      <c r="I470">
        <v>536.439183</v>
      </c>
      <c r="J470" t="s">
        <v>1812</v>
      </c>
      <c r="K470">
        <v>-0</v>
      </c>
      <c r="L470">
        <v>2.281053291736668</v>
      </c>
      <c r="M470">
        <v>6.49</v>
      </c>
      <c r="N470">
        <v>2.5</v>
      </c>
    </row>
    <row r="471" spans="1:14">
      <c r="A471" s="1" t="s">
        <v>483</v>
      </c>
      <c r="B471">
        <f>HYPERLINK("https://www.suredividend.com/sure-analysis-research-database/","Edgio Inc")</f>
        <v>0</v>
      </c>
      <c r="C471" t="s">
        <v>1812</v>
      </c>
      <c r="D471">
        <v>0.785</v>
      </c>
      <c r="E471">
        <v>0</v>
      </c>
      <c r="F471" t="s">
        <v>1812</v>
      </c>
      <c r="G471" t="s">
        <v>1812</v>
      </c>
      <c r="H471">
        <v>0</v>
      </c>
      <c r="I471">
        <v>174.820663</v>
      </c>
      <c r="J471" t="s">
        <v>1812</v>
      </c>
      <c r="K471">
        <v>-0</v>
      </c>
      <c r="L471">
        <v>0.8570985141223441</v>
      </c>
      <c r="M471">
        <v>3.88</v>
      </c>
      <c r="N471">
        <v>0.45</v>
      </c>
    </row>
    <row r="472" spans="1:14">
      <c r="A472" s="1" t="s">
        <v>484</v>
      </c>
      <c r="B472">
        <f>HYPERLINK("https://www.suredividend.com/sure-analysis-research-database/","Eagle Bulk Shipping Inc")</f>
        <v>0</v>
      </c>
      <c r="C472" t="s">
        <v>1813</v>
      </c>
      <c r="D472">
        <v>45.11</v>
      </c>
      <c r="E472">
        <v>0.08584417025593701</v>
      </c>
      <c r="F472" t="s">
        <v>1812</v>
      </c>
      <c r="G472" t="s">
        <v>1812</v>
      </c>
      <c r="H472">
        <v>3.872430520245322</v>
      </c>
      <c r="I472">
        <v>618.536772</v>
      </c>
      <c r="J472">
        <v>3.121747326812625</v>
      </c>
      <c r="K472">
        <v>0.3037200408035547</v>
      </c>
      <c r="L472">
        <v>0.5614680423143791</v>
      </c>
      <c r="M472">
        <v>66.13</v>
      </c>
      <c r="N472">
        <v>38.27</v>
      </c>
    </row>
    <row r="473" spans="1:14">
      <c r="A473" s="1" t="s">
        <v>485</v>
      </c>
      <c r="B473">
        <f>HYPERLINK("https://www.suredividend.com/sure-analysis-research-database/","Eagle Pharmaceuticals Inc")</f>
        <v>0</v>
      </c>
      <c r="C473" t="s">
        <v>1817</v>
      </c>
      <c r="D473">
        <v>21.17</v>
      </c>
      <c r="E473">
        <v>0</v>
      </c>
      <c r="F473" t="s">
        <v>1812</v>
      </c>
      <c r="G473" t="s">
        <v>1812</v>
      </c>
      <c r="H473">
        <v>0</v>
      </c>
      <c r="I473">
        <v>277.143752</v>
      </c>
      <c r="J473" t="s">
        <v>1812</v>
      </c>
      <c r="K473">
        <v>-0</v>
      </c>
      <c r="L473">
        <v>0.935980368945969</v>
      </c>
      <c r="M473">
        <v>43.59</v>
      </c>
      <c r="N473">
        <v>17.09</v>
      </c>
    </row>
    <row r="474" spans="1:14">
      <c r="A474" s="1" t="s">
        <v>486</v>
      </c>
      <c r="B474">
        <f>HYPERLINK("https://www.suredividend.com/sure-analysis-research-database/","VAALCO Energy, Inc.")</f>
        <v>0</v>
      </c>
      <c r="C474" t="s">
        <v>1822</v>
      </c>
      <c r="D474">
        <v>4.28</v>
      </c>
      <c r="E474">
        <v>0.043660715830249</v>
      </c>
      <c r="F474" t="s">
        <v>1812</v>
      </c>
      <c r="G474" t="s">
        <v>1812</v>
      </c>
      <c r="H474">
        <v>0.186867863753467</v>
      </c>
      <c r="I474">
        <v>456.986719</v>
      </c>
      <c r="J474">
        <v>10.72663238363496</v>
      </c>
      <c r="K474">
        <v>0.3613067744653268</v>
      </c>
      <c r="L474">
        <v>1.158360368274767</v>
      </c>
      <c r="M474">
        <v>5.66</v>
      </c>
      <c r="N474">
        <v>3.46</v>
      </c>
    </row>
    <row r="475" spans="1:14">
      <c r="A475" s="1" t="s">
        <v>487</v>
      </c>
      <c r="B475">
        <f>HYPERLINK("https://www.suredividend.com/sure-analysis-research-database/","eHealth Inc")</f>
        <v>0</v>
      </c>
      <c r="C475" t="s">
        <v>1815</v>
      </c>
      <c r="D475">
        <v>9.029999999999999</v>
      </c>
      <c r="E475">
        <v>0</v>
      </c>
      <c r="F475" t="s">
        <v>1812</v>
      </c>
      <c r="G475" t="s">
        <v>1812</v>
      </c>
      <c r="H475">
        <v>0</v>
      </c>
      <c r="I475">
        <v>250.217173</v>
      </c>
      <c r="J475" t="s">
        <v>1812</v>
      </c>
      <c r="K475">
        <v>-0</v>
      </c>
      <c r="L475">
        <v>1.575033132473791</v>
      </c>
      <c r="M475">
        <v>10.57</v>
      </c>
      <c r="N475">
        <v>2.67</v>
      </c>
    </row>
    <row r="476" spans="1:14">
      <c r="A476" s="1" t="s">
        <v>488</v>
      </c>
      <c r="B476">
        <f>HYPERLINK("https://www.suredividend.com/sure-analysis-research-database/","Employers Holdings Inc")</f>
        <v>0</v>
      </c>
      <c r="C476" t="s">
        <v>1815</v>
      </c>
      <c r="D476">
        <v>39.06</v>
      </c>
      <c r="E476">
        <v>0.026518836236024</v>
      </c>
      <c r="F476">
        <v>0.07692307692307709</v>
      </c>
      <c r="G476">
        <v>0.04941452284458392</v>
      </c>
      <c r="H476">
        <v>1.035825743379131</v>
      </c>
      <c r="I476">
        <v>1018.052536</v>
      </c>
      <c r="J476">
        <v>8.157472241826923</v>
      </c>
      <c r="K476">
        <v>0.2261628260653124</v>
      </c>
      <c r="L476">
        <v>0.552531423704404</v>
      </c>
      <c r="M476">
        <v>45.51</v>
      </c>
      <c r="N476">
        <v>31.09</v>
      </c>
    </row>
    <row r="477" spans="1:14">
      <c r="A477" s="1" t="s">
        <v>489</v>
      </c>
      <c r="B477">
        <f>HYPERLINK("https://www.suredividend.com/sure-analysis-research-database/","Eiger BioPharmaceuticals Inc")</f>
        <v>0</v>
      </c>
      <c r="C477" t="s">
        <v>1817</v>
      </c>
      <c r="D477">
        <v>0.7113</v>
      </c>
      <c r="E477">
        <v>0</v>
      </c>
      <c r="F477" t="s">
        <v>1812</v>
      </c>
      <c r="G477" t="s">
        <v>1812</v>
      </c>
      <c r="H477">
        <v>0</v>
      </c>
      <c r="I477">
        <v>31.508041</v>
      </c>
      <c r="J477">
        <v>0</v>
      </c>
      <c r="K477" t="s">
        <v>1812</v>
      </c>
      <c r="L477">
        <v>0.961150369437009</v>
      </c>
      <c r="M477">
        <v>9.890000000000001</v>
      </c>
      <c r="N477">
        <v>0.5265000000000001</v>
      </c>
    </row>
    <row r="478" spans="1:14">
      <c r="A478" s="1" t="s">
        <v>490</v>
      </c>
      <c r="B478">
        <f>HYPERLINK("https://www.suredividend.com/sure-analysis-research-database/","e.l.f. Beauty Inc")</f>
        <v>0</v>
      </c>
      <c r="C478" t="s">
        <v>1819</v>
      </c>
      <c r="D478">
        <v>132.06</v>
      </c>
      <c r="E478">
        <v>0</v>
      </c>
      <c r="F478" t="s">
        <v>1812</v>
      </c>
      <c r="G478" t="s">
        <v>1812</v>
      </c>
      <c r="H478">
        <v>0</v>
      </c>
      <c r="I478">
        <v>7186.385483</v>
      </c>
      <c r="J478">
        <v>116.7948233827401</v>
      </c>
      <c r="K478">
        <v>0</v>
      </c>
      <c r="L478">
        <v>0.734424079390058</v>
      </c>
      <c r="M478">
        <v>137.48</v>
      </c>
      <c r="N478">
        <v>35.11</v>
      </c>
    </row>
    <row r="479" spans="1:14">
      <c r="A479" s="1" t="s">
        <v>491</v>
      </c>
      <c r="B479">
        <f>HYPERLINK("https://www.suredividend.com/sure-analysis-research-database/","Elme Communities")</f>
        <v>0</v>
      </c>
      <c r="C479" t="s">
        <v>1812</v>
      </c>
      <c r="D479">
        <v>15.79</v>
      </c>
      <c r="E479">
        <v>0.043969167190735</v>
      </c>
      <c r="F479" t="s">
        <v>1812</v>
      </c>
      <c r="G479" t="s">
        <v>1812</v>
      </c>
      <c r="H479">
        <v>0.6942731499417101</v>
      </c>
      <c r="I479">
        <v>1386.732497</v>
      </c>
      <c r="J479" t="s">
        <v>1812</v>
      </c>
      <c r="K479" t="s">
        <v>1812</v>
      </c>
      <c r="L479">
        <v>0.8867610488480561</v>
      </c>
      <c r="M479">
        <v>21.63</v>
      </c>
      <c r="N479">
        <v>14.78</v>
      </c>
    </row>
    <row r="480" spans="1:14">
      <c r="A480" s="1" t="s">
        <v>492</v>
      </c>
      <c r="B480">
        <f>HYPERLINK("https://www.suredividend.com/sure-analysis-research-database/","Embecta Corp")</f>
        <v>0</v>
      </c>
      <c r="C480" t="s">
        <v>1812</v>
      </c>
      <c r="D480">
        <v>21.29</v>
      </c>
      <c r="E480">
        <v>0.027850779227804</v>
      </c>
      <c r="F480" t="s">
        <v>1812</v>
      </c>
      <c r="G480" t="s">
        <v>1812</v>
      </c>
      <c r="H480">
        <v>0.592943089759966</v>
      </c>
      <c r="I480">
        <v>1219.779658</v>
      </c>
      <c r="J480">
        <v>0</v>
      </c>
      <c r="K480" t="s">
        <v>1812</v>
      </c>
      <c r="L480">
        <v>0.9470277875606271</v>
      </c>
      <c r="M480">
        <v>35.87</v>
      </c>
      <c r="N480">
        <v>19.52</v>
      </c>
    </row>
    <row r="481" spans="1:14">
      <c r="A481" s="1" t="s">
        <v>493</v>
      </c>
      <c r="B481">
        <f>HYPERLINK("https://www.suredividend.com/sure-analysis-research-database/","Emcor Group, Inc.")</f>
        <v>0</v>
      </c>
      <c r="C481" t="s">
        <v>1813</v>
      </c>
      <c r="D481">
        <v>215.24</v>
      </c>
      <c r="E481">
        <v>0.003061948589406</v>
      </c>
      <c r="F481">
        <v>0.3846153846153846</v>
      </c>
      <c r="G481">
        <v>0.1760790225246736</v>
      </c>
      <c r="H481">
        <v>0.6590538143839151</v>
      </c>
      <c r="I481">
        <v>10233.745078</v>
      </c>
      <c r="J481">
        <v>21.13798710620894</v>
      </c>
      <c r="K481">
        <v>0.0655123075928345</v>
      </c>
      <c r="L481">
        <v>0.8435384275166281</v>
      </c>
      <c r="M481">
        <v>218.03</v>
      </c>
      <c r="N481">
        <v>112.36</v>
      </c>
    </row>
    <row r="482" spans="1:14">
      <c r="A482" s="1" t="s">
        <v>494</v>
      </c>
      <c r="B482">
        <f>HYPERLINK("https://www.suredividend.com/sure-analysis-research-database/","Enfusion Inc")</f>
        <v>0</v>
      </c>
      <c r="C482" t="s">
        <v>1812</v>
      </c>
      <c r="D482">
        <v>10.24</v>
      </c>
      <c r="E482">
        <v>0</v>
      </c>
      <c r="F482" t="s">
        <v>1812</v>
      </c>
      <c r="G482" t="s">
        <v>1812</v>
      </c>
      <c r="H482">
        <v>0</v>
      </c>
      <c r="I482">
        <v>768.895324</v>
      </c>
      <c r="J482">
        <v>0</v>
      </c>
      <c r="K482" t="s">
        <v>1812</v>
      </c>
      <c r="L482">
        <v>0.8256149261203971</v>
      </c>
      <c r="M482">
        <v>16.76</v>
      </c>
      <c r="N482">
        <v>7.37</v>
      </c>
    </row>
    <row r="483" spans="1:14">
      <c r="A483" s="1" t="s">
        <v>495</v>
      </c>
      <c r="B483">
        <f>HYPERLINK("https://www.suredividend.com/sure-analysis-research-database/","Enochian Biosciences Inc")</f>
        <v>0</v>
      </c>
      <c r="C483" t="s">
        <v>1817</v>
      </c>
      <c r="D483">
        <v>0.7000000000000001</v>
      </c>
      <c r="E483">
        <v>0</v>
      </c>
      <c r="F483" t="s">
        <v>1812</v>
      </c>
      <c r="G483" t="s">
        <v>1812</v>
      </c>
      <c r="H483">
        <v>0</v>
      </c>
      <c r="I483">
        <v>40.798514</v>
      </c>
      <c r="J483">
        <v>0</v>
      </c>
      <c r="K483" t="s">
        <v>1812</v>
      </c>
      <c r="L483">
        <v>1.381066681860059</v>
      </c>
      <c r="M483">
        <v>2.99</v>
      </c>
      <c r="N483">
        <v>0.3928</v>
      </c>
    </row>
    <row r="484" spans="1:14">
      <c r="A484" s="1" t="s">
        <v>496</v>
      </c>
      <c r="B484">
        <f>HYPERLINK("https://www.suredividend.com/sure-analysis-research-database/","Energizer Holdings Inc")</f>
        <v>0</v>
      </c>
      <c r="C484" t="s">
        <v>1813</v>
      </c>
      <c r="D484">
        <v>37.02</v>
      </c>
      <c r="E484">
        <v>0.032072447289235</v>
      </c>
      <c r="F484">
        <v>0</v>
      </c>
      <c r="G484">
        <v>0.006803348678863008</v>
      </c>
      <c r="H484">
        <v>1.187321998647493</v>
      </c>
      <c r="I484">
        <v>2646.068841</v>
      </c>
      <c r="J484" t="s">
        <v>1812</v>
      </c>
      <c r="K484" t="s">
        <v>1812</v>
      </c>
      <c r="L484">
        <v>0.9287839036287141</v>
      </c>
      <c r="M484">
        <v>37.32</v>
      </c>
      <c r="N484">
        <v>24.39</v>
      </c>
    </row>
    <row r="485" spans="1:14">
      <c r="A485" s="1" t="s">
        <v>497</v>
      </c>
      <c r="B485">
        <f>HYPERLINK("https://www.suredividend.com/sure-analysis-research-database/","Enersys")</f>
        <v>0</v>
      </c>
      <c r="C485" t="s">
        <v>1813</v>
      </c>
      <c r="D485">
        <v>105.31</v>
      </c>
      <c r="E485">
        <v>0.006627901716187001</v>
      </c>
      <c r="F485">
        <v>0</v>
      </c>
      <c r="G485">
        <v>0</v>
      </c>
      <c r="H485">
        <v>0.6979843297317061</v>
      </c>
      <c r="I485">
        <v>4313.437784</v>
      </c>
      <c r="J485">
        <v>24.5346555026449</v>
      </c>
      <c r="K485">
        <v>0.1642316069956956</v>
      </c>
      <c r="L485">
        <v>1.426206509150524</v>
      </c>
      <c r="M485">
        <v>113.34</v>
      </c>
      <c r="N485">
        <v>56.38</v>
      </c>
    </row>
    <row r="486" spans="1:14">
      <c r="A486" s="1" t="s">
        <v>498</v>
      </c>
      <c r="B486">
        <f>HYPERLINK("https://www.suredividend.com/sure-analysis-ENSG/","Ensign Group Inc")</f>
        <v>0</v>
      </c>
      <c r="C486" t="s">
        <v>1817</v>
      </c>
      <c r="D486">
        <v>98.5</v>
      </c>
      <c r="E486">
        <v>0.00233502538071066</v>
      </c>
      <c r="F486">
        <v>0.04545454545454541</v>
      </c>
      <c r="G486">
        <v>0.05024607263868264</v>
      </c>
      <c r="H486">
        <v>0.227187695706565</v>
      </c>
      <c r="I486">
        <v>5535.784021</v>
      </c>
      <c r="J486">
        <v>23.01829152581134</v>
      </c>
      <c r="K486">
        <v>0.05383594684989693</v>
      </c>
      <c r="L486">
        <v>0.6997488718353101</v>
      </c>
      <c r="M486">
        <v>102.13</v>
      </c>
      <c r="N486">
        <v>78.59</v>
      </c>
    </row>
    <row r="487" spans="1:14">
      <c r="A487" s="1" t="s">
        <v>499</v>
      </c>
      <c r="B487">
        <f>HYPERLINK("https://www.suredividend.com/sure-analysis-research-database/","Enanta Pharmaceuticals Inc")</f>
        <v>0</v>
      </c>
      <c r="C487" t="s">
        <v>1817</v>
      </c>
      <c r="D487">
        <v>19.46</v>
      </c>
      <c r="E487">
        <v>0</v>
      </c>
      <c r="F487" t="s">
        <v>1812</v>
      </c>
      <c r="G487" t="s">
        <v>1812</v>
      </c>
      <c r="H487">
        <v>0</v>
      </c>
      <c r="I487">
        <v>409.737928</v>
      </c>
      <c r="J487" t="s">
        <v>1812</v>
      </c>
      <c r="K487">
        <v>-0</v>
      </c>
      <c r="L487">
        <v>1.102470978718024</v>
      </c>
      <c r="M487">
        <v>76.36</v>
      </c>
      <c r="N487">
        <v>17.93</v>
      </c>
    </row>
    <row r="488" spans="1:14">
      <c r="A488" s="1" t="s">
        <v>500</v>
      </c>
      <c r="B488">
        <f>HYPERLINK("https://www.suredividend.com/sure-analysis-research-database/","Envestnet Inc.")</f>
        <v>0</v>
      </c>
      <c r="C488" t="s">
        <v>1818</v>
      </c>
      <c r="D488">
        <v>59.81</v>
      </c>
      <c r="E488">
        <v>0</v>
      </c>
      <c r="F488" t="s">
        <v>1812</v>
      </c>
      <c r="G488" t="s">
        <v>1812</v>
      </c>
      <c r="H488">
        <v>0</v>
      </c>
      <c r="I488">
        <v>3253.907367</v>
      </c>
      <c r="J488" t="s">
        <v>1812</v>
      </c>
      <c r="K488">
        <v>-0</v>
      </c>
      <c r="L488">
        <v>1.054570149960182</v>
      </c>
      <c r="M488">
        <v>69.22</v>
      </c>
      <c r="N488">
        <v>41.72</v>
      </c>
    </row>
    <row r="489" spans="1:14">
      <c r="A489" s="1" t="s">
        <v>501</v>
      </c>
      <c r="B489">
        <f>HYPERLINK("https://www.suredividend.com/sure-analysis-research-database/","Enova International Inc.")</f>
        <v>0</v>
      </c>
      <c r="C489" t="s">
        <v>1815</v>
      </c>
      <c r="D489">
        <v>54.03</v>
      </c>
      <c r="E489">
        <v>0</v>
      </c>
      <c r="F489" t="s">
        <v>1812</v>
      </c>
      <c r="G489" t="s">
        <v>1812</v>
      </c>
      <c r="H489">
        <v>0</v>
      </c>
      <c r="I489">
        <v>1663.440358</v>
      </c>
      <c r="J489">
        <v>8.249228152076887</v>
      </c>
      <c r="K489">
        <v>0</v>
      </c>
      <c r="L489">
        <v>1.407577182868469</v>
      </c>
      <c r="M489">
        <v>58.64</v>
      </c>
      <c r="N489">
        <v>28.66</v>
      </c>
    </row>
    <row r="490" spans="1:14">
      <c r="A490" s="1" t="s">
        <v>502</v>
      </c>
      <c r="B490">
        <f>HYPERLINK("https://www.suredividend.com/sure-analysis-research-database/","Enovix Corporation")</f>
        <v>0</v>
      </c>
      <c r="C490" t="s">
        <v>1812</v>
      </c>
      <c r="D490">
        <v>17.82</v>
      </c>
      <c r="E490">
        <v>0</v>
      </c>
      <c r="F490" t="s">
        <v>1812</v>
      </c>
      <c r="G490" t="s">
        <v>1812</v>
      </c>
      <c r="H490">
        <v>0</v>
      </c>
      <c r="I490">
        <v>2818.41316</v>
      </c>
      <c r="J490" t="s">
        <v>1812</v>
      </c>
      <c r="K490">
        <v>-0</v>
      </c>
      <c r="L490">
        <v>2.165019378514594</v>
      </c>
      <c r="M490">
        <v>26.3</v>
      </c>
      <c r="N490">
        <v>6.5</v>
      </c>
    </row>
    <row r="491" spans="1:14">
      <c r="A491" s="1" t="s">
        <v>503</v>
      </c>
      <c r="B491">
        <f>HYPERLINK("https://www.suredividend.com/sure-analysis-research-database/","Evolus Inc")</f>
        <v>0</v>
      </c>
      <c r="C491" t="s">
        <v>1817</v>
      </c>
      <c r="D491">
        <v>10.05</v>
      </c>
      <c r="E491">
        <v>0</v>
      </c>
      <c r="F491" t="s">
        <v>1812</v>
      </c>
      <c r="G491" t="s">
        <v>1812</v>
      </c>
      <c r="H491">
        <v>0</v>
      </c>
      <c r="I491">
        <v>572.564208</v>
      </c>
      <c r="J491" t="s">
        <v>1812</v>
      </c>
      <c r="K491">
        <v>-0</v>
      </c>
      <c r="L491">
        <v>0.9239528989505841</v>
      </c>
      <c r="M491">
        <v>11.49</v>
      </c>
      <c r="N491">
        <v>6.51</v>
      </c>
    </row>
    <row r="492" spans="1:14">
      <c r="A492" s="1" t="s">
        <v>504</v>
      </c>
      <c r="B492">
        <f>HYPERLINK("https://www.suredividend.com/sure-analysis-research-database/","Empire Petroleum Corporation")</f>
        <v>0</v>
      </c>
      <c r="C492" t="s">
        <v>1812</v>
      </c>
      <c r="D492">
        <v>9.27</v>
      </c>
      <c r="E492">
        <v>0</v>
      </c>
      <c r="F492" t="s">
        <v>1812</v>
      </c>
      <c r="G492" t="s">
        <v>1812</v>
      </c>
      <c r="H492">
        <v>0</v>
      </c>
      <c r="I492">
        <v>204.909568</v>
      </c>
      <c r="J492">
        <v>0</v>
      </c>
      <c r="K492" t="s">
        <v>1812</v>
      </c>
      <c r="L492">
        <v>0.7885410468128971</v>
      </c>
      <c r="M492">
        <v>16.95</v>
      </c>
      <c r="N492">
        <v>8</v>
      </c>
    </row>
    <row r="493" spans="1:14">
      <c r="A493" s="1" t="s">
        <v>505</v>
      </c>
      <c r="B493">
        <f>HYPERLINK("https://www.suredividend.com/sure-analysis-research-database/","Enerpac Tool Group Corp")</f>
        <v>0</v>
      </c>
      <c r="C493" t="s">
        <v>1813</v>
      </c>
      <c r="D493">
        <v>27.02</v>
      </c>
      <c r="E493">
        <v>0.001480384866984</v>
      </c>
      <c r="F493" t="s">
        <v>1812</v>
      </c>
      <c r="G493" t="s">
        <v>1812</v>
      </c>
      <c r="H493">
        <v>0.03999999910593</v>
      </c>
      <c r="I493">
        <v>1515.922622</v>
      </c>
      <c r="J493">
        <v>44.11368357816319</v>
      </c>
      <c r="K493">
        <v>0.06692320412569851</v>
      </c>
      <c r="L493">
        <v>0.8798309753336241</v>
      </c>
      <c r="M493">
        <v>28.97</v>
      </c>
      <c r="N493">
        <v>16.06</v>
      </c>
    </row>
    <row r="494" spans="1:14">
      <c r="A494" s="1" t="s">
        <v>506</v>
      </c>
      <c r="B494">
        <f>HYPERLINK("https://www.suredividend.com/sure-analysis-research-database/","Edgewell Personal Care Co")</f>
        <v>0</v>
      </c>
      <c r="C494" t="s">
        <v>1819</v>
      </c>
      <c r="D494">
        <v>41.31</v>
      </c>
      <c r="E494">
        <v>0.014445895742592</v>
      </c>
      <c r="F494" t="s">
        <v>1812</v>
      </c>
      <c r="G494" t="s">
        <v>1812</v>
      </c>
      <c r="H494">
        <v>0.59675995312648</v>
      </c>
      <c r="I494">
        <v>2115.072</v>
      </c>
      <c r="J494">
        <v>22.2405047318612</v>
      </c>
      <c r="K494">
        <v>0.3278900841354286</v>
      </c>
      <c r="L494">
        <v>0.6440775782647851</v>
      </c>
      <c r="M494">
        <v>45.96</v>
      </c>
      <c r="N494">
        <v>35.79</v>
      </c>
    </row>
    <row r="495" spans="1:14">
      <c r="A495" s="1" t="s">
        <v>507</v>
      </c>
      <c r="B495">
        <f>HYPERLINK("https://www.suredividend.com/sure-analysis-EPRT/","Essential Properties Realty Trust Inc")</f>
        <v>0</v>
      </c>
      <c r="C495" t="s">
        <v>1814</v>
      </c>
      <c r="D495">
        <v>23.59</v>
      </c>
      <c r="E495">
        <v>0.04747774480712166</v>
      </c>
      <c r="F495">
        <v>0.03703703703703698</v>
      </c>
      <c r="G495">
        <v>0.04563955259127317</v>
      </c>
      <c r="H495">
        <v>1.08094220523146</v>
      </c>
      <c r="I495">
        <v>3680.241718</v>
      </c>
      <c r="J495">
        <v>21.99930490402836</v>
      </c>
      <c r="K495">
        <v>0.9399497436795307</v>
      </c>
      <c r="L495">
        <v>0.79952376713392</v>
      </c>
      <c r="M495">
        <v>26.15</v>
      </c>
      <c r="N495">
        <v>18.22</v>
      </c>
    </row>
    <row r="496" spans="1:14">
      <c r="A496" s="1" t="s">
        <v>508</v>
      </c>
      <c r="B496">
        <f>HYPERLINK("https://www.suredividend.com/sure-analysis-research-database/","Equity Bancshares Inc")</f>
        <v>0</v>
      </c>
      <c r="C496" t="s">
        <v>1815</v>
      </c>
      <c r="D496">
        <v>27.41</v>
      </c>
      <c r="E496">
        <v>0.010809691601626</v>
      </c>
      <c r="F496" t="s">
        <v>1812</v>
      </c>
      <c r="G496" t="s">
        <v>1812</v>
      </c>
      <c r="H496">
        <v>0.296293646800583</v>
      </c>
      <c r="I496">
        <v>424.333141</v>
      </c>
      <c r="J496">
        <v>0</v>
      </c>
      <c r="K496" t="s">
        <v>1812</v>
      </c>
      <c r="L496">
        <v>0.8637342062095651</v>
      </c>
      <c r="M496">
        <v>37.44</v>
      </c>
      <c r="N496">
        <v>20.32</v>
      </c>
    </row>
    <row r="497" spans="1:14">
      <c r="A497" s="1" t="s">
        <v>509</v>
      </c>
      <c r="B497">
        <f>HYPERLINK("https://www.suredividend.com/sure-analysis-research-database/","Equity Commonwealth")</f>
        <v>0</v>
      </c>
      <c r="C497" t="s">
        <v>1814</v>
      </c>
      <c r="D497">
        <v>19.51</v>
      </c>
      <c r="E497">
        <v>0</v>
      </c>
      <c r="F497" t="s">
        <v>1812</v>
      </c>
      <c r="G497" t="s">
        <v>1812</v>
      </c>
      <c r="H497">
        <v>0</v>
      </c>
      <c r="I497">
        <v>2140.841216</v>
      </c>
      <c r="J497">
        <v>33.68962981257672</v>
      </c>
      <c r="K497">
        <v>0</v>
      </c>
      <c r="L497">
        <v>0.394130937136993</v>
      </c>
      <c r="M497">
        <v>22.89</v>
      </c>
      <c r="N497">
        <v>19.27</v>
      </c>
    </row>
    <row r="498" spans="1:14">
      <c r="A498" s="1" t="s">
        <v>510</v>
      </c>
      <c r="B498">
        <f>HYPERLINK("https://www.suredividend.com/sure-analysis-research-database/","EQRx Inc")</f>
        <v>0</v>
      </c>
      <c r="C498" t="s">
        <v>1812</v>
      </c>
      <c r="D498">
        <v>2.21</v>
      </c>
      <c r="E498">
        <v>0</v>
      </c>
      <c r="F498" t="s">
        <v>1812</v>
      </c>
      <c r="G498" t="s">
        <v>1812</v>
      </c>
      <c r="H498">
        <v>0</v>
      </c>
      <c r="I498">
        <v>1077.064281</v>
      </c>
      <c r="J498">
        <v>0</v>
      </c>
      <c r="K498" t="s">
        <v>1812</v>
      </c>
      <c r="L498">
        <v>1.035373603506126</v>
      </c>
      <c r="M498">
        <v>6.05</v>
      </c>
      <c r="N498">
        <v>1.58</v>
      </c>
    </row>
    <row r="499" spans="1:14">
      <c r="A499" s="1" t="s">
        <v>511</v>
      </c>
      <c r="B499">
        <f>HYPERLINK("https://www.suredividend.com/sure-analysis-research-database/","Erasca Inc")</f>
        <v>0</v>
      </c>
      <c r="C499" t="s">
        <v>1812</v>
      </c>
      <c r="D499">
        <v>2.59</v>
      </c>
      <c r="E499">
        <v>0</v>
      </c>
      <c r="F499" t="s">
        <v>1812</v>
      </c>
      <c r="G499" t="s">
        <v>1812</v>
      </c>
      <c r="H499">
        <v>0</v>
      </c>
      <c r="I499">
        <v>390.459534</v>
      </c>
      <c r="J499">
        <v>0</v>
      </c>
      <c r="K499" t="s">
        <v>1812</v>
      </c>
      <c r="L499">
        <v>1.434466890502752</v>
      </c>
      <c r="M499">
        <v>10.74</v>
      </c>
      <c r="N499">
        <v>2.45</v>
      </c>
    </row>
    <row r="500" spans="1:14">
      <c r="A500" s="1" t="s">
        <v>512</v>
      </c>
      <c r="B500">
        <f>HYPERLINK("https://www.suredividend.com/sure-analysis-research-database/","Energy Recovery Inc")</f>
        <v>0</v>
      </c>
      <c r="C500" t="s">
        <v>1813</v>
      </c>
      <c r="D500">
        <v>25.97</v>
      </c>
      <c r="E500">
        <v>0</v>
      </c>
      <c r="F500" t="s">
        <v>1812</v>
      </c>
      <c r="G500" t="s">
        <v>1812</v>
      </c>
      <c r="H500">
        <v>0</v>
      </c>
      <c r="I500">
        <v>1464.879454</v>
      </c>
      <c r="J500">
        <v>148.5829652033675</v>
      </c>
      <c r="K500">
        <v>0</v>
      </c>
      <c r="L500">
        <v>1.205964537038647</v>
      </c>
      <c r="M500">
        <v>30.76</v>
      </c>
      <c r="N500">
        <v>17.32</v>
      </c>
    </row>
    <row r="501" spans="1:14">
      <c r="A501" s="1" t="s">
        <v>513</v>
      </c>
      <c r="B501">
        <f>HYPERLINK("https://www.suredividend.com/sure-analysis-research-database/","Esco Technologies, Inc.")</f>
        <v>0</v>
      </c>
      <c r="C501" t="s">
        <v>1818</v>
      </c>
      <c r="D501">
        <v>100.63</v>
      </c>
      <c r="E501">
        <v>0.003176033928431</v>
      </c>
      <c r="F501">
        <v>0</v>
      </c>
      <c r="G501">
        <v>0</v>
      </c>
      <c r="H501">
        <v>0.319604294218011</v>
      </c>
      <c r="I501">
        <v>2592.035289</v>
      </c>
      <c r="J501">
        <v>29.85596637229606</v>
      </c>
      <c r="K501">
        <v>0.09568990844850629</v>
      </c>
      <c r="L501">
        <v>1.018745842795767</v>
      </c>
      <c r="M501">
        <v>106.21</v>
      </c>
      <c r="N501">
        <v>73.06</v>
      </c>
    </row>
    <row r="502" spans="1:14">
      <c r="A502" s="1" t="s">
        <v>514</v>
      </c>
      <c r="B502">
        <f>HYPERLINK("https://www.suredividend.com/sure-analysis-research-database/","Enstar Group Limited")</f>
        <v>0</v>
      </c>
      <c r="C502" t="s">
        <v>1815</v>
      </c>
      <c r="D502">
        <v>249.12</v>
      </c>
      <c r="E502">
        <v>0</v>
      </c>
      <c r="F502" t="s">
        <v>1812</v>
      </c>
      <c r="G502" t="s">
        <v>1812</v>
      </c>
      <c r="H502">
        <v>0</v>
      </c>
      <c r="I502">
        <v>3993.743614</v>
      </c>
      <c r="J502" t="s">
        <v>1812</v>
      </c>
      <c r="K502">
        <v>-0</v>
      </c>
      <c r="L502">
        <v>0.701828393291235</v>
      </c>
      <c r="M502">
        <v>271.39</v>
      </c>
      <c r="N502">
        <v>169.04</v>
      </c>
    </row>
    <row r="503" spans="1:14">
      <c r="A503" s="1" t="s">
        <v>515</v>
      </c>
      <c r="B503">
        <f>HYPERLINK("https://www.suredividend.com/sure-analysis-research-database/","Engagesmart Inc")</f>
        <v>0</v>
      </c>
      <c r="C503" t="s">
        <v>1812</v>
      </c>
      <c r="D503">
        <v>17.18</v>
      </c>
      <c r="E503">
        <v>0</v>
      </c>
      <c r="F503" t="s">
        <v>1812</v>
      </c>
      <c r="G503" t="s">
        <v>1812</v>
      </c>
      <c r="H503">
        <v>0</v>
      </c>
      <c r="I503">
        <v>2863.906</v>
      </c>
      <c r="J503">
        <v>0</v>
      </c>
      <c r="K503" t="s">
        <v>1812</v>
      </c>
      <c r="L503">
        <v>1.044871245997948</v>
      </c>
      <c r="M503">
        <v>22.65</v>
      </c>
      <c r="N503">
        <v>15.01</v>
      </c>
    </row>
    <row r="504" spans="1:14">
      <c r="A504" s="1" t="s">
        <v>516</v>
      </c>
      <c r="B504">
        <f>HYPERLINK("https://www.suredividend.com/sure-analysis-research-database/","Essent Group Ltd")</f>
        <v>0</v>
      </c>
      <c r="C504" t="s">
        <v>1815</v>
      </c>
      <c r="D504">
        <v>51.13</v>
      </c>
      <c r="E504">
        <v>0.01842881956194</v>
      </c>
      <c r="F504" t="s">
        <v>1812</v>
      </c>
      <c r="G504" t="s">
        <v>1812</v>
      </c>
      <c r="H504">
        <v>0.942265544202009</v>
      </c>
      <c r="I504">
        <v>5484.141012</v>
      </c>
      <c r="J504">
        <v>7.533026212938505</v>
      </c>
      <c r="K504">
        <v>0.1389772189088509</v>
      </c>
      <c r="L504">
        <v>1.053987288496272</v>
      </c>
      <c r="M504">
        <v>51.34</v>
      </c>
      <c r="N504">
        <v>33.68</v>
      </c>
    </row>
    <row r="505" spans="1:14">
      <c r="A505" s="1" t="s">
        <v>517</v>
      </c>
      <c r="B505">
        <f>HYPERLINK("https://www.suredividend.com/sure-analysis-research-database/","Esperion Therapeutics Inc.")</f>
        <v>0</v>
      </c>
      <c r="C505" t="s">
        <v>1817</v>
      </c>
      <c r="D505">
        <v>1.64</v>
      </c>
      <c r="E505">
        <v>0</v>
      </c>
      <c r="F505" t="s">
        <v>1812</v>
      </c>
      <c r="G505" t="s">
        <v>1812</v>
      </c>
      <c r="H505">
        <v>0</v>
      </c>
      <c r="I505">
        <v>175.470601</v>
      </c>
      <c r="J505">
        <v>0</v>
      </c>
      <c r="K505" t="s">
        <v>1812</v>
      </c>
      <c r="L505">
        <v>0.34091574135292</v>
      </c>
      <c r="M505">
        <v>8.869999999999999</v>
      </c>
      <c r="N505">
        <v>1.12</v>
      </c>
    </row>
    <row r="506" spans="1:14">
      <c r="A506" s="1" t="s">
        <v>518</v>
      </c>
      <c r="B506">
        <f>HYPERLINK("https://www.suredividend.com/sure-analysis-research-database/","Esquire Financial Holdings Inc")</f>
        <v>0</v>
      </c>
      <c r="C506" t="s">
        <v>1815</v>
      </c>
      <c r="D506">
        <v>50.48</v>
      </c>
      <c r="E506">
        <v>0.008172433767274001</v>
      </c>
      <c r="F506" t="s">
        <v>1812</v>
      </c>
      <c r="G506" t="s">
        <v>1812</v>
      </c>
      <c r="H506">
        <v>0.412544456572025</v>
      </c>
      <c r="I506">
        <v>413.453866</v>
      </c>
      <c r="J506">
        <v>0</v>
      </c>
      <c r="K506" t="s">
        <v>1812</v>
      </c>
      <c r="L506">
        <v>0.8239750874764641</v>
      </c>
      <c r="M506">
        <v>54.03</v>
      </c>
      <c r="N506">
        <v>34.53</v>
      </c>
    </row>
    <row r="507" spans="1:14">
      <c r="A507" s="1" t="s">
        <v>519</v>
      </c>
      <c r="B507">
        <f>HYPERLINK("https://www.suredividend.com/sure-analysis-ESRT/","Empire State Realty Trust Inc")</f>
        <v>0</v>
      </c>
      <c r="C507" t="s">
        <v>1814</v>
      </c>
      <c r="D507">
        <v>8.800000000000001</v>
      </c>
      <c r="E507">
        <v>0.01590909090909091</v>
      </c>
      <c r="F507" t="s">
        <v>1812</v>
      </c>
      <c r="G507" t="s">
        <v>1812</v>
      </c>
      <c r="H507">
        <v>0.138951529671461</v>
      </c>
      <c r="I507">
        <v>1406.615003</v>
      </c>
      <c r="J507">
        <v>25.92504198905211</v>
      </c>
      <c r="K507">
        <v>0.685841706177004</v>
      </c>
      <c r="L507">
        <v>1.110623139070711</v>
      </c>
      <c r="M507">
        <v>9.08</v>
      </c>
      <c r="N507">
        <v>5.36</v>
      </c>
    </row>
    <row r="508" spans="1:14">
      <c r="A508" s="1" t="s">
        <v>520</v>
      </c>
      <c r="B508">
        <f>HYPERLINK("https://www.suredividend.com/sure-analysis-research-database/","Earthstone Energy Inc")</f>
        <v>0</v>
      </c>
      <c r="C508" t="s">
        <v>1822</v>
      </c>
      <c r="D508">
        <v>15.98</v>
      </c>
      <c r="E508">
        <v>0</v>
      </c>
      <c r="F508" t="s">
        <v>1812</v>
      </c>
      <c r="G508" t="s">
        <v>1812</v>
      </c>
      <c r="H508">
        <v>0</v>
      </c>
      <c r="I508">
        <v>1699.170259</v>
      </c>
      <c r="J508">
        <v>0</v>
      </c>
      <c r="K508" t="s">
        <v>1812</v>
      </c>
      <c r="L508">
        <v>1.312367975170811</v>
      </c>
      <c r="M508">
        <v>17.54</v>
      </c>
      <c r="N508">
        <v>10.65</v>
      </c>
    </row>
    <row r="509" spans="1:14">
      <c r="A509" s="1" t="s">
        <v>521</v>
      </c>
      <c r="B509">
        <f>HYPERLINK("https://www.suredividend.com/sure-analysis-ETD/","Ethan Allen Interiors, Inc.")</f>
        <v>0</v>
      </c>
      <c r="C509" t="s">
        <v>1812</v>
      </c>
      <c r="D509">
        <v>35.63</v>
      </c>
      <c r="E509">
        <v>0.0404153802975021</v>
      </c>
      <c r="F509">
        <v>-0.28</v>
      </c>
      <c r="G509">
        <v>0.1363438869307663</v>
      </c>
      <c r="H509">
        <v>1.296897412415697</v>
      </c>
      <c r="I509">
        <v>903.450741</v>
      </c>
      <c r="J509">
        <v>8.072218270565847</v>
      </c>
      <c r="K509">
        <v>0.296095299638287</v>
      </c>
      <c r="L509">
        <v>0.8297809388337201</v>
      </c>
      <c r="M509">
        <v>35.86</v>
      </c>
      <c r="N509">
        <v>20.35</v>
      </c>
    </row>
    <row r="510" spans="1:14">
      <c r="A510" s="1" t="s">
        <v>522</v>
      </c>
      <c r="B510">
        <f>HYPERLINK("https://www.suredividend.com/sure-analysis-research-database/","Equitrans Midstream Corporation")</f>
        <v>0</v>
      </c>
      <c r="C510" t="s">
        <v>1822</v>
      </c>
      <c r="D510">
        <v>9.83</v>
      </c>
      <c r="E510">
        <v>0.059132395382427</v>
      </c>
      <c r="F510" t="s">
        <v>1812</v>
      </c>
      <c r="G510" t="s">
        <v>1812</v>
      </c>
      <c r="H510">
        <v>0.581271446609264</v>
      </c>
      <c r="I510">
        <v>4258.18889</v>
      </c>
      <c r="J510" t="s">
        <v>1812</v>
      </c>
      <c r="K510" t="s">
        <v>1812</v>
      </c>
      <c r="L510">
        <v>1.140514507909398</v>
      </c>
      <c r="M510">
        <v>10.32</v>
      </c>
      <c r="N510">
        <v>4.39</v>
      </c>
    </row>
    <row r="511" spans="1:14">
      <c r="A511" s="1" t="s">
        <v>523</v>
      </c>
      <c r="B511">
        <f>HYPERLINK("https://www.suredividend.com/sure-analysis-research-database/","E2open Parent Holdings Inc")</f>
        <v>0</v>
      </c>
      <c r="C511" t="s">
        <v>1812</v>
      </c>
      <c r="D511">
        <v>4.98</v>
      </c>
      <c r="E511">
        <v>0</v>
      </c>
      <c r="F511" t="s">
        <v>1812</v>
      </c>
      <c r="G511" t="s">
        <v>1812</v>
      </c>
      <c r="H511">
        <v>0</v>
      </c>
      <c r="I511">
        <v>1509.953131</v>
      </c>
      <c r="J511">
        <v>0</v>
      </c>
      <c r="K511" t="s">
        <v>1812</v>
      </c>
      <c r="L511">
        <v>1.470897507133717</v>
      </c>
      <c r="M511">
        <v>8.06</v>
      </c>
      <c r="N511">
        <v>3.92</v>
      </c>
    </row>
    <row r="512" spans="1:14">
      <c r="A512" s="1" t="s">
        <v>524</v>
      </c>
      <c r="B512">
        <f>HYPERLINK("https://www.suredividend.com/sure-analysis-research-database/","Everbridge Inc")</f>
        <v>0</v>
      </c>
      <c r="C512" t="s">
        <v>1818</v>
      </c>
      <c r="D512">
        <v>28.77</v>
      </c>
      <c r="E512">
        <v>0</v>
      </c>
      <c r="F512" t="s">
        <v>1812</v>
      </c>
      <c r="G512" t="s">
        <v>1812</v>
      </c>
      <c r="H512">
        <v>0</v>
      </c>
      <c r="I512">
        <v>1172.755768</v>
      </c>
      <c r="J512" t="s">
        <v>1812</v>
      </c>
      <c r="K512">
        <v>-0</v>
      </c>
      <c r="L512">
        <v>1.756872186008062</v>
      </c>
      <c r="M512">
        <v>42.9</v>
      </c>
      <c r="N512">
        <v>22.5</v>
      </c>
    </row>
    <row r="513" spans="1:14">
      <c r="A513" s="1" t="s">
        <v>525</v>
      </c>
      <c r="B513">
        <f>HYPERLINK("https://www.suredividend.com/sure-analysis-research-database/","Entravision Communications Corp.")</f>
        <v>0</v>
      </c>
      <c r="C513" t="s">
        <v>1821</v>
      </c>
      <c r="D513">
        <v>4.49</v>
      </c>
      <c r="E513">
        <v>0.033049740620226</v>
      </c>
      <c r="F513">
        <v>1</v>
      </c>
      <c r="G513">
        <v>0</v>
      </c>
      <c r="H513">
        <v>0.148393335384816</v>
      </c>
      <c r="I513">
        <v>351.82064</v>
      </c>
      <c r="J513">
        <v>19.25357850927598</v>
      </c>
      <c r="K513">
        <v>0.7151486042641735</v>
      </c>
      <c r="L513">
        <v>1.499058880746776</v>
      </c>
      <c r="M513">
        <v>7.19</v>
      </c>
      <c r="N513">
        <v>3.87</v>
      </c>
    </row>
    <row r="514" spans="1:14">
      <c r="A514" s="1" t="s">
        <v>526</v>
      </c>
      <c r="B514">
        <f>HYPERLINK("https://www.suredividend.com/sure-analysis-research-database/","EverCommerce Inc")</f>
        <v>0</v>
      </c>
      <c r="C514" t="s">
        <v>1812</v>
      </c>
      <c r="D514">
        <v>10.97</v>
      </c>
      <c r="E514">
        <v>0</v>
      </c>
      <c r="F514" t="s">
        <v>1812</v>
      </c>
      <c r="G514" t="s">
        <v>1812</v>
      </c>
      <c r="H514">
        <v>0</v>
      </c>
      <c r="I514">
        <v>2061.645502</v>
      </c>
      <c r="J514">
        <v>0</v>
      </c>
      <c r="K514" t="s">
        <v>1812</v>
      </c>
      <c r="L514">
        <v>1.251620048861437</v>
      </c>
      <c r="M514">
        <v>13.47</v>
      </c>
      <c r="N514">
        <v>5.87</v>
      </c>
    </row>
    <row r="515" spans="1:14">
      <c r="A515" s="1" t="s">
        <v>527</v>
      </c>
      <c r="B515">
        <f>HYPERLINK("https://www.suredividend.com/sure-analysis-research-database/","EverQuote Inc")</f>
        <v>0</v>
      </c>
      <c r="C515" t="s">
        <v>1821</v>
      </c>
      <c r="D515">
        <v>6.83</v>
      </c>
      <c r="E515">
        <v>0</v>
      </c>
      <c r="F515" t="s">
        <v>1812</v>
      </c>
      <c r="G515" t="s">
        <v>1812</v>
      </c>
      <c r="H515">
        <v>0</v>
      </c>
      <c r="I515">
        <v>187.03438</v>
      </c>
      <c r="J515">
        <v>0</v>
      </c>
      <c r="K515" t="s">
        <v>1812</v>
      </c>
      <c r="L515">
        <v>1.393810719882096</v>
      </c>
      <c r="M515">
        <v>18.86</v>
      </c>
      <c r="N515">
        <v>5.23</v>
      </c>
    </row>
    <row r="516" spans="1:14">
      <c r="A516" s="1" t="s">
        <v>528</v>
      </c>
      <c r="B516">
        <f>HYPERLINK("https://www.suredividend.com/sure-analysis-research-database/","EVgo Inc")</f>
        <v>0</v>
      </c>
      <c r="C516" t="s">
        <v>1812</v>
      </c>
      <c r="D516">
        <v>5.16</v>
      </c>
      <c r="E516">
        <v>0</v>
      </c>
      <c r="F516" t="s">
        <v>1812</v>
      </c>
      <c r="G516" t="s">
        <v>1812</v>
      </c>
      <c r="H516">
        <v>0</v>
      </c>
      <c r="I516">
        <v>533.478819</v>
      </c>
      <c r="J516">
        <v>0</v>
      </c>
      <c r="K516" t="s">
        <v>1812</v>
      </c>
      <c r="L516">
        <v>1.93592322280447</v>
      </c>
      <c r="M516">
        <v>12.65</v>
      </c>
      <c r="N516">
        <v>3.45</v>
      </c>
    </row>
    <row r="517" spans="1:14">
      <c r="A517" s="1" t="s">
        <v>529</v>
      </c>
      <c r="B517">
        <f>HYPERLINK("https://www.suredividend.com/sure-analysis-research-database/","Evolent Health Inc")</f>
        <v>0</v>
      </c>
      <c r="C517" t="s">
        <v>1817</v>
      </c>
      <c r="D517">
        <v>28.12</v>
      </c>
      <c r="E517">
        <v>0</v>
      </c>
      <c r="F517" t="s">
        <v>1812</v>
      </c>
      <c r="G517" t="s">
        <v>1812</v>
      </c>
      <c r="H517">
        <v>0</v>
      </c>
      <c r="I517">
        <v>3168.215836</v>
      </c>
      <c r="J517" t="s">
        <v>1812</v>
      </c>
      <c r="K517">
        <v>-0</v>
      </c>
      <c r="L517">
        <v>0.963352154068954</v>
      </c>
      <c r="M517">
        <v>39.78</v>
      </c>
      <c r="N517">
        <v>21.83</v>
      </c>
    </row>
    <row r="518" spans="1:14">
      <c r="A518" s="1" t="s">
        <v>530</v>
      </c>
      <c r="B518">
        <f>HYPERLINK("https://www.suredividend.com/sure-analysis-research-database/","Evolv Technologies Holdings Inc")</f>
        <v>0</v>
      </c>
      <c r="C518" t="s">
        <v>1812</v>
      </c>
      <c r="D518">
        <v>6.35</v>
      </c>
      <c r="E518">
        <v>0</v>
      </c>
      <c r="F518" t="s">
        <v>1812</v>
      </c>
      <c r="G518" t="s">
        <v>1812</v>
      </c>
      <c r="H518">
        <v>0</v>
      </c>
      <c r="I518">
        <v>942.522632</v>
      </c>
      <c r="J518" t="s">
        <v>1812</v>
      </c>
      <c r="K518">
        <v>-0</v>
      </c>
      <c r="L518">
        <v>1.979863476051171</v>
      </c>
      <c r="M518">
        <v>6.98</v>
      </c>
      <c r="N518">
        <v>1.98</v>
      </c>
    </row>
    <row r="519" spans="1:14">
      <c r="A519" s="1" t="s">
        <v>531</v>
      </c>
      <c r="B519">
        <f>HYPERLINK("https://www.suredividend.com/sure-analysis-research-database/","Everi Holdings Inc")</f>
        <v>0</v>
      </c>
      <c r="C519" t="s">
        <v>1816</v>
      </c>
      <c r="D519">
        <v>14.57</v>
      </c>
      <c r="E519">
        <v>0</v>
      </c>
      <c r="F519" t="s">
        <v>1812</v>
      </c>
      <c r="G519" t="s">
        <v>1812</v>
      </c>
      <c r="H519">
        <v>0</v>
      </c>
      <c r="I519">
        <v>1297.345247</v>
      </c>
      <c r="J519">
        <v>11.08529429639503</v>
      </c>
      <c r="K519">
        <v>0</v>
      </c>
      <c r="L519">
        <v>1.179646202108657</v>
      </c>
      <c r="M519">
        <v>21.11</v>
      </c>
      <c r="N519">
        <v>13.52</v>
      </c>
    </row>
    <row r="520" spans="1:14">
      <c r="A520" s="1" t="s">
        <v>532</v>
      </c>
      <c r="B520">
        <f>HYPERLINK("https://www.suredividend.com/sure-analysis-research-database/","Evertec Inc")</f>
        <v>0</v>
      </c>
      <c r="C520" t="s">
        <v>1818</v>
      </c>
      <c r="D520">
        <v>40.38</v>
      </c>
      <c r="E520">
        <v>0.006174471178371</v>
      </c>
      <c r="F520" t="s">
        <v>1812</v>
      </c>
      <c r="G520" t="s">
        <v>1812</v>
      </c>
      <c r="H520">
        <v>0.249325146182638</v>
      </c>
      <c r="I520">
        <v>2618.203221</v>
      </c>
      <c r="J520">
        <v>11.65049113118467</v>
      </c>
      <c r="K520">
        <v>0.0731158786459349</v>
      </c>
      <c r="L520">
        <v>0.9375326977646151</v>
      </c>
      <c r="M520">
        <v>41.98</v>
      </c>
      <c r="N520">
        <v>30.05</v>
      </c>
    </row>
    <row r="521" spans="1:14">
      <c r="A521" s="1" t="s">
        <v>533</v>
      </c>
      <c r="B521">
        <f>HYPERLINK("https://www.suredividend.com/sure-analysis-research-database/","European Wax Center Inc")</f>
        <v>0</v>
      </c>
      <c r="C521" t="s">
        <v>1812</v>
      </c>
      <c r="D521">
        <v>18.59</v>
      </c>
      <c r="E521">
        <v>0</v>
      </c>
      <c r="F521" t="s">
        <v>1812</v>
      </c>
      <c r="G521" t="s">
        <v>1812</v>
      </c>
      <c r="H521">
        <v>0</v>
      </c>
      <c r="I521">
        <v>936.446116</v>
      </c>
      <c r="J521">
        <v>0</v>
      </c>
      <c r="K521" t="s">
        <v>1812</v>
      </c>
      <c r="L521">
        <v>0.9419689206731781</v>
      </c>
      <c r="M521">
        <v>23.52</v>
      </c>
      <c r="N521">
        <v>12.02</v>
      </c>
    </row>
    <row r="522" spans="1:14">
      <c r="A522" s="1" t="s">
        <v>534</v>
      </c>
      <c r="B522">
        <f>HYPERLINK("https://www.suredividend.com/sure-analysis-research-database/","Edgewise Therapeutics Inc")</f>
        <v>0</v>
      </c>
      <c r="C522" t="s">
        <v>1812</v>
      </c>
      <c r="D522">
        <v>6.55</v>
      </c>
      <c r="E522">
        <v>0</v>
      </c>
      <c r="F522" t="s">
        <v>1812</v>
      </c>
      <c r="G522" t="s">
        <v>1812</v>
      </c>
      <c r="H522">
        <v>0</v>
      </c>
      <c r="I522">
        <v>414.480077</v>
      </c>
      <c r="J522">
        <v>0</v>
      </c>
      <c r="K522" t="s">
        <v>1812</v>
      </c>
      <c r="L522">
        <v>1.37737684762716</v>
      </c>
      <c r="M522">
        <v>14.33</v>
      </c>
      <c r="N522">
        <v>5.53</v>
      </c>
    </row>
    <row r="523" spans="1:14">
      <c r="A523" s="1" t="s">
        <v>535</v>
      </c>
      <c r="B523">
        <f>HYPERLINK("https://www.suredividend.com/sure-analysis-research-database/","ExlService Holdings Inc")</f>
        <v>0</v>
      </c>
      <c r="C523" t="s">
        <v>1818</v>
      </c>
      <c r="D523">
        <v>27.76</v>
      </c>
      <c r="E523">
        <v>0</v>
      </c>
      <c r="F523" t="s">
        <v>1812</v>
      </c>
      <c r="G523" t="s">
        <v>1812</v>
      </c>
      <c r="H523">
        <v>0</v>
      </c>
      <c r="I523">
        <v>920.088794</v>
      </c>
      <c r="J523">
        <v>5.369865088389955</v>
      </c>
      <c r="K523">
        <v>0</v>
      </c>
      <c r="L523">
        <v>0.9538961913674591</v>
      </c>
      <c r="M523">
        <v>38.24</v>
      </c>
      <c r="N523">
        <v>27.22</v>
      </c>
    </row>
    <row r="524" spans="1:14">
      <c r="A524" s="1" t="s">
        <v>536</v>
      </c>
      <c r="B524">
        <f>HYPERLINK("https://www.suredividend.com/sure-analysis-research-database/","eXp World Holdings Inc")</f>
        <v>0</v>
      </c>
      <c r="C524" t="s">
        <v>1814</v>
      </c>
      <c r="D524">
        <v>25.07</v>
      </c>
      <c r="E524">
        <v>0.007109419837572001</v>
      </c>
      <c r="F524" t="s">
        <v>1812</v>
      </c>
      <c r="G524" t="s">
        <v>1812</v>
      </c>
      <c r="H524">
        <v>0.178233155327942</v>
      </c>
      <c r="I524">
        <v>3846.801494</v>
      </c>
      <c r="J524">
        <v>480.0700729402221</v>
      </c>
      <c r="K524">
        <v>3.467571115329611</v>
      </c>
      <c r="L524">
        <v>2.135400711907322</v>
      </c>
      <c r="M524">
        <v>25.39</v>
      </c>
      <c r="N524">
        <v>9.85</v>
      </c>
    </row>
    <row r="525" spans="1:14">
      <c r="A525" s="1" t="s">
        <v>537</v>
      </c>
      <c r="B525">
        <f>HYPERLINK("https://www.suredividend.com/sure-analysis-EXPO/","Exponent Inc.")</f>
        <v>0</v>
      </c>
      <c r="C525" t="s">
        <v>1813</v>
      </c>
      <c r="D525">
        <v>88.79000000000001</v>
      </c>
      <c r="E525">
        <v>0.01171303074670571</v>
      </c>
      <c r="F525">
        <v>0.08333333333333348</v>
      </c>
      <c r="G525">
        <v>0.1486983549970351</v>
      </c>
      <c r="H525">
        <v>0.9942560908910871</v>
      </c>
      <c r="I525">
        <v>4510.532</v>
      </c>
      <c r="J525">
        <v>44.28820266090628</v>
      </c>
      <c r="K525">
        <v>0.5072735157607587</v>
      </c>
      <c r="L525">
        <v>0.8204989156194811</v>
      </c>
      <c r="M525">
        <v>111.86</v>
      </c>
      <c r="N525">
        <v>84.81</v>
      </c>
    </row>
    <row r="526" spans="1:14">
      <c r="A526" s="1" t="s">
        <v>538</v>
      </c>
      <c r="B526">
        <f>HYPERLINK("https://www.suredividend.com/sure-analysis-research-database/","Express Inc.")</f>
        <v>0</v>
      </c>
      <c r="C526" t="s">
        <v>1816</v>
      </c>
      <c r="D526">
        <v>0.8446</v>
      </c>
      <c r="E526">
        <v>0</v>
      </c>
      <c r="F526" t="s">
        <v>1812</v>
      </c>
      <c r="G526" t="s">
        <v>1812</v>
      </c>
      <c r="H526">
        <v>0</v>
      </c>
      <c r="I526">
        <v>63.001211</v>
      </c>
      <c r="J526">
        <v>0.271181729751507</v>
      </c>
      <c r="K526">
        <v>0</v>
      </c>
      <c r="L526">
        <v>1.906623741747236</v>
      </c>
      <c r="M526">
        <v>2.7</v>
      </c>
      <c r="N526">
        <v>0.55</v>
      </c>
    </row>
    <row r="527" spans="1:14">
      <c r="A527" s="1" t="s">
        <v>539</v>
      </c>
      <c r="B527">
        <f>HYPERLINK("https://www.suredividend.com/sure-analysis-research-database/","Extreme Networks Inc.")</f>
        <v>0</v>
      </c>
      <c r="C527" t="s">
        <v>1818</v>
      </c>
      <c r="D527">
        <v>29.69</v>
      </c>
      <c r="E527">
        <v>0</v>
      </c>
      <c r="F527" t="s">
        <v>1812</v>
      </c>
      <c r="G527" t="s">
        <v>1812</v>
      </c>
      <c r="H527">
        <v>0</v>
      </c>
      <c r="I527">
        <v>3829.930579</v>
      </c>
      <c r="J527">
        <v>65.96845478150783</v>
      </c>
      <c r="K527">
        <v>0</v>
      </c>
      <c r="L527">
        <v>1.186876046504818</v>
      </c>
      <c r="M527">
        <v>30.65</v>
      </c>
      <c r="N527">
        <v>12.09</v>
      </c>
    </row>
    <row r="528" spans="1:14">
      <c r="A528" s="1" t="s">
        <v>540</v>
      </c>
      <c r="B528">
        <f>HYPERLINK("https://www.suredividend.com/sure-analysis-research-database/","National Vision Holdings Inc")</f>
        <v>0</v>
      </c>
      <c r="C528" t="s">
        <v>1816</v>
      </c>
      <c r="D528">
        <v>21.42</v>
      </c>
      <c r="E528">
        <v>0</v>
      </c>
      <c r="F528" t="s">
        <v>1812</v>
      </c>
      <c r="G528" t="s">
        <v>1812</v>
      </c>
      <c r="H528">
        <v>0</v>
      </c>
      <c r="I528">
        <v>1672.617992</v>
      </c>
      <c r="J528">
        <v>55.30229764324682</v>
      </c>
      <c r="K528">
        <v>0</v>
      </c>
      <c r="L528">
        <v>1.426606975446575</v>
      </c>
      <c r="M528">
        <v>43.82</v>
      </c>
      <c r="N528">
        <v>17.25</v>
      </c>
    </row>
    <row r="529" spans="1:14">
      <c r="A529" s="1" t="s">
        <v>541</v>
      </c>
      <c r="B529">
        <f>HYPERLINK("https://www.suredividend.com/sure-analysis-research-database/","EyePoint Pharmaceuticals Inc")</f>
        <v>0</v>
      </c>
      <c r="C529" t="s">
        <v>1817</v>
      </c>
      <c r="D529">
        <v>12.53</v>
      </c>
      <c r="E529">
        <v>0</v>
      </c>
      <c r="F529" t="s">
        <v>1812</v>
      </c>
      <c r="G529" t="s">
        <v>1812</v>
      </c>
      <c r="H529">
        <v>0</v>
      </c>
      <c r="I529">
        <v>429.803133</v>
      </c>
      <c r="J529">
        <v>0</v>
      </c>
      <c r="K529" t="s">
        <v>1812</v>
      </c>
      <c r="L529">
        <v>0.991497881966186</v>
      </c>
      <c r="M529">
        <v>13.03</v>
      </c>
      <c r="N529">
        <v>2.19</v>
      </c>
    </row>
    <row r="530" spans="1:14">
      <c r="A530" s="1" t="s">
        <v>542</v>
      </c>
      <c r="B530">
        <f>HYPERLINK("https://www.suredividend.com/sure-analysis-research-database/","EZCorp, Inc.")</f>
        <v>0</v>
      </c>
      <c r="C530" t="s">
        <v>1815</v>
      </c>
      <c r="D530">
        <v>9.42</v>
      </c>
      <c r="E530">
        <v>0</v>
      </c>
      <c r="F530" t="s">
        <v>1812</v>
      </c>
      <c r="G530" t="s">
        <v>1812</v>
      </c>
      <c r="H530">
        <v>0</v>
      </c>
      <c r="I530">
        <v>490.796874</v>
      </c>
      <c r="J530">
        <v>16.61465383141503</v>
      </c>
      <c r="K530">
        <v>0</v>
      </c>
      <c r="L530">
        <v>0.7548492542687201</v>
      </c>
      <c r="M530">
        <v>10.68</v>
      </c>
      <c r="N530">
        <v>7.05</v>
      </c>
    </row>
    <row r="531" spans="1:14">
      <c r="A531" s="1" t="s">
        <v>543</v>
      </c>
      <c r="B531">
        <f>HYPERLINK("https://www.suredividend.com/sure-analysis-research-database/","First Advantage Corp.")</f>
        <v>0</v>
      </c>
      <c r="C531" t="s">
        <v>1812</v>
      </c>
      <c r="D531">
        <v>14.29</v>
      </c>
      <c r="E531">
        <v>0</v>
      </c>
      <c r="F531" t="s">
        <v>1812</v>
      </c>
      <c r="G531" t="s">
        <v>1812</v>
      </c>
      <c r="H531">
        <v>0</v>
      </c>
      <c r="I531">
        <v>2090.048527</v>
      </c>
      <c r="J531">
        <v>0</v>
      </c>
      <c r="K531" t="s">
        <v>1812</v>
      </c>
      <c r="L531">
        <v>1.121621602868037</v>
      </c>
      <c r="M531">
        <v>15.89</v>
      </c>
      <c r="N531">
        <v>10.07</v>
      </c>
    </row>
    <row r="532" spans="1:14">
      <c r="A532" s="1" t="s">
        <v>544</v>
      </c>
      <c r="B532">
        <f>HYPERLINK("https://www.suredividend.com/sure-analysis-research-database/","Faro Technologies Inc.")</f>
        <v>0</v>
      </c>
      <c r="C532" t="s">
        <v>1818</v>
      </c>
      <c r="D532">
        <v>19.36</v>
      </c>
      <c r="E532">
        <v>0</v>
      </c>
      <c r="F532" t="s">
        <v>1812</v>
      </c>
      <c r="G532" t="s">
        <v>1812</v>
      </c>
      <c r="H532">
        <v>0</v>
      </c>
      <c r="I532">
        <v>366.862862</v>
      </c>
      <c r="J532" t="s">
        <v>1812</v>
      </c>
      <c r="K532">
        <v>-0</v>
      </c>
      <c r="L532">
        <v>1.490917720551357</v>
      </c>
      <c r="M532">
        <v>39.71</v>
      </c>
      <c r="N532">
        <v>10.3</v>
      </c>
    </row>
    <row r="533" spans="1:14">
      <c r="A533" s="1" t="s">
        <v>545</v>
      </c>
      <c r="B533">
        <f>HYPERLINK("https://www.suredividend.com/sure-analysis-research-database/","Fate Therapeutics Inc")</f>
        <v>0</v>
      </c>
      <c r="C533" t="s">
        <v>1817</v>
      </c>
      <c r="D533">
        <v>3.69</v>
      </c>
      <c r="E533">
        <v>0</v>
      </c>
      <c r="F533" t="s">
        <v>1812</v>
      </c>
      <c r="G533" t="s">
        <v>1812</v>
      </c>
      <c r="H533">
        <v>0</v>
      </c>
      <c r="I533">
        <v>363.038643</v>
      </c>
      <c r="J533" t="s">
        <v>1812</v>
      </c>
      <c r="K533">
        <v>-0</v>
      </c>
      <c r="L533">
        <v>1.44353828650382</v>
      </c>
      <c r="M533">
        <v>37.13</v>
      </c>
      <c r="N533">
        <v>3.61</v>
      </c>
    </row>
    <row r="534" spans="1:14">
      <c r="A534" s="1" t="s">
        <v>546</v>
      </c>
      <c r="B534">
        <f>HYPERLINK("https://www.suredividend.com/sure-analysis-research-database/","First Business Financial Services Inc")</f>
        <v>0</v>
      </c>
      <c r="C534" t="s">
        <v>1815</v>
      </c>
      <c r="D534">
        <v>34.59</v>
      </c>
      <c r="E534">
        <v>0.02417074788436</v>
      </c>
      <c r="F534">
        <v>0.1518987341772151</v>
      </c>
      <c r="G534">
        <v>0.1019722877214801</v>
      </c>
      <c r="H534">
        <v>0.8360661693200371</v>
      </c>
      <c r="I534">
        <v>287.631934</v>
      </c>
      <c r="J534">
        <v>7.895902447293291</v>
      </c>
      <c r="K534">
        <v>0.1874587823587527</v>
      </c>
      <c r="L534">
        <v>0.721566856766637</v>
      </c>
      <c r="M534">
        <v>38.96</v>
      </c>
      <c r="N534">
        <v>24.57</v>
      </c>
    </row>
    <row r="535" spans="1:14">
      <c r="A535" s="1" t="s">
        <v>547</v>
      </c>
      <c r="B535">
        <f>HYPERLINK("https://www.suredividend.com/sure-analysis-research-database/","FB Financial Corp")</f>
        <v>0</v>
      </c>
      <c r="C535" t="s">
        <v>1815</v>
      </c>
      <c r="D535">
        <v>35.23</v>
      </c>
      <c r="E535">
        <v>0.015789827661148</v>
      </c>
      <c r="F535" t="s">
        <v>1812</v>
      </c>
      <c r="G535" t="s">
        <v>1812</v>
      </c>
      <c r="H535">
        <v>0.5562756285022521</v>
      </c>
      <c r="I535">
        <v>1648.095335</v>
      </c>
      <c r="J535">
        <v>13.11133917740652</v>
      </c>
      <c r="K535">
        <v>0.2083429320233154</v>
      </c>
      <c r="L535">
        <v>1.062478680647649</v>
      </c>
      <c r="M535">
        <v>44.68</v>
      </c>
      <c r="N535">
        <v>24.2</v>
      </c>
    </row>
    <row r="536" spans="1:14">
      <c r="A536" s="1" t="s">
        <v>548</v>
      </c>
      <c r="B536">
        <f>HYPERLINK("https://www.suredividend.com/sure-analysis-research-database/","First Bancshares Inc Miss")</f>
        <v>0</v>
      </c>
      <c r="C536" t="s">
        <v>1815</v>
      </c>
      <c r="D536">
        <v>31.8</v>
      </c>
      <c r="E536">
        <v>0.025330382140324</v>
      </c>
      <c r="F536">
        <v>0.2222222222222223</v>
      </c>
      <c r="G536">
        <v>0.3449016775452185</v>
      </c>
      <c r="H536">
        <v>0.805506152062322</v>
      </c>
      <c r="I536">
        <v>987.449911</v>
      </c>
      <c r="J536">
        <v>15.83441431664021</v>
      </c>
      <c r="K536">
        <v>0.3209187856822001</v>
      </c>
      <c r="L536">
        <v>0.8921196744435861</v>
      </c>
      <c r="M536">
        <v>35.02</v>
      </c>
      <c r="N536">
        <v>22.41</v>
      </c>
    </row>
    <row r="537" spans="1:14">
      <c r="A537" s="1" t="s">
        <v>549</v>
      </c>
      <c r="B537">
        <f>HYPERLINK("https://www.suredividend.com/sure-analysis-research-database/","First Bancorp")</f>
        <v>0</v>
      </c>
      <c r="C537" t="s">
        <v>1815</v>
      </c>
      <c r="D537">
        <v>33.07</v>
      </c>
      <c r="E537">
        <v>0.032725386805482</v>
      </c>
      <c r="F537">
        <v>0</v>
      </c>
      <c r="G537">
        <v>0.1708049129648923</v>
      </c>
      <c r="H537">
        <v>1.082228541657319</v>
      </c>
      <c r="I537">
        <v>1355.590228</v>
      </c>
      <c r="J537">
        <v>10.63725284295108</v>
      </c>
      <c r="K537">
        <v>0.3146013202492207</v>
      </c>
      <c r="L537">
        <v>0.870614551136715</v>
      </c>
      <c r="M537">
        <v>47.75</v>
      </c>
      <c r="N537">
        <v>25.88</v>
      </c>
    </row>
    <row r="538" spans="1:14">
      <c r="A538" s="1" t="s">
        <v>550</v>
      </c>
      <c r="B538">
        <f>HYPERLINK("https://www.suredividend.com/sure-analysis-research-database/","First Bancorp PR")</f>
        <v>0</v>
      </c>
      <c r="C538" t="s">
        <v>1815</v>
      </c>
      <c r="D538">
        <v>15.2</v>
      </c>
      <c r="E538">
        <v>0.033699357461477</v>
      </c>
      <c r="F538" t="s">
        <v>1812</v>
      </c>
      <c r="G538" t="s">
        <v>1812</v>
      </c>
      <c r="H538">
        <v>0.5122302334144611</v>
      </c>
      <c r="I538">
        <v>2732.78821</v>
      </c>
      <c r="J538">
        <v>9.321513830200908</v>
      </c>
      <c r="K538">
        <v>0.3283527137272186</v>
      </c>
      <c r="L538">
        <v>1.086184682765734</v>
      </c>
      <c r="M538">
        <v>15.79</v>
      </c>
      <c r="N538">
        <v>10.06</v>
      </c>
    </row>
    <row r="539" spans="1:14">
      <c r="A539" s="1" t="s">
        <v>551</v>
      </c>
      <c r="B539">
        <f>HYPERLINK("https://www.suredividend.com/sure-analysis-research-database/","Franklin BSP Realty Trust Inc.")</f>
        <v>0</v>
      </c>
      <c r="C539" t="s">
        <v>1812</v>
      </c>
      <c r="D539">
        <v>13.55</v>
      </c>
      <c r="E539">
        <v>0.100636706641117</v>
      </c>
      <c r="F539" t="s">
        <v>1812</v>
      </c>
      <c r="G539" t="s">
        <v>1812</v>
      </c>
      <c r="H539">
        <v>1.363627374987148</v>
      </c>
      <c r="I539">
        <v>1113.953955</v>
      </c>
      <c r="J539">
        <v>9.481669619100312</v>
      </c>
      <c r="K539">
        <v>0.9603009683008086</v>
      </c>
      <c r="L539">
        <v>1.203078693694326</v>
      </c>
      <c r="M539">
        <v>14.7</v>
      </c>
      <c r="N539">
        <v>9.52</v>
      </c>
    </row>
    <row r="540" spans="1:14">
      <c r="A540" s="1" t="s">
        <v>552</v>
      </c>
      <c r="B540">
        <f>HYPERLINK("https://www.suredividend.com/sure-analysis-research-database/","Franklin Covey Co.")</f>
        <v>0</v>
      </c>
      <c r="C540" t="s">
        <v>1813</v>
      </c>
      <c r="D540">
        <v>48.15</v>
      </c>
      <c r="E540">
        <v>0</v>
      </c>
      <c r="F540" t="s">
        <v>1812</v>
      </c>
      <c r="G540" t="s">
        <v>1812</v>
      </c>
      <c r="H540">
        <v>0</v>
      </c>
      <c r="I540">
        <v>635.788393</v>
      </c>
      <c r="J540">
        <v>38.42318203904031</v>
      </c>
      <c r="K540">
        <v>0</v>
      </c>
      <c r="L540">
        <v>0.701676082786391</v>
      </c>
      <c r="M540">
        <v>54.7</v>
      </c>
      <c r="N540">
        <v>34.36</v>
      </c>
    </row>
    <row r="541" spans="1:14">
      <c r="A541" s="1" t="s">
        <v>553</v>
      </c>
      <c r="B541">
        <f>HYPERLINK("https://www.suredividend.com/sure-analysis-research-database/","First Community Bankshares Inc.")</f>
        <v>0</v>
      </c>
      <c r="C541" t="s">
        <v>1815</v>
      </c>
      <c r="D541">
        <v>33.88</v>
      </c>
      <c r="E541">
        <v>0.02519287332133</v>
      </c>
      <c r="F541" t="s">
        <v>1812</v>
      </c>
      <c r="G541" t="s">
        <v>1812</v>
      </c>
      <c r="H541">
        <v>0.8535345481266811</v>
      </c>
      <c r="I541">
        <v>651.669502</v>
      </c>
      <c r="J541">
        <v>13.31867607267674</v>
      </c>
      <c r="K541">
        <v>0.2864209893042554</v>
      </c>
      <c r="L541">
        <v>0.677559194711008</v>
      </c>
      <c r="M541">
        <v>38.1</v>
      </c>
      <c r="N541">
        <v>22.01</v>
      </c>
    </row>
    <row r="542" spans="1:14">
      <c r="A542" s="1" t="s">
        <v>554</v>
      </c>
      <c r="B542">
        <f>HYPERLINK("https://www.suredividend.com/sure-analysis-research-database/","Fuelcell Energy Inc")</f>
        <v>0</v>
      </c>
      <c r="C542" t="s">
        <v>1813</v>
      </c>
      <c r="D542">
        <v>2.03</v>
      </c>
      <c r="E542">
        <v>0</v>
      </c>
      <c r="F542" t="s">
        <v>1812</v>
      </c>
      <c r="G542" t="s">
        <v>1812</v>
      </c>
      <c r="H542">
        <v>0</v>
      </c>
      <c r="I542">
        <v>825.724077</v>
      </c>
      <c r="J542" t="s">
        <v>1812</v>
      </c>
      <c r="K542">
        <v>-0</v>
      </c>
      <c r="L542">
        <v>2.475456947972121</v>
      </c>
      <c r="M542">
        <v>5.5</v>
      </c>
      <c r="N542">
        <v>1.77</v>
      </c>
    </row>
    <row r="543" spans="1:14">
      <c r="A543" s="1" t="s">
        <v>555</v>
      </c>
      <c r="B543">
        <f>HYPERLINK("https://www.suredividend.com/sure-analysis-research-database/","First Commonwealth Financial Corp.")</f>
        <v>0</v>
      </c>
      <c r="C543" t="s">
        <v>1815</v>
      </c>
      <c r="D543">
        <v>14.22</v>
      </c>
      <c r="E543">
        <v>0.033992200340753</v>
      </c>
      <c r="F543">
        <v>0.04166666666666674</v>
      </c>
      <c r="G543">
        <v>0.06790716584560208</v>
      </c>
      <c r="H543">
        <v>0.483369088845516</v>
      </c>
      <c r="I543">
        <v>1463.106223</v>
      </c>
      <c r="J543">
        <v>11.19618472179922</v>
      </c>
      <c r="K543">
        <v>0.3528241524419825</v>
      </c>
      <c r="L543">
        <v>0.898730586089131</v>
      </c>
      <c r="M543">
        <v>16.21</v>
      </c>
      <c r="N543">
        <v>11.23</v>
      </c>
    </row>
    <row r="544" spans="1:14">
      <c r="A544" s="1" t="s">
        <v>556</v>
      </c>
      <c r="B544">
        <f>HYPERLINK("https://www.suredividend.com/sure-analysis-research-database/","FirstCash Holdings Inc")</f>
        <v>0</v>
      </c>
      <c r="C544" t="s">
        <v>1815</v>
      </c>
      <c r="D544">
        <v>98.75</v>
      </c>
      <c r="E544">
        <v>0.013265866155234</v>
      </c>
      <c r="F544">
        <v>0.09999999999999987</v>
      </c>
      <c r="G544">
        <v>0.08447177119769855</v>
      </c>
      <c r="H544">
        <v>1.310004282829416</v>
      </c>
      <c r="I544">
        <v>4454.40631</v>
      </c>
      <c r="J544">
        <v>19.20416602716102</v>
      </c>
      <c r="K544">
        <v>0.2620008565658832</v>
      </c>
      <c r="L544">
        <v>0.7518817300459091</v>
      </c>
      <c r="M544">
        <v>104.99</v>
      </c>
      <c r="N544">
        <v>69.18000000000001</v>
      </c>
    </row>
    <row r="545" spans="1:14">
      <c r="A545" s="1" t="s">
        <v>557</v>
      </c>
      <c r="B545">
        <f>HYPERLINK("https://www.suredividend.com/sure-analysis-FCPT/","Four Corners Property Trust Inc")</f>
        <v>0</v>
      </c>
      <c r="C545" t="s">
        <v>1814</v>
      </c>
      <c r="D545">
        <v>25.43</v>
      </c>
      <c r="E545">
        <v>0.05426661423515532</v>
      </c>
      <c r="F545">
        <v>0.02255639097744355</v>
      </c>
      <c r="G545">
        <v>0.0433481363609951</v>
      </c>
      <c r="H545">
        <v>1.326390212211133</v>
      </c>
      <c r="I545">
        <v>2213.062966</v>
      </c>
      <c r="J545">
        <v>22.43552849332428</v>
      </c>
      <c r="K545">
        <v>1.124059501873842</v>
      </c>
      <c r="L545">
        <v>0.574397765180481</v>
      </c>
      <c r="M545">
        <v>28.54</v>
      </c>
      <c r="N545">
        <v>21.8</v>
      </c>
    </row>
    <row r="546" spans="1:14">
      <c r="A546" s="1" t="s">
        <v>558</v>
      </c>
      <c r="B546">
        <f>HYPERLINK("https://www.suredividend.com/sure-analysis-research-database/","Focus Universal Inc")</f>
        <v>0</v>
      </c>
      <c r="C546" t="s">
        <v>1818</v>
      </c>
      <c r="D546">
        <v>1.75</v>
      </c>
      <c r="E546">
        <v>0</v>
      </c>
      <c r="F546" t="s">
        <v>1812</v>
      </c>
      <c r="G546" t="s">
        <v>1812</v>
      </c>
      <c r="H546">
        <v>0</v>
      </c>
      <c r="I546">
        <v>113.434108</v>
      </c>
      <c r="J546">
        <v>0</v>
      </c>
      <c r="K546" t="s">
        <v>1812</v>
      </c>
      <c r="L546">
        <v>1.548171963840405</v>
      </c>
      <c r="M546">
        <v>11</v>
      </c>
      <c r="N546">
        <v>1.4</v>
      </c>
    </row>
    <row r="547" spans="1:14">
      <c r="A547" s="1" t="s">
        <v>559</v>
      </c>
      <c r="B547">
        <f>HYPERLINK("https://www.suredividend.com/sure-analysis-research-database/","4D Molecular Therapeutics Inc")</f>
        <v>0</v>
      </c>
      <c r="C547" t="s">
        <v>1812</v>
      </c>
      <c r="D547">
        <v>18.02</v>
      </c>
      <c r="E547">
        <v>0</v>
      </c>
      <c r="F547" t="s">
        <v>1812</v>
      </c>
      <c r="G547" t="s">
        <v>1812</v>
      </c>
      <c r="H547">
        <v>0</v>
      </c>
      <c r="I547">
        <v>599.3520119999999</v>
      </c>
      <c r="J547">
        <v>0</v>
      </c>
      <c r="K547" t="s">
        <v>1812</v>
      </c>
      <c r="L547">
        <v>1.206644200283655</v>
      </c>
      <c r="M547">
        <v>26.49</v>
      </c>
      <c r="N547">
        <v>6.58</v>
      </c>
    </row>
    <row r="548" spans="1:14">
      <c r="A548" s="1" t="s">
        <v>560</v>
      </c>
      <c r="B548">
        <f>HYPERLINK("https://www.suredividend.com/sure-analysis-research-database/","Fresh Del Monte Produce Inc")</f>
        <v>0</v>
      </c>
      <c r="C548" t="s">
        <v>1819</v>
      </c>
      <c r="D548">
        <v>27.69</v>
      </c>
      <c r="E548">
        <v>0.02327265196401</v>
      </c>
      <c r="F548" t="s">
        <v>1812</v>
      </c>
      <c r="G548" t="s">
        <v>1812</v>
      </c>
      <c r="H548">
        <v>0.644419732883458</v>
      </c>
      <c r="I548">
        <v>1332.44795</v>
      </c>
      <c r="J548">
        <v>11.91813909069768</v>
      </c>
      <c r="K548">
        <v>0.2765749926538446</v>
      </c>
      <c r="L548">
        <v>0.490466185039358</v>
      </c>
      <c r="M548">
        <v>32.09</v>
      </c>
      <c r="N548">
        <v>22.69</v>
      </c>
    </row>
    <row r="549" spans="1:14">
      <c r="A549" s="1" t="s">
        <v>561</v>
      </c>
      <c r="B549">
        <f>HYPERLINK("https://www.suredividend.com/sure-analysis-research-database/","5E Advanced Materials Inc")</f>
        <v>0</v>
      </c>
      <c r="C549" t="s">
        <v>1812</v>
      </c>
      <c r="D549">
        <v>3.51</v>
      </c>
      <c r="E549">
        <v>0</v>
      </c>
      <c r="F549" t="s">
        <v>1812</v>
      </c>
      <c r="G549" t="s">
        <v>1812</v>
      </c>
      <c r="H549">
        <v>0</v>
      </c>
      <c r="I549">
        <v>154.963594</v>
      </c>
      <c r="J549">
        <v>0</v>
      </c>
      <c r="K549" t="s">
        <v>1812</v>
      </c>
      <c r="L549">
        <v>2.056465610468991</v>
      </c>
      <c r="M549">
        <v>21.12</v>
      </c>
      <c r="N549">
        <v>2.47</v>
      </c>
    </row>
    <row r="550" spans="1:14">
      <c r="A550" s="1" t="s">
        <v>562</v>
      </c>
      <c r="B550">
        <f>HYPERLINK("https://www.suredividend.com/sure-analysis-FELE/","Franklin Electric Co., Inc.")</f>
        <v>0</v>
      </c>
      <c r="C550" t="s">
        <v>1813</v>
      </c>
      <c r="D550">
        <v>96.64</v>
      </c>
      <c r="E550">
        <v>0.009312913907284769</v>
      </c>
      <c r="F550">
        <v>0.1538461538461537</v>
      </c>
      <c r="G550">
        <v>0.1339665776330272</v>
      </c>
      <c r="H550">
        <v>0.864616931673415</v>
      </c>
      <c r="I550">
        <v>4470.645355</v>
      </c>
      <c r="J550">
        <v>22.26084427067669</v>
      </c>
      <c r="K550">
        <v>0.202013301792854</v>
      </c>
      <c r="L550">
        <v>0.9516647760082231</v>
      </c>
      <c r="M550">
        <v>106.87</v>
      </c>
      <c r="N550">
        <v>76.67</v>
      </c>
    </row>
    <row r="551" spans="1:14">
      <c r="A551" s="1" t="s">
        <v>563</v>
      </c>
      <c r="B551">
        <f>HYPERLINK("https://www.suredividend.com/sure-analysis-research-database/","Futurefuel Corp")</f>
        <v>0</v>
      </c>
      <c r="C551" t="s">
        <v>1823</v>
      </c>
      <c r="D551">
        <v>9.67</v>
      </c>
      <c r="E551">
        <v>0.024566029011997</v>
      </c>
      <c r="F551">
        <v>0</v>
      </c>
      <c r="G551">
        <v>0</v>
      </c>
      <c r="H551">
        <v>0.237553500546016</v>
      </c>
      <c r="I551">
        <v>423.19056</v>
      </c>
      <c r="J551">
        <v>8.691529262887657</v>
      </c>
      <c r="K551">
        <v>0.2140121626540685</v>
      </c>
      <c r="L551">
        <v>1.089407913478302</v>
      </c>
      <c r="M551">
        <v>9.94</v>
      </c>
      <c r="N551">
        <v>5.65</v>
      </c>
    </row>
    <row r="552" spans="1:14">
      <c r="A552" s="1" t="s">
        <v>564</v>
      </c>
      <c r="B552">
        <f>HYPERLINK("https://www.suredividend.com/sure-analysis-research-database/","First Financial Bancorp")</f>
        <v>0</v>
      </c>
      <c r="C552" t="s">
        <v>1815</v>
      </c>
      <c r="D552">
        <v>23.12</v>
      </c>
      <c r="E552">
        <v>0.038835174777109</v>
      </c>
      <c r="F552">
        <v>0</v>
      </c>
      <c r="G552">
        <v>0.02834672210021361</v>
      </c>
      <c r="H552">
        <v>0.8978692408467821</v>
      </c>
      <c r="I552">
        <v>2199.983114</v>
      </c>
      <c r="J552">
        <v>8.917139337370397</v>
      </c>
      <c r="K552">
        <v>0.3453343234026085</v>
      </c>
      <c r="L552">
        <v>0.9692174289163601</v>
      </c>
      <c r="M552">
        <v>25.86</v>
      </c>
      <c r="N552">
        <v>17.57</v>
      </c>
    </row>
    <row r="553" spans="1:14">
      <c r="A553" s="1" t="s">
        <v>565</v>
      </c>
      <c r="B553">
        <f>HYPERLINK("https://www.suredividend.com/sure-analysis-research-database/","Flushing Financial Corp.")</f>
        <v>0</v>
      </c>
      <c r="C553" t="s">
        <v>1815</v>
      </c>
      <c r="D553">
        <v>16.04</v>
      </c>
      <c r="E553">
        <v>0.05286328288859801</v>
      </c>
      <c r="F553">
        <v>0</v>
      </c>
      <c r="G553">
        <v>0.01924487649145656</v>
      </c>
      <c r="H553">
        <v>0.847927057533116</v>
      </c>
      <c r="I553">
        <v>473.000641</v>
      </c>
      <c r="J553">
        <v>7.404054860684992</v>
      </c>
      <c r="K553">
        <v>0.4057067260924</v>
      </c>
      <c r="L553">
        <v>0.921471157600904</v>
      </c>
      <c r="M553">
        <v>21.59</v>
      </c>
      <c r="N553">
        <v>8.93</v>
      </c>
    </row>
    <row r="554" spans="1:14">
      <c r="A554" s="1" t="s">
        <v>566</v>
      </c>
      <c r="B554">
        <f>HYPERLINK("https://www.suredividend.com/sure-analysis-research-database/","Faraday Future Intelligent Electric Inc")</f>
        <v>0</v>
      </c>
      <c r="C554" t="s">
        <v>1812</v>
      </c>
      <c r="D554">
        <v>0.3339</v>
      </c>
      <c r="E554">
        <v>0</v>
      </c>
      <c r="F554" t="s">
        <v>1812</v>
      </c>
      <c r="G554" t="s">
        <v>1812</v>
      </c>
      <c r="H554">
        <v>0</v>
      </c>
      <c r="I554">
        <v>475.438418</v>
      </c>
      <c r="J554">
        <v>0</v>
      </c>
      <c r="K554" t="s">
        <v>1812</v>
      </c>
      <c r="L554">
        <v>1.75157107505357</v>
      </c>
      <c r="M554">
        <v>1.32</v>
      </c>
      <c r="N554">
        <v>0.148</v>
      </c>
    </row>
    <row r="555" spans="1:14">
      <c r="A555" s="1" t="s">
        <v>567</v>
      </c>
      <c r="B555">
        <f>HYPERLINK("https://www.suredividend.com/sure-analysis-research-database/","First Financial Bankshares, Inc.")</f>
        <v>0</v>
      </c>
      <c r="C555" t="s">
        <v>1815</v>
      </c>
      <c r="D555">
        <v>32.75</v>
      </c>
      <c r="E555">
        <v>0.020756059914347</v>
      </c>
      <c r="F555">
        <v>0.0588235294117645</v>
      </c>
      <c r="G555">
        <v>-0.03035973390442093</v>
      </c>
      <c r="H555">
        <v>0.679760962194886</v>
      </c>
      <c r="I555">
        <v>4674.774169</v>
      </c>
      <c r="J555">
        <v>20.23089945947349</v>
      </c>
      <c r="K555">
        <v>0.4222117777607988</v>
      </c>
      <c r="L555">
        <v>0.9614465766193411</v>
      </c>
      <c r="M555">
        <v>45.82</v>
      </c>
      <c r="N555">
        <v>24.71</v>
      </c>
    </row>
    <row r="556" spans="1:14">
      <c r="A556" s="1" t="s">
        <v>568</v>
      </c>
      <c r="B556">
        <f>HYPERLINK("https://www.suredividend.com/sure-analysis-research-database/","First Foundation Inc")</f>
        <v>0</v>
      </c>
      <c r="C556" t="s">
        <v>1815</v>
      </c>
      <c r="D556">
        <v>7.18</v>
      </c>
      <c r="E556">
        <v>0.03303479519807601</v>
      </c>
      <c r="F556" t="s">
        <v>1812</v>
      </c>
      <c r="G556" t="s">
        <v>1812</v>
      </c>
      <c r="H556">
        <v>0.237189829522186</v>
      </c>
      <c r="I556">
        <v>405.126302</v>
      </c>
      <c r="J556">
        <v>0</v>
      </c>
      <c r="K556" t="s">
        <v>1812</v>
      </c>
      <c r="L556">
        <v>1.401046757742317</v>
      </c>
      <c r="M556">
        <v>21.49</v>
      </c>
      <c r="N556">
        <v>3.69</v>
      </c>
    </row>
    <row r="557" spans="1:14">
      <c r="A557" s="1" t="s">
        <v>569</v>
      </c>
      <c r="B557">
        <f>HYPERLINK("https://www.suredividend.com/sure-analysis-research-database/","First Guaranty Bancshares Inc")</f>
        <v>0</v>
      </c>
      <c r="C557" t="s">
        <v>1815</v>
      </c>
      <c r="D557">
        <v>12.31</v>
      </c>
      <c r="E557">
        <v>0.050734545128605</v>
      </c>
      <c r="F557">
        <v>0</v>
      </c>
      <c r="G557">
        <v>0</v>
      </c>
      <c r="H557">
        <v>0.6245422505331381</v>
      </c>
      <c r="I557">
        <v>131.923759</v>
      </c>
      <c r="J557">
        <v>0</v>
      </c>
      <c r="K557" t="s">
        <v>1812</v>
      </c>
      <c r="L557">
        <v>0.6886063583964851</v>
      </c>
      <c r="M557">
        <v>25.05</v>
      </c>
      <c r="N557">
        <v>11.09</v>
      </c>
    </row>
    <row r="558" spans="1:14">
      <c r="A558" s="1" t="s">
        <v>570</v>
      </c>
      <c r="B558">
        <f>HYPERLINK("https://www.suredividend.com/sure-analysis-research-database/","FibroGen Inc")</f>
        <v>0</v>
      </c>
      <c r="C558" t="s">
        <v>1817</v>
      </c>
      <c r="D558">
        <v>1.88</v>
      </c>
      <c r="E558">
        <v>0</v>
      </c>
      <c r="F558" t="s">
        <v>1812</v>
      </c>
      <c r="G558" t="s">
        <v>1812</v>
      </c>
      <c r="H558">
        <v>0</v>
      </c>
      <c r="I558">
        <v>183.454942</v>
      </c>
      <c r="J558" t="s">
        <v>1812</v>
      </c>
      <c r="K558">
        <v>-0</v>
      </c>
      <c r="L558">
        <v>1.257986543579491</v>
      </c>
      <c r="M558">
        <v>25.69</v>
      </c>
      <c r="N558">
        <v>1.82</v>
      </c>
    </row>
    <row r="559" spans="1:14">
      <c r="A559" s="1" t="s">
        <v>571</v>
      </c>
      <c r="B559">
        <f>HYPERLINK("https://www.suredividend.com/sure-analysis-research-database/","Federated Hermes Inc")</f>
        <v>0</v>
      </c>
      <c r="C559" t="s">
        <v>1815</v>
      </c>
      <c r="D559">
        <v>33.33</v>
      </c>
      <c r="E559">
        <v>0.032360572524968</v>
      </c>
      <c r="F559">
        <v>0.03703703703703698</v>
      </c>
      <c r="G559">
        <v>0.007300045195211657</v>
      </c>
      <c r="H559">
        <v>1.078577882257212</v>
      </c>
      <c r="I559">
        <v>2942.576246</v>
      </c>
      <c r="J559">
        <v>12.2364653698498</v>
      </c>
      <c r="K559">
        <v>0.3811229265926545</v>
      </c>
      <c r="L559">
        <v>0.6979888761019361</v>
      </c>
      <c r="M559">
        <v>45.22</v>
      </c>
      <c r="N559">
        <v>29.65</v>
      </c>
    </row>
    <row r="560" spans="1:14">
      <c r="A560" s="1" t="s">
        <v>572</v>
      </c>
      <c r="B560">
        <f>HYPERLINK("https://www.suredividend.com/sure-analysis-research-database/","Foghorn Therapeutics Inc")</f>
        <v>0</v>
      </c>
      <c r="C560" t="s">
        <v>1812</v>
      </c>
      <c r="D560">
        <v>9.26</v>
      </c>
      <c r="E560">
        <v>0</v>
      </c>
      <c r="F560" t="s">
        <v>1812</v>
      </c>
      <c r="G560" t="s">
        <v>1812</v>
      </c>
      <c r="H560">
        <v>0</v>
      </c>
      <c r="I560">
        <v>387.297259</v>
      </c>
      <c r="J560">
        <v>0</v>
      </c>
      <c r="K560" t="s">
        <v>1812</v>
      </c>
      <c r="L560">
        <v>1.294456393354897</v>
      </c>
      <c r="M560">
        <v>18.12</v>
      </c>
      <c r="N560">
        <v>4.51</v>
      </c>
    </row>
    <row r="561" spans="1:14">
      <c r="A561" s="1" t="s">
        <v>573</v>
      </c>
      <c r="B561">
        <f>HYPERLINK("https://www.suredividend.com/sure-analysis-research-database/","First Interstate BancSystem Inc.")</f>
        <v>0</v>
      </c>
      <c r="C561" t="s">
        <v>1815</v>
      </c>
      <c r="D561">
        <v>29.16</v>
      </c>
      <c r="E561">
        <v>0.06005012558187101</v>
      </c>
      <c r="F561">
        <v>0.1463414634146341</v>
      </c>
      <c r="G561">
        <v>0.08679400183142283</v>
      </c>
      <c r="H561">
        <v>1.751061661967372</v>
      </c>
      <c r="I561">
        <v>3043.77912</v>
      </c>
      <c r="J561">
        <v>10.42747214799589</v>
      </c>
      <c r="K561">
        <v>0.6367496952608626</v>
      </c>
      <c r="L561">
        <v>0.7844450062440571</v>
      </c>
      <c r="M561">
        <v>43.89</v>
      </c>
      <c r="N561">
        <v>21.03</v>
      </c>
    </row>
    <row r="562" spans="1:14">
      <c r="A562" s="1" t="s">
        <v>574</v>
      </c>
      <c r="B562">
        <f>HYPERLINK("https://www.suredividend.com/sure-analysis-research-database/","Figs Inc")</f>
        <v>0</v>
      </c>
      <c r="C562" t="s">
        <v>1812</v>
      </c>
      <c r="D562">
        <v>7.02</v>
      </c>
      <c r="E562">
        <v>0</v>
      </c>
      <c r="F562" t="s">
        <v>1812</v>
      </c>
      <c r="G562" t="s">
        <v>1812</v>
      </c>
      <c r="H562">
        <v>0</v>
      </c>
      <c r="I562">
        <v>1120.487669</v>
      </c>
      <c r="J562">
        <v>78.92981604395604</v>
      </c>
      <c r="K562">
        <v>0</v>
      </c>
      <c r="L562">
        <v>1.948988463979172</v>
      </c>
      <c r="M562">
        <v>13.75</v>
      </c>
      <c r="N562">
        <v>5.55</v>
      </c>
    </row>
    <row r="563" spans="1:14">
      <c r="A563" s="1" t="s">
        <v>575</v>
      </c>
      <c r="B563">
        <f>HYPERLINK("https://www.suredividend.com/sure-analysis-research-database/","Financial Institutions Inc.")</f>
        <v>0</v>
      </c>
      <c r="C563" t="s">
        <v>1815</v>
      </c>
      <c r="D563">
        <v>19.69</v>
      </c>
      <c r="E563">
        <v>0.057821705447108</v>
      </c>
      <c r="F563">
        <v>0.03448275862068995</v>
      </c>
      <c r="G563">
        <v>0.04563955259127317</v>
      </c>
      <c r="H563">
        <v>1.138509380253565</v>
      </c>
      <c r="I563">
        <v>302.746942</v>
      </c>
      <c r="J563">
        <v>5.797528577173496</v>
      </c>
      <c r="K563">
        <v>0.3358434750010516</v>
      </c>
      <c r="L563">
        <v>0.817784329398463</v>
      </c>
      <c r="M563">
        <v>26.44</v>
      </c>
      <c r="N563">
        <v>13.36</v>
      </c>
    </row>
    <row r="564" spans="1:14">
      <c r="A564" s="1" t="s">
        <v>576</v>
      </c>
      <c r="B564">
        <f>HYPERLINK("https://www.suredividend.com/sure-analysis-research-database/","Comfort Systems USA, Inc.")</f>
        <v>0</v>
      </c>
      <c r="C564" t="s">
        <v>1813</v>
      </c>
      <c r="D564">
        <v>176.81</v>
      </c>
      <c r="E564">
        <v>0.0037547060814</v>
      </c>
      <c r="F564">
        <v>0.4285714285714286</v>
      </c>
      <c r="G564">
        <v>0.1866488262354233</v>
      </c>
      <c r="H564">
        <v>0.663869582252371</v>
      </c>
      <c r="I564">
        <v>6324.447553</v>
      </c>
      <c r="J564">
        <v>25.95912487569316</v>
      </c>
      <c r="K564">
        <v>0.09791586758884528</v>
      </c>
      <c r="L564">
        <v>1.051137981651173</v>
      </c>
      <c r="M564">
        <v>177.23</v>
      </c>
      <c r="N564">
        <v>94.92</v>
      </c>
    </row>
    <row r="565" spans="1:14">
      <c r="A565" s="1" t="s">
        <v>577</v>
      </c>
      <c r="B565">
        <f>HYPERLINK("https://www.suredividend.com/sure-analysis-research-database/","National Beverage Corp.")</f>
        <v>0</v>
      </c>
      <c r="C565" t="s">
        <v>1819</v>
      </c>
      <c r="D565">
        <v>53.88</v>
      </c>
      <c r="E565">
        <v>0</v>
      </c>
      <c r="F565" t="s">
        <v>1812</v>
      </c>
      <c r="G565" t="s">
        <v>1812</v>
      </c>
      <c r="H565">
        <v>0</v>
      </c>
      <c r="I565">
        <v>5029.889058</v>
      </c>
      <c r="J565">
        <v>35.38089149489322</v>
      </c>
      <c r="K565">
        <v>0</v>
      </c>
      <c r="L565">
        <v>0.698550680084273</v>
      </c>
      <c r="M565">
        <v>57.65</v>
      </c>
      <c r="N565">
        <v>38.4</v>
      </c>
    </row>
    <row r="566" spans="1:14">
      <c r="A566" s="1" t="s">
        <v>578</v>
      </c>
      <c r="B566">
        <f>HYPERLINK("https://www.suredividend.com/sure-analysis-FL/","Foot Locker Inc")</f>
        <v>0</v>
      </c>
      <c r="C566" t="s">
        <v>1816</v>
      </c>
      <c r="D566">
        <v>25.78</v>
      </c>
      <c r="E566">
        <v>0.06206361520558572</v>
      </c>
      <c r="F566" t="s">
        <v>1812</v>
      </c>
      <c r="G566" t="s">
        <v>1812</v>
      </c>
      <c r="H566">
        <v>1.569714640808774</v>
      </c>
      <c r="I566">
        <v>2421.358142</v>
      </c>
      <c r="J566">
        <v>9.88309445714286</v>
      </c>
      <c r="K566">
        <v>0.6084165274452613</v>
      </c>
      <c r="L566">
        <v>1.167633611407925</v>
      </c>
      <c r="M566">
        <v>46.03</v>
      </c>
      <c r="N566">
        <v>24.06</v>
      </c>
    </row>
    <row r="567" spans="1:14">
      <c r="A567" s="1" t="s">
        <v>579</v>
      </c>
      <c r="B567">
        <f>HYPERLINK("https://www.suredividend.com/sure-analysis-research-database/","Fulgent Genetics Inc")</f>
        <v>0</v>
      </c>
      <c r="C567" t="s">
        <v>1817</v>
      </c>
      <c r="D567">
        <v>40.08</v>
      </c>
      <c r="E567">
        <v>0</v>
      </c>
      <c r="F567" t="s">
        <v>1812</v>
      </c>
      <c r="G567" t="s">
        <v>1812</v>
      </c>
      <c r="H567">
        <v>0</v>
      </c>
      <c r="I567">
        <v>1190.42594</v>
      </c>
      <c r="J567" t="s">
        <v>1812</v>
      </c>
      <c r="K567">
        <v>-0</v>
      </c>
      <c r="L567">
        <v>1.185371964750936</v>
      </c>
      <c r="M567">
        <v>62.12</v>
      </c>
      <c r="N567">
        <v>28.27</v>
      </c>
    </row>
    <row r="568" spans="1:14">
      <c r="A568" s="1" t="s">
        <v>580</v>
      </c>
      <c r="B568">
        <f>HYPERLINK("https://www.suredividend.com/sure-analysis-FLIC/","First Of Long Island Corp.")</f>
        <v>0</v>
      </c>
      <c r="C568" t="s">
        <v>1815</v>
      </c>
      <c r="D568">
        <v>13.88</v>
      </c>
      <c r="E568">
        <v>0.06051873198847262</v>
      </c>
      <c r="F568">
        <v>0.04999999999999982</v>
      </c>
      <c r="G568">
        <v>0.04316756381013498</v>
      </c>
      <c r="H568">
        <v>0.8106341370979221</v>
      </c>
      <c r="I568">
        <v>313.091104</v>
      </c>
      <c r="J568">
        <v>7.575395704814904</v>
      </c>
      <c r="K568">
        <v>0.4478641641424984</v>
      </c>
      <c r="L568">
        <v>0.8489890616193001</v>
      </c>
      <c r="M568">
        <v>18.72</v>
      </c>
      <c r="N568">
        <v>8.49</v>
      </c>
    </row>
    <row r="569" spans="1:14">
      <c r="A569" s="1" t="s">
        <v>581</v>
      </c>
      <c r="B569">
        <f>HYPERLINK("https://www.suredividend.com/sure-analysis-research-database/","Full House Resorts, Inc.")</f>
        <v>0</v>
      </c>
      <c r="C569" t="s">
        <v>1816</v>
      </c>
      <c r="D569">
        <v>6.25</v>
      </c>
      <c r="E569">
        <v>0</v>
      </c>
      <c r="F569" t="s">
        <v>1812</v>
      </c>
      <c r="G569" t="s">
        <v>1812</v>
      </c>
      <c r="H569">
        <v>0</v>
      </c>
      <c r="I569">
        <v>215.2832</v>
      </c>
      <c r="J569">
        <v>0</v>
      </c>
      <c r="K569" t="s">
        <v>1812</v>
      </c>
      <c r="L569">
        <v>1.333650605011868</v>
      </c>
      <c r="M569">
        <v>10.13</v>
      </c>
      <c r="N569">
        <v>5.12</v>
      </c>
    </row>
    <row r="570" spans="1:14">
      <c r="A570" s="1" t="s">
        <v>582</v>
      </c>
      <c r="B570">
        <f>HYPERLINK("https://www.suredividend.com/sure-analysis-research-database/","Fluence Energy Inc")</f>
        <v>0</v>
      </c>
      <c r="C570" t="s">
        <v>1812</v>
      </c>
      <c r="D570">
        <v>28.36</v>
      </c>
      <c r="E570">
        <v>0</v>
      </c>
      <c r="F570" t="s">
        <v>1812</v>
      </c>
      <c r="G570" t="s">
        <v>1812</v>
      </c>
      <c r="H570">
        <v>0</v>
      </c>
      <c r="I570">
        <v>3316.143421</v>
      </c>
      <c r="J570">
        <v>0</v>
      </c>
      <c r="K570" t="s">
        <v>1812</v>
      </c>
      <c r="L570">
        <v>2.12097859061527</v>
      </c>
      <c r="M570">
        <v>31.32</v>
      </c>
      <c r="N570">
        <v>11.9</v>
      </c>
    </row>
    <row r="571" spans="1:14">
      <c r="A571" s="1" t="s">
        <v>583</v>
      </c>
      <c r="B571">
        <f>HYPERLINK("https://www.suredividend.com/sure-analysis-research-database/","Flex Lng Ltd")</f>
        <v>0</v>
      </c>
      <c r="C571" t="s">
        <v>1822</v>
      </c>
      <c r="D571">
        <v>32.27</v>
      </c>
      <c r="E571">
        <v>0.092164974630111</v>
      </c>
      <c r="F571" t="s">
        <v>1812</v>
      </c>
      <c r="G571" t="s">
        <v>1812</v>
      </c>
      <c r="H571">
        <v>2.974163731313708</v>
      </c>
      <c r="I571">
        <v>1759.370888</v>
      </c>
      <c r="J571">
        <v>0</v>
      </c>
      <c r="K571" t="s">
        <v>1812</v>
      </c>
      <c r="L571">
        <v>0.888740227346243</v>
      </c>
      <c r="M571">
        <v>37.97</v>
      </c>
      <c r="N571">
        <v>27.36</v>
      </c>
    </row>
    <row r="572" spans="1:14">
      <c r="A572" s="1" t="s">
        <v>584</v>
      </c>
      <c r="B572">
        <f>HYPERLINK("https://www.suredividend.com/sure-analysis-research-database/","Fluor Corporation")</f>
        <v>0</v>
      </c>
      <c r="C572" t="s">
        <v>1813</v>
      </c>
      <c r="D572">
        <v>31.1</v>
      </c>
      <c r="E572">
        <v>0</v>
      </c>
      <c r="F572" t="s">
        <v>1812</v>
      </c>
      <c r="G572" t="s">
        <v>1812</v>
      </c>
      <c r="H572">
        <v>0</v>
      </c>
      <c r="I572">
        <v>4454.681492</v>
      </c>
      <c r="J572" t="s">
        <v>1812</v>
      </c>
      <c r="K572">
        <v>-0</v>
      </c>
      <c r="L572">
        <v>1.165113304650403</v>
      </c>
      <c r="M572">
        <v>38.2</v>
      </c>
      <c r="N572">
        <v>23.03</v>
      </c>
    </row>
    <row r="573" spans="1:14">
      <c r="A573" s="1" t="s">
        <v>585</v>
      </c>
      <c r="B573">
        <f>HYPERLINK("https://www.suredividend.com/sure-analysis-research-database/","1-800 Flowers.com Inc.")</f>
        <v>0</v>
      </c>
      <c r="C573" t="s">
        <v>1816</v>
      </c>
      <c r="D573">
        <v>8.619999999999999</v>
      </c>
      <c r="E573">
        <v>0</v>
      </c>
      <c r="F573" t="s">
        <v>1812</v>
      </c>
      <c r="G573" t="s">
        <v>1812</v>
      </c>
      <c r="H573">
        <v>0</v>
      </c>
      <c r="I573">
        <v>325.041857</v>
      </c>
      <c r="J573" t="s">
        <v>1812</v>
      </c>
      <c r="K573">
        <v>-0</v>
      </c>
      <c r="L573">
        <v>1.543460542745025</v>
      </c>
      <c r="M573">
        <v>13.29</v>
      </c>
      <c r="N573">
        <v>5.82</v>
      </c>
    </row>
    <row r="574" spans="1:14">
      <c r="A574" s="1" t="s">
        <v>586</v>
      </c>
      <c r="B574">
        <f>HYPERLINK("https://www.suredividend.com/sure-analysis-research-database/","Flywire Corp")</f>
        <v>0</v>
      </c>
      <c r="C574" t="s">
        <v>1812</v>
      </c>
      <c r="D574">
        <v>33.29</v>
      </c>
      <c r="E574">
        <v>0</v>
      </c>
      <c r="F574" t="s">
        <v>1812</v>
      </c>
      <c r="G574" t="s">
        <v>1812</v>
      </c>
      <c r="H574">
        <v>0</v>
      </c>
      <c r="I574">
        <v>3624.721528</v>
      </c>
      <c r="J574">
        <v>0</v>
      </c>
      <c r="K574" t="s">
        <v>1812</v>
      </c>
      <c r="L574">
        <v>1.848598161866078</v>
      </c>
      <c r="M574">
        <v>35.11</v>
      </c>
      <c r="N574">
        <v>17.16</v>
      </c>
    </row>
    <row r="575" spans="1:14">
      <c r="A575" s="1" t="s">
        <v>587</v>
      </c>
      <c r="B575">
        <f>HYPERLINK("https://www.suredividend.com/sure-analysis-FMAO/","Farmers &amp; Merchants Bancorp Inc.")</f>
        <v>0</v>
      </c>
      <c r="C575" t="s">
        <v>1815</v>
      </c>
      <c r="D575">
        <v>21.58</v>
      </c>
      <c r="E575">
        <v>0.03892493049119555</v>
      </c>
      <c r="F575">
        <v>0.1052631578947367</v>
      </c>
      <c r="G575">
        <v>0.06961037572506878</v>
      </c>
      <c r="H575">
        <v>0.823714608510536</v>
      </c>
      <c r="I575">
        <v>294.138033</v>
      </c>
      <c r="J575">
        <v>0</v>
      </c>
      <c r="K575" t="s">
        <v>1812</v>
      </c>
      <c r="L575">
        <v>1.058215486547172</v>
      </c>
      <c r="M575">
        <v>30.95</v>
      </c>
      <c r="N575">
        <v>17.44</v>
      </c>
    </row>
    <row r="576" spans="1:14">
      <c r="A576" s="1" t="s">
        <v>588</v>
      </c>
      <c r="B576">
        <f>HYPERLINK("https://www.suredividend.com/sure-analysis-FMBH/","First Mid Bancshares Inc.")</f>
        <v>0</v>
      </c>
      <c r="C576" t="s">
        <v>1815</v>
      </c>
      <c r="D576">
        <v>30.75</v>
      </c>
      <c r="E576">
        <v>0.02991869918699187</v>
      </c>
      <c r="F576" t="s">
        <v>1812</v>
      </c>
      <c r="G576" t="s">
        <v>1812</v>
      </c>
      <c r="H576">
        <v>0.9014466665212031</v>
      </c>
      <c r="I576">
        <v>631.265028</v>
      </c>
      <c r="J576">
        <v>0</v>
      </c>
      <c r="K576" t="s">
        <v>1812</v>
      </c>
      <c r="L576">
        <v>0.9279174114489981</v>
      </c>
      <c r="M576">
        <v>38.04</v>
      </c>
      <c r="N576">
        <v>21.34</v>
      </c>
    </row>
    <row r="577" spans="1:14">
      <c r="A577" s="1" t="s">
        <v>589</v>
      </c>
      <c r="B577">
        <f>HYPERLINK("https://www.suredividend.com/sure-analysis-research-database/","Farmers National Banc Corp.")</f>
        <v>0</v>
      </c>
      <c r="C577" t="s">
        <v>1815</v>
      </c>
      <c r="D577">
        <v>13.98</v>
      </c>
      <c r="E577">
        <v>0.046599548407379</v>
      </c>
      <c r="F577">
        <v>0.0625</v>
      </c>
      <c r="G577">
        <v>0.1627110152194982</v>
      </c>
      <c r="H577">
        <v>0.651461686735161</v>
      </c>
      <c r="I577">
        <v>523.720284</v>
      </c>
      <c r="J577">
        <v>0</v>
      </c>
      <c r="K577" t="s">
        <v>1812</v>
      </c>
      <c r="L577">
        <v>0.8769082422687751</v>
      </c>
      <c r="M577">
        <v>14.71</v>
      </c>
      <c r="N577">
        <v>10.54</v>
      </c>
    </row>
    <row r="578" spans="1:14">
      <c r="A578" s="1" t="s">
        <v>590</v>
      </c>
      <c r="B578">
        <f>HYPERLINK("https://www.suredividend.com/sure-analysis-research-database/","Fabrinet")</f>
        <v>0</v>
      </c>
      <c r="C578" t="s">
        <v>1818</v>
      </c>
      <c r="D578">
        <v>121.76</v>
      </c>
      <c r="E578">
        <v>0</v>
      </c>
      <c r="F578" t="s">
        <v>1812</v>
      </c>
      <c r="G578" t="s">
        <v>1812</v>
      </c>
      <c r="H578">
        <v>0</v>
      </c>
      <c r="I578">
        <v>4419.529904</v>
      </c>
      <c r="J578">
        <v>18.16374551546137</v>
      </c>
      <c r="K578">
        <v>0</v>
      </c>
      <c r="L578">
        <v>1.119273545941854</v>
      </c>
      <c r="M578">
        <v>140.18</v>
      </c>
      <c r="N578">
        <v>90.19</v>
      </c>
    </row>
    <row r="579" spans="1:14">
      <c r="A579" s="1" t="s">
        <v>591</v>
      </c>
      <c r="B579">
        <f>HYPERLINK("https://www.suredividend.com/sure-analysis-research-database/","Paragon 28 Inc")</f>
        <v>0</v>
      </c>
      <c r="C579" t="s">
        <v>1812</v>
      </c>
      <c r="D579">
        <v>15.87</v>
      </c>
      <c r="E579">
        <v>0</v>
      </c>
      <c r="F579" t="s">
        <v>1812</v>
      </c>
      <c r="G579" t="s">
        <v>1812</v>
      </c>
      <c r="H579">
        <v>0</v>
      </c>
      <c r="I579">
        <v>1306.402847</v>
      </c>
      <c r="J579">
        <v>0</v>
      </c>
      <c r="K579" t="s">
        <v>1812</v>
      </c>
      <c r="L579">
        <v>1.186118294126147</v>
      </c>
      <c r="M579">
        <v>21.49</v>
      </c>
      <c r="N579">
        <v>15.16</v>
      </c>
    </row>
    <row r="580" spans="1:14">
      <c r="A580" s="1" t="s">
        <v>592</v>
      </c>
      <c r="B580">
        <f>HYPERLINK("https://www.suredividend.com/sure-analysis-research-database/","Funko Inc")</f>
        <v>0</v>
      </c>
      <c r="C580" t="s">
        <v>1816</v>
      </c>
      <c r="D580">
        <v>7.4</v>
      </c>
      <c r="E580">
        <v>0</v>
      </c>
      <c r="F580" t="s">
        <v>1812</v>
      </c>
      <c r="G580" t="s">
        <v>1812</v>
      </c>
      <c r="H580">
        <v>0</v>
      </c>
      <c r="I580">
        <v>350.734174</v>
      </c>
      <c r="J580" t="s">
        <v>1812</v>
      </c>
      <c r="K580">
        <v>-0</v>
      </c>
      <c r="L580">
        <v>1.125507853929508</v>
      </c>
      <c r="M580">
        <v>25.24</v>
      </c>
      <c r="N580">
        <v>6.88</v>
      </c>
    </row>
    <row r="581" spans="1:14">
      <c r="A581" s="1" t="s">
        <v>593</v>
      </c>
      <c r="B581">
        <f>HYPERLINK("https://www.suredividend.com/sure-analysis-research-database/","First Bancorp Inc (ME)")</f>
        <v>0</v>
      </c>
      <c r="C581" t="s">
        <v>1815</v>
      </c>
      <c r="D581">
        <v>26.77</v>
      </c>
      <c r="E581">
        <v>0.061375375629467</v>
      </c>
      <c r="F581">
        <v>0.02941176470588247</v>
      </c>
      <c r="G581">
        <v>0.0383266700886169</v>
      </c>
      <c r="H581">
        <v>1.643018805600838</v>
      </c>
      <c r="I581">
        <v>296.575139</v>
      </c>
      <c r="J581">
        <v>7.960466482177369</v>
      </c>
      <c r="K581">
        <v>0.4875426722851152</v>
      </c>
      <c r="L581">
        <v>0.7040037193254161</v>
      </c>
      <c r="M581">
        <v>30.01</v>
      </c>
      <c r="N581">
        <v>21.87</v>
      </c>
    </row>
    <row r="582" spans="1:14">
      <c r="A582" s="1" t="s">
        <v>594</v>
      </c>
      <c r="B582">
        <f>HYPERLINK("https://www.suredividend.com/sure-analysis-research-database/","Finance of America Companies Inc")</f>
        <v>0</v>
      </c>
      <c r="C582" t="s">
        <v>1812</v>
      </c>
      <c r="D582">
        <v>2</v>
      </c>
      <c r="E582">
        <v>0</v>
      </c>
      <c r="F582" t="s">
        <v>1812</v>
      </c>
      <c r="G582" t="s">
        <v>1812</v>
      </c>
      <c r="H582">
        <v>0</v>
      </c>
      <c r="I582">
        <v>174.779618</v>
      </c>
      <c r="J582">
        <v>0</v>
      </c>
      <c r="K582" t="s">
        <v>1812</v>
      </c>
      <c r="L582">
        <v>1.049946333783414</v>
      </c>
      <c r="M582">
        <v>2.25</v>
      </c>
      <c r="N582">
        <v>1.19</v>
      </c>
    </row>
    <row r="583" spans="1:14">
      <c r="A583" s="1" t="s">
        <v>595</v>
      </c>
      <c r="B583">
        <f>HYPERLINK("https://www.suredividend.com/sure-analysis-research-database/","Focus Financial Partners Inc")</f>
        <v>0</v>
      </c>
      <c r="C583" t="s">
        <v>1815</v>
      </c>
      <c r="D583">
        <v>52.3</v>
      </c>
      <c r="E583">
        <v>0</v>
      </c>
      <c r="F583" t="s">
        <v>1812</v>
      </c>
      <c r="G583" t="s">
        <v>1812</v>
      </c>
      <c r="H583">
        <v>0</v>
      </c>
      <c r="I583">
        <v>3452.6152</v>
      </c>
      <c r="J583">
        <v>0</v>
      </c>
      <c r="K583" t="s">
        <v>1812</v>
      </c>
      <c r="L583">
        <v>1.349089549218904</v>
      </c>
      <c r="M583">
        <v>52.66</v>
      </c>
      <c r="N583">
        <v>30.27</v>
      </c>
    </row>
    <row r="584" spans="1:14">
      <c r="A584" s="1" t="s">
        <v>596</v>
      </c>
      <c r="B584">
        <f>HYPERLINK("https://www.suredividend.com/sure-analysis-research-database/","Amicus Therapeutics Inc")</f>
        <v>0</v>
      </c>
      <c r="C584" t="s">
        <v>1817</v>
      </c>
      <c r="D584">
        <v>13.4</v>
      </c>
      <c r="E584">
        <v>0</v>
      </c>
      <c r="F584" t="s">
        <v>1812</v>
      </c>
      <c r="G584" t="s">
        <v>1812</v>
      </c>
      <c r="H584">
        <v>0</v>
      </c>
      <c r="I584">
        <v>3813.314192</v>
      </c>
      <c r="J584" t="s">
        <v>1812</v>
      </c>
      <c r="K584">
        <v>-0</v>
      </c>
      <c r="L584">
        <v>0.9419187015703361</v>
      </c>
      <c r="M584">
        <v>13.85</v>
      </c>
      <c r="N584">
        <v>9.1</v>
      </c>
    </row>
    <row r="585" spans="1:14">
      <c r="A585" s="1" t="s">
        <v>597</v>
      </c>
      <c r="B585">
        <f>HYPERLINK("https://www.suredividend.com/sure-analysis-research-database/","Forestar Group Inc")</f>
        <v>0</v>
      </c>
      <c r="C585" t="s">
        <v>1814</v>
      </c>
      <c r="D585">
        <v>30.56</v>
      </c>
      <c r="E585">
        <v>0</v>
      </c>
      <c r="F585" t="s">
        <v>1812</v>
      </c>
      <c r="G585" t="s">
        <v>1812</v>
      </c>
      <c r="H585">
        <v>0</v>
      </c>
      <c r="I585">
        <v>1525.057469</v>
      </c>
      <c r="J585">
        <v>10.4959220184446</v>
      </c>
      <c r="K585">
        <v>0</v>
      </c>
      <c r="L585">
        <v>0.9867076860359971</v>
      </c>
      <c r="M585">
        <v>31.03</v>
      </c>
      <c r="N585">
        <v>10.28</v>
      </c>
    </row>
    <row r="586" spans="1:14">
      <c r="A586" s="1" t="s">
        <v>598</v>
      </c>
      <c r="B586">
        <f>HYPERLINK("https://www.suredividend.com/sure-analysis-research-database/","ForgeRock Inc")</f>
        <v>0</v>
      </c>
      <c r="C586" t="s">
        <v>1812</v>
      </c>
      <c r="D586">
        <v>20.75</v>
      </c>
      <c r="E586">
        <v>0</v>
      </c>
      <c r="F586" t="s">
        <v>1812</v>
      </c>
      <c r="G586" t="s">
        <v>1812</v>
      </c>
      <c r="H586">
        <v>0</v>
      </c>
      <c r="I586">
        <v>1074.971761</v>
      </c>
      <c r="J586">
        <v>0</v>
      </c>
      <c r="K586" t="s">
        <v>1812</v>
      </c>
      <c r="L586">
        <v>0.142785725721741</v>
      </c>
      <c r="M586">
        <v>24.19</v>
      </c>
      <c r="N586">
        <v>14.13</v>
      </c>
    </row>
    <row r="587" spans="1:14">
      <c r="A587" s="1" t="s">
        <v>599</v>
      </c>
      <c r="B587">
        <f>HYPERLINK("https://www.suredividend.com/sure-analysis-research-database/","FormFactor Inc.")</f>
        <v>0</v>
      </c>
      <c r="C587" t="s">
        <v>1818</v>
      </c>
      <c r="D587">
        <v>35.43</v>
      </c>
      <c r="E587">
        <v>0</v>
      </c>
      <c r="F587" t="s">
        <v>1812</v>
      </c>
      <c r="G587" t="s">
        <v>1812</v>
      </c>
      <c r="H587">
        <v>0</v>
      </c>
      <c r="I587">
        <v>2733.21525</v>
      </c>
      <c r="J587">
        <v>123.0734532789986</v>
      </c>
      <c r="K587">
        <v>0</v>
      </c>
      <c r="L587">
        <v>1.458340445341702</v>
      </c>
      <c r="M587">
        <v>37.74</v>
      </c>
      <c r="N587">
        <v>18.15</v>
      </c>
    </row>
    <row r="588" spans="1:14">
      <c r="A588" s="1" t="s">
        <v>600</v>
      </c>
      <c r="B588">
        <f>HYPERLINK("https://www.suredividend.com/sure-analysis-research-database/","Forrester Research Inc.")</f>
        <v>0</v>
      </c>
      <c r="C588" t="s">
        <v>1813</v>
      </c>
      <c r="D588">
        <v>32.09</v>
      </c>
      <c r="E588">
        <v>0</v>
      </c>
      <c r="F588" t="s">
        <v>1812</v>
      </c>
      <c r="G588" t="s">
        <v>1812</v>
      </c>
      <c r="H588">
        <v>0</v>
      </c>
      <c r="I588">
        <v>616.442001</v>
      </c>
      <c r="J588">
        <v>45.38334687845101</v>
      </c>
      <c r="K588">
        <v>0</v>
      </c>
      <c r="L588">
        <v>0.9321714859189191</v>
      </c>
      <c r="M588">
        <v>45.61</v>
      </c>
      <c r="N588">
        <v>22.62</v>
      </c>
    </row>
    <row r="589" spans="1:14">
      <c r="A589" s="1" t="s">
        <v>601</v>
      </c>
      <c r="B589">
        <f>HYPERLINK("https://www.suredividend.com/sure-analysis-research-database/","Fossil Group Inc")</f>
        <v>0</v>
      </c>
      <c r="C589" t="s">
        <v>1816</v>
      </c>
      <c r="D589">
        <v>2.68</v>
      </c>
      <c r="E589">
        <v>0</v>
      </c>
      <c r="F589" t="s">
        <v>1812</v>
      </c>
      <c r="G589" t="s">
        <v>1812</v>
      </c>
      <c r="H589">
        <v>0</v>
      </c>
      <c r="I589">
        <v>140.441576</v>
      </c>
      <c r="J589" t="s">
        <v>1812</v>
      </c>
      <c r="K589">
        <v>-0</v>
      </c>
      <c r="L589">
        <v>1.951926797740011</v>
      </c>
      <c r="M589">
        <v>7.18</v>
      </c>
      <c r="N589">
        <v>1.89</v>
      </c>
    </row>
    <row r="590" spans="1:14">
      <c r="A590" s="1" t="s">
        <v>602</v>
      </c>
      <c r="B590">
        <f>HYPERLINK("https://www.suredividend.com/sure-analysis-research-database/","Fox Factory Holding Corp")</f>
        <v>0</v>
      </c>
      <c r="C590" t="s">
        <v>1816</v>
      </c>
      <c r="D590">
        <v>106.29</v>
      </c>
      <c r="E590">
        <v>0</v>
      </c>
      <c r="F590" t="s">
        <v>1812</v>
      </c>
      <c r="G590" t="s">
        <v>1812</v>
      </c>
      <c r="H590">
        <v>0</v>
      </c>
      <c r="I590">
        <v>4496.384913</v>
      </c>
      <c r="J590">
        <v>22.59546678755748</v>
      </c>
      <c r="K590">
        <v>0</v>
      </c>
      <c r="L590">
        <v>1.443195430713709</v>
      </c>
      <c r="M590">
        <v>127.54</v>
      </c>
      <c r="N590">
        <v>73.05</v>
      </c>
    </row>
    <row r="591" spans="1:14">
      <c r="A591" s="1" t="s">
        <v>603</v>
      </c>
      <c r="B591">
        <f>HYPERLINK("https://www.suredividend.com/sure-analysis-research-database/","Farmland Partners Inc")</f>
        <v>0</v>
      </c>
      <c r="C591" t="s">
        <v>1814</v>
      </c>
      <c r="D591">
        <v>11.2</v>
      </c>
      <c r="E591">
        <v>0.021261890255898</v>
      </c>
      <c r="F591">
        <v>0</v>
      </c>
      <c r="G591">
        <v>0.03713728933664817</v>
      </c>
      <c r="H591">
        <v>0.23813317086606</v>
      </c>
      <c r="I591">
        <v>546.974288</v>
      </c>
      <c r="J591">
        <v>0</v>
      </c>
      <c r="K591" t="s">
        <v>1812</v>
      </c>
      <c r="L591">
        <v>0.7265090796563951</v>
      </c>
      <c r="M591">
        <v>14.77</v>
      </c>
      <c r="N591">
        <v>9.34</v>
      </c>
    </row>
    <row r="592" spans="1:14">
      <c r="A592" s="1" t="s">
        <v>604</v>
      </c>
      <c r="B592">
        <f>HYPERLINK("https://www.suredividend.com/sure-analysis-research-database/","First Bank (NJ)")</f>
        <v>0</v>
      </c>
      <c r="C592" t="s">
        <v>1815</v>
      </c>
      <c r="D592">
        <v>12.54</v>
      </c>
      <c r="E592">
        <v>0.018858961046934</v>
      </c>
      <c r="F592">
        <v>0</v>
      </c>
      <c r="G592">
        <v>0.1486983549970351</v>
      </c>
      <c r="H592">
        <v>0.236491371528563</v>
      </c>
      <c r="I592">
        <v>245.399448</v>
      </c>
      <c r="J592">
        <v>0</v>
      </c>
      <c r="K592" t="s">
        <v>1812</v>
      </c>
      <c r="L592">
        <v>0.8008520758966541</v>
      </c>
      <c r="M592">
        <v>16.35</v>
      </c>
      <c r="N592">
        <v>8.48</v>
      </c>
    </row>
    <row r="593" spans="1:14">
      <c r="A593" s="1" t="s">
        <v>605</v>
      </c>
      <c r="B593">
        <f>HYPERLINK("https://www.suredividend.com/sure-analysis-research-database/","Republic First Bancorp, Inc.")</f>
        <v>0</v>
      </c>
      <c r="C593" t="s">
        <v>1815</v>
      </c>
      <c r="D593">
        <v>0.985</v>
      </c>
      <c r="E593">
        <v>0</v>
      </c>
      <c r="F593" t="s">
        <v>1812</v>
      </c>
      <c r="G593" t="s">
        <v>1812</v>
      </c>
      <c r="H593">
        <v>0</v>
      </c>
      <c r="I593">
        <v>62.905638</v>
      </c>
      <c r="J593">
        <v>4.13336212103292</v>
      </c>
      <c r="K593">
        <v>0</v>
      </c>
      <c r="L593">
        <v>1.228603804676209</v>
      </c>
      <c r="M593">
        <v>3.65</v>
      </c>
      <c r="N593">
        <v>0.6241</v>
      </c>
    </row>
    <row r="594" spans="1:14">
      <c r="A594" s="1" t="s">
        <v>606</v>
      </c>
      <c r="B594">
        <f>HYPERLINK("https://www.suredividend.com/sure-analysis-research-database/","Whole Earth Brands Inc")</f>
        <v>0</v>
      </c>
      <c r="C594" t="s">
        <v>1812</v>
      </c>
      <c r="D594">
        <v>4</v>
      </c>
      <c r="E594">
        <v>0</v>
      </c>
      <c r="F594" t="s">
        <v>1812</v>
      </c>
      <c r="G594" t="s">
        <v>1812</v>
      </c>
      <c r="H594">
        <v>0</v>
      </c>
      <c r="I594">
        <v>168.983896</v>
      </c>
      <c r="J594">
        <v>0</v>
      </c>
      <c r="K594" t="s">
        <v>1812</v>
      </c>
      <c r="L594">
        <v>1.088215293263019</v>
      </c>
      <c r="M594">
        <v>6.74</v>
      </c>
      <c r="N594">
        <v>2.09</v>
      </c>
    </row>
    <row r="595" spans="1:14">
      <c r="A595" s="1" t="s">
        <v>607</v>
      </c>
      <c r="B595">
        <f>HYPERLINK("https://www.suredividend.com/sure-analysis-research-database/","Franchise Group Inc")</f>
        <v>0</v>
      </c>
      <c r="C595" t="s">
        <v>1816</v>
      </c>
      <c r="D595">
        <v>29.74</v>
      </c>
      <c r="E595">
        <v>0.06154426846060401</v>
      </c>
      <c r="F595" t="s">
        <v>1812</v>
      </c>
      <c r="G595" t="s">
        <v>1812</v>
      </c>
      <c r="H595">
        <v>1.830326544018384</v>
      </c>
      <c r="I595">
        <v>1046.033808</v>
      </c>
      <c r="J595">
        <v>0</v>
      </c>
      <c r="K595" t="s">
        <v>1812</v>
      </c>
      <c r="L595">
        <v>1.169022381911663</v>
      </c>
      <c r="M595">
        <v>35.52</v>
      </c>
      <c r="N595">
        <v>21.57</v>
      </c>
    </row>
    <row r="596" spans="1:14">
      <c r="A596" s="1" t="s">
        <v>608</v>
      </c>
      <c r="B596">
        <f>HYPERLINK("https://www.suredividend.com/sure-analysis-research-database/","First Merchants Corp.")</f>
        <v>0</v>
      </c>
      <c r="C596" t="s">
        <v>1815</v>
      </c>
      <c r="D596">
        <v>32.32</v>
      </c>
      <c r="E596">
        <v>0.039243843436518</v>
      </c>
      <c r="F596">
        <v>0.0625</v>
      </c>
      <c r="G596">
        <v>0.09096607850144967</v>
      </c>
      <c r="H596">
        <v>1.268361019868275</v>
      </c>
      <c r="I596">
        <v>1928.89299</v>
      </c>
      <c r="J596">
        <v>8.183435326061593</v>
      </c>
      <c r="K596">
        <v>0.31948640298949</v>
      </c>
      <c r="L596">
        <v>0.9116401556561661</v>
      </c>
      <c r="M596">
        <v>43.23</v>
      </c>
      <c r="N596">
        <v>23.89</v>
      </c>
    </row>
    <row r="597" spans="1:14">
      <c r="A597" s="1" t="s">
        <v>609</v>
      </c>
      <c r="B597">
        <f>HYPERLINK("https://www.suredividend.com/sure-analysis-research-database/","Frontline Plc")</f>
        <v>0</v>
      </c>
      <c r="C597" t="s">
        <v>1822</v>
      </c>
      <c r="D597">
        <v>17.21</v>
      </c>
      <c r="E597">
        <v>0.108051102878455</v>
      </c>
      <c r="F597" t="s">
        <v>1812</v>
      </c>
      <c r="G597" t="s">
        <v>1812</v>
      </c>
      <c r="H597">
        <v>1.859559480538216</v>
      </c>
      <c r="I597">
        <v>3831.33992</v>
      </c>
      <c r="J597">
        <v>5.949147022491712</v>
      </c>
      <c r="K597">
        <v>0.6325032246728626</v>
      </c>
      <c r="L597">
        <v>0.7063198961193391</v>
      </c>
      <c r="M597">
        <v>17.63</v>
      </c>
      <c r="N597">
        <v>9.08</v>
      </c>
    </row>
    <row r="598" spans="1:14">
      <c r="A598" s="1" t="s">
        <v>610</v>
      </c>
      <c r="B598">
        <f>HYPERLINK("https://www.suredividend.com/sure-analysis-research-database/","FRP Holdings Inc")</f>
        <v>0</v>
      </c>
      <c r="C598" t="s">
        <v>1814</v>
      </c>
      <c r="D598">
        <v>56.32</v>
      </c>
      <c r="E598">
        <v>0</v>
      </c>
      <c r="F598" t="s">
        <v>1812</v>
      </c>
      <c r="G598" t="s">
        <v>1812</v>
      </c>
      <c r="H598">
        <v>0</v>
      </c>
      <c r="I598">
        <v>535.829212</v>
      </c>
      <c r="J598">
        <v>120.1949780529385</v>
      </c>
      <c r="K598">
        <v>0</v>
      </c>
      <c r="L598">
        <v>0.686774211159344</v>
      </c>
      <c r="M598">
        <v>61.81</v>
      </c>
      <c r="N598">
        <v>52.45</v>
      </c>
    </row>
    <row r="599" spans="1:14">
      <c r="A599" s="1" t="s">
        <v>611</v>
      </c>
      <c r="B599">
        <f>HYPERLINK("https://www.suredividend.com/sure-analysis-research-database/","Primis Financial Corp")</f>
        <v>0</v>
      </c>
      <c r="C599" t="s">
        <v>1812</v>
      </c>
      <c r="D599">
        <v>9.69</v>
      </c>
      <c r="E599">
        <v>0.040052008372672</v>
      </c>
      <c r="F599">
        <v>0</v>
      </c>
      <c r="G599">
        <v>0.04563955259127317</v>
      </c>
      <c r="H599">
        <v>0.3881039611311931</v>
      </c>
      <c r="I599">
        <v>239.19827</v>
      </c>
      <c r="J599">
        <v>0</v>
      </c>
      <c r="K599" t="s">
        <v>1812</v>
      </c>
      <c r="L599">
        <v>0.7872036299458021</v>
      </c>
      <c r="M599">
        <v>13.69</v>
      </c>
      <c r="N599">
        <v>6.82</v>
      </c>
    </row>
    <row r="600" spans="1:14">
      <c r="A600" s="1" t="s">
        <v>612</v>
      </c>
      <c r="B600">
        <f>HYPERLINK("https://www.suredividend.com/sure-analysis-research-database/","Five Star Bancorp")</f>
        <v>0</v>
      </c>
      <c r="C600" t="s">
        <v>1815</v>
      </c>
      <c r="D600">
        <v>24.27</v>
      </c>
      <c r="E600">
        <v>0.026323797998015</v>
      </c>
      <c r="F600" t="s">
        <v>1812</v>
      </c>
      <c r="G600" t="s">
        <v>1812</v>
      </c>
      <c r="H600">
        <v>0.6388785774118341</v>
      </c>
      <c r="I600">
        <v>418.869547</v>
      </c>
      <c r="J600">
        <v>0</v>
      </c>
      <c r="K600" t="s">
        <v>1812</v>
      </c>
      <c r="L600">
        <v>0.6724256972293301</v>
      </c>
      <c r="M600">
        <v>30.58</v>
      </c>
      <c r="N600">
        <v>17.74</v>
      </c>
    </row>
    <row r="601" spans="1:14">
      <c r="A601" s="1" t="s">
        <v>613</v>
      </c>
      <c r="B601">
        <f>HYPERLINK("https://www.suredividend.com/sure-analysis-research-database/","Fastly Inc")</f>
        <v>0</v>
      </c>
      <c r="C601" t="s">
        <v>1818</v>
      </c>
      <c r="D601">
        <v>20.24</v>
      </c>
      <c r="E601">
        <v>0</v>
      </c>
      <c r="F601" t="s">
        <v>1812</v>
      </c>
      <c r="G601" t="s">
        <v>1812</v>
      </c>
      <c r="H601">
        <v>0</v>
      </c>
      <c r="I601">
        <v>2615.008</v>
      </c>
      <c r="J601" t="s">
        <v>1812</v>
      </c>
      <c r="K601">
        <v>-0</v>
      </c>
      <c r="L601">
        <v>2.217851967035125</v>
      </c>
      <c r="M601">
        <v>20.58</v>
      </c>
      <c r="N601">
        <v>7.15</v>
      </c>
    </row>
    <row r="602" spans="1:14">
      <c r="A602" s="1" t="s">
        <v>614</v>
      </c>
      <c r="B602">
        <f>HYPERLINK("https://www.suredividend.com/sure-analysis-research-database/","Franklin Street Properties Corp.")</f>
        <v>0</v>
      </c>
      <c r="C602" t="s">
        <v>1814</v>
      </c>
      <c r="D602">
        <v>1.79</v>
      </c>
      <c r="E602">
        <v>0.022143070128741</v>
      </c>
      <c r="F602">
        <v>0</v>
      </c>
      <c r="G602">
        <v>-0.3556059850227458</v>
      </c>
      <c r="H602">
        <v>0.039636095530446</v>
      </c>
      <c r="I602">
        <v>185.140332</v>
      </c>
      <c r="J602">
        <v>22.17780688428366</v>
      </c>
      <c r="K602">
        <v>0.4905457367629455</v>
      </c>
      <c r="L602">
        <v>1.101250562711958</v>
      </c>
      <c r="M602">
        <v>3.36</v>
      </c>
      <c r="N602">
        <v>1.12</v>
      </c>
    </row>
    <row r="603" spans="1:14">
      <c r="A603" s="1" t="s">
        <v>615</v>
      </c>
      <c r="B603">
        <f>HYPERLINK("https://www.suredividend.com/sure-analysis-research-database/","Fisker Inc")</f>
        <v>0</v>
      </c>
      <c r="C603" t="s">
        <v>1812</v>
      </c>
      <c r="D603">
        <v>6.35</v>
      </c>
      <c r="E603">
        <v>0</v>
      </c>
      <c r="F603" t="s">
        <v>1812</v>
      </c>
      <c r="G603" t="s">
        <v>1812</v>
      </c>
      <c r="H603">
        <v>0</v>
      </c>
      <c r="I603">
        <v>1256.654046</v>
      </c>
      <c r="J603">
        <v>0</v>
      </c>
      <c r="K603" t="s">
        <v>1812</v>
      </c>
      <c r="L603">
        <v>1.753193099684686</v>
      </c>
      <c r="M603">
        <v>10.95</v>
      </c>
      <c r="N603">
        <v>4.26</v>
      </c>
    </row>
    <row r="604" spans="1:14">
      <c r="A604" s="1" t="s">
        <v>616</v>
      </c>
      <c r="B604">
        <f>HYPERLINK("https://www.suredividend.com/sure-analysis-research-database/","Federal Signal Corp.")</f>
        <v>0</v>
      </c>
      <c r="C604" t="s">
        <v>1813</v>
      </c>
      <c r="D604">
        <v>60.47</v>
      </c>
      <c r="E604">
        <v>0.006102426772131001</v>
      </c>
      <c r="F604">
        <v>0.1111111111111112</v>
      </c>
      <c r="G604">
        <v>0.04563955259127317</v>
      </c>
      <c r="H604">
        <v>0.369013746910789</v>
      </c>
      <c r="I604">
        <v>3688.227601</v>
      </c>
      <c r="J604">
        <v>27.50356153228934</v>
      </c>
      <c r="K604">
        <v>0.1684994278131457</v>
      </c>
      <c r="L604">
        <v>0.8623970859215211</v>
      </c>
      <c r="M604">
        <v>65.33</v>
      </c>
      <c r="N604">
        <v>36.93</v>
      </c>
    </row>
    <row r="605" spans="1:14">
      <c r="A605" s="1" t="s">
        <v>617</v>
      </c>
      <c r="B605">
        <f>HYPERLINK("https://www.suredividend.com/sure-analysis-research-database/","FTC Solar Inc")</f>
        <v>0</v>
      </c>
      <c r="C605" t="s">
        <v>1812</v>
      </c>
      <c r="D605">
        <v>3.505</v>
      </c>
      <c r="E605">
        <v>0</v>
      </c>
      <c r="F605" t="s">
        <v>1812</v>
      </c>
      <c r="G605" t="s">
        <v>1812</v>
      </c>
      <c r="H605">
        <v>0</v>
      </c>
      <c r="I605">
        <v>391.490053</v>
      </c>
      <c r="J605">
        <v>0</v>
      </c>
      <c r="K605" t="s">
        <v>1812</v>
      </c>
      <c r="L605">
        <v>1.715275118214661</v>
      </c>
      <c r="M605">
        <v>5.66</v>
      </c>
      <c r="N605">
        <v>1.78</v>
      </c>
    </row>
    <row r="606" spans="1:14">
      <c r="A606" s="1" t="s">
        <v>618</v>
      </c>
      <c r="B606">
        <f>HYPERLINK("https://www.suredividend.com/sure-analysis-research-database/","Frontdoor Inc.")</f>
        <v>0</v>
      </c>
      <c r="C606" t="s">
        <v>1816</v>
      </c>
      <c r="D606">
        <v>36.9</v>
      </c>
      <c r="E606">
        <v>0</v>
      </c>
      <c r="F606" t="s">
        <v>1812</v>
      </c>
      <c r="G606" t="s">
        <v>1812</v>
      </c>
      <c r="H606">
        <v>0</v>
      </c>
      <c r="I606">
        <v>2964.469949</v>
      </c>
      <c r="J606">
        <v>32.57659284725275</v>
      </c>
      <c r="K606">
        <v>0</v>
      </c>
      <c r="L606">
        <v>0.9339541013434791</v>
      </c>
      <c r="M606">
        <v>38.97</v>
      </c>
      <c r="N606">
        <v>19.06</v>
      </c>
    </row>
    <row r="607" spans="1:14">
      <c r="A607" s="1" t="s">
        <v>619</v>
      </c>
      <c r="B607">
        <f>HYPERLINK("https://www.suredividend.com/sure-analysis-research-database/","fuboTV Inc")</f>
        <v>0</v>
      </c>
      <c r="C607" t="s">
        <v>1812</v>
      </c>
      <c r="D607">
        <v>3.21</v>
      </c>
      <c r="E607">
        <v>0</v>
      </c>
      <c r="F607" t="s">
        <v>1812</v>
      </c>
      <c r="G607" t="s">
        <v>1812</v>
      </c>
      <c r="H607">
        <v>0</v>
      </c>
      <c r="I607">
        <v>936.838612</v>
      </c>
      <c r="J607">
        <v>0</v>
      </c>
      <c r="K607" t="s">
        <v>1812</v>
      </c>
      <c r="L607">
        <v>2.859517351852203</v>
      </c>
      <c r="M607">
        <v>8.140000000000001</v>
      </c>
      <c r="N607">
        <v>0.96</v>
      </c>
    </row>
    <row r="608" spans="1:14">
      <c r="A608" s="1" t="s">
        <v>620</v>
      </c>
      <c r="B608">
        <f>HYPERLINK("https://www.suredividend.com/sure-analysis-FUL/","H.B. Fuller Company")</f>
        <v>0</v>
      </c>
      <c r="C608" t="s">
        <v>1823</v>
      </c>
      <c r="D608">
        <v>72.11</v>
      </c>
      <c r="E608">
        <v>0.01137151573984191</v>
      </c>
      <c r="F608" t="s">
        <v>1812</v>
      </c>
      <c r="G608" t="s">
        <v>1812</v>
      </c>
      <c r="H608">
        <v>0.7867199173647631</v>
      </c>
      <c r="I608">
        <v>3884.540966</v>
      </c>
      <c r="J608">
        <v>24.72749415171808</v>
      </c>
      <c r="K608">
        <v>0.2779929036624604</v>
      </c>
      <c r="L608">
        <v>1.180486454743626</v>
      </c>
      <c r="M608">
        <v>80.73</v>
      </c>
      <c r="N608">
        <v>58.26</v>
      </c>
    </row>
    <row r="609" spans="1:14">
      <c r="A609" s="1" t="s">
        <v>621</v>
      </c>
      <c r="B609">
        <f>HYPERLINK("https://www.suredividend.com/sure-analysis-research-database/","Fulcrum Therapeutics Inc")</f>
        <v>0</v>
      </c>
      <c r="C609" t="s">
        <v>1817</v>
      </c>
      <c r="D609">
        <v>3.85</v>
      </c>
      <c r="E609">
        <v>0</v>
      </c>
      <c r="F609" t="s">
        <v>1812</v>
      </c>
      <c r="G609" t="s">
        <v>1812</v>
      </c>
      <c r="H609">
        <v>0</v>
      </c>
      <c r="I609">
        <v>237.772127</v>
      </c>
      <c r="J609">
        <v>0</v>
      </c>
      <c r="K609" t="s">
        <v>1812</v>
      </c>
      <c r="L609">
        <v>1.105124312749586</v>
      </c>
      <c r="M609">
        <v>15</v>
      </c>
      <c r="N609">
        <v>2.25</v>
      </c>
    </row>
    <row r="610" spans="1:14">
      <c r="A610" s="1" t="s">
        <v>622</v>
      </c>
      <c r="B610">
        <f>HYPERLINK("https://www.suredividend.com/sure-analysis-FULT/","Fulton Financial Corp.")</f>
        <v>0</v>
      </c>
      <c r="C610" t="s">
        <v>1815</v>
      </c>
      <c r="D610">
        <v>14.69</v>
      </c>
      <c r="E610">
        <v>0.04356705241660994</v>
      </c>
      <c r="F610">
        <v>0.06666666666666665</v>
      </c>
      <c r="G610">
        <v>0.0424022162772979</v>
      </c>
      <c r="H610">
        <v>0.5935097330596381</v>
      </c>
      <c r="I610">
        <v>2429.66724</v>
      </c>
      <c r="J610">
        <v>8.653924682735013</v>
      </c>
      <c r="K610">
        <v>0.3532796030116893</v>
      </c>
      <c r="L610">
        <v>0.994996026936067</v>
      </c>
      <c r="M610">
        <v>18</v>
      </c>
      <c r="N610">
        <v>9.390000000000001</v>
      </c>
    </row>
    <row r="611" spans="1:14">
      <c r="A611" s="1" t="s">
        <v>623</v>
      </c>
      <c r="B611">
        <f>HYPERLINK("https://www.suredividend.com/sure-analysis-research-database/","FVCBankcorp Inc")</f>
        <v>0</v>
      </c>
      <c r="C611" t="s">
        <v>1815</v>
      </c>
      <c r="D611">
        <v>14.42</v>
      </c>
      <c r="E611">
        <v>0</v>
      </c>
      <c r="F611" t="s">
        <v>1812</v>
      </c>
      <c r="G611" t="s">
        <v>1812</v>
      </c>
      <c r="H611">
        <v>0</v>
      </c>
      <c r="I611">
        <v>255.312661</v>
      </c>
      <c r="J611">
        <v>0</v>
      </c>
      <c r="K611" t="s">
        <v>1812</v>
      </c>
      <c r="L611">
        <v>0.401210815197814</v>
      </c>
      <c r="M611">
        <v>16.74</v>
      </c>
      <c r="N611">
        <v>8.300000000000001</v>
      </c>
    </row>
    <row r="612" spans="1:14">
      <c r="A612" s="1" t="s">
        <v>624</v>
      </c>
      <c r="B612">
        <f>HYPERLINK("https://www.suredividend.com/sure-analysis-research-database/","Forward Air Corp.")</f>
        <v>0</v>
      </c>
      <c r="C612" t="s">
        <v>1813</v>
      </c>
      <c r="D612">
        <v>112.16</v>
      </c>
      <c r="E612">
        <v>0.008513280668258001</v>
      </c>
      <c r="F612">
        <v>0</v>
      </c>
      <c r="G612">
        <v>0.09856054330611785</v>
      </c>
      <c r="H612">
        <v>0.9548495597518811</v>
      </c>
      <c r="I612">
        <v>2911.520502</v>
      </c>
      <c r="J612">
        <v>15.57495881799118</v>
      </c>
      <c r="K612">
        <v>0.1367979311965446</v>
      </c>
      <c r="L612">
        <v>0.9900264362378761</v>
      </c>
      <c r="M612">
        <v>121.38</v>
      </c>
      <c r="N612">
        <v>87.37</v>
      </c>
    </row>
    <row r="613" spans="1:14">
      <c r="A613" s="1" t="s">
        <v>625</v>
      </c>
      <c r="B613">
        <f>HYPERLINK("https://www.suredividend.com/sure-analysis-research-database/","First Watch Restaurant Group Inc")</f>
        <v>0</v>
      </c>
      <c r="C613" t="s">
        <v>1812</v>
      </c>
      <c r="D613">
        <v>19.35</v>
      </c>
      <c r="E613">
        <v>0</v>
      </c>
      <c r="F613" t="s">
        <v>1812</v>
      </c>
      <c r="G613" t="s">
        <v>1812</v>
      </c>
      <c r="H613">
        <v>0</v>
      </c>
      <c r="I613">
        <v>1151.325</v>
      </c>
      <c r="J613">
        <v>68.21049825226613</v>
      </c>
      <c r="K613">
        <v>0</v>
      </c>
      <c r="L613">
        <v>0.9324021754857781</v>
      </c>
      <c r="M613">
        <v>20.31</v>
      </c>
      <c r="N613">
        <v>12.75</v>
      </c>
    </row>
    <row r="614" spans="1:14">
      <c r="A614" s="1" t="s">
        <v>626</v>
      </c>
      <c r="B614">
        <f>HYPERLINK("https://www.suredividend.com/sure-analysis-research-database/","F45 Training Holdings Inc")</f>
        <v>0</v>
      </c>
      <c r="C614" t="s">
        <v>1812</v>
      </c>
      <c r="D614">
        <v>0.76</v>
      </c>
      <c r="E614">
        <v>0</v>
      </c>
      <c r="F614" t="s">
        <v>1812</v>
      </c>
      <c r="G614" t="s">
        <v>1812</v>
      </c>
      <c r="H614">
        <v>0</v>
      </c>
      <c r="I614">
        <v>73.12607800000001</v>
      </c>
      <c r="J614">
        <v>0</v>
      </c>
      <c r="K614" t="s">
        <v>1812</v>
      </c>
      <c r="L614">
        <v>1.431192566553569</v>
      </c>
      <c r="M614">
        <v>3.73</v>
      </c>
      <c r="N614">
        <v>0.461</v>
      </c>
    </row>
    <row r="615" spans="1:14">
      <c r="A615" s="1" t="s">
        <v>627</v>
      </c>
      <c r="B615">
        <f>HYPERLINK("https://www.suredividend.com/sure-analysis-research-database/","German American Bancorp Inc")</f>
        <v>0</v>
      </c>
      <c r="C615" t="s">
        <v>1815</v>
      </c>
      <c r="D615">
        <v>30.47</v>
      </c>
      <c r="E615">
        <v>0.030948683284878</v>
      </c>
      <c r="F615">
        <v>0.08695652173913038</v>
      </c>
      <c r="G615">
        <v>0.1075663432482901</v>
      </c>
      <c r="H615">
        <v>0.943006379690261</v>
      </c>
      <c r="I615">
        <v>901.096684</v>
      </c>
      <c r="J615">
        <v>9.630702546251269</v>
      </c>
      <c r="K615">
        <v>0.2974783532145934</v>
      </c>
      <c r="L615">
        <v>0.7358366053998761</v>
      </c>
      <c r="M615">
        <v>39.84</v>
      </c>
      <c r="N615">
        <v>25.56</v>
      </c>
    </row>
    <row r="616" spans="1:14">
      <c r="A616" s="1" t="s">
        <v>628</v>
      </c>
      <c r="B616">
        <f>HYPERLINK("https://www.suredividend.com/sure-analysis-research-database/","Gambling.com Group Ltd")</f>
        <v>0</v>
      </c>
      <c r="C616" t="s">
        <v>1812</v>
      </c>
      <c r="D616">
        <v>12.24</v>
      </c>
      <c r="E616">
        <v>0</v>
      </c>
      <c r="F616" t="s">
        <v>1812</v>
      </c>
      <c r="G616" t="s">
        <v>1812</v>
      </c>
      <c r="H616">
        <v>0</v>
      </c>
      <c r="I616">
        <v>517.954462</v>
      </c>
      <c r="J616">
        <v>0</v>
      </c>
      <c r="K616" t="s">
        <v>1812</v>
      </c>
      <c r="L616">
        <v>0.6407711239828661</v>
      </c>
      <c r="M616">
        <v>12.3</v>
      </c>
      <c r="N616">
        <v>6.62</v>
      </c>
    </row>
    <row r="617" spans="1:14">
      <c r="A617" s="1" t="s">
        <v>629</v>
      </c>
      <c r="B617">
        <f>HYPERLINK("https://www.suredividend.com/sure-analysis-GATX/","GATX Corp.")</f>
        <v>0</v>
      </c>
      <c r="C617" t="s">
        <v>1813</v>
      </c>
      <c r="D617">
        <v>121.72</v>
      </c>
      <c r="E617">
        <v>0.01807426881367072</v>
      </c>
      <c r="F617">
        <v>0.05769230769230771</v>
      </c>
      <c r="G617">
        <v>0.04563955259127317</v>
      </c>
      <c r="H617">
        <v>2.125499327745988</v>
      </c>
      <c r="I617">
        <v>4308.888</v>
      </c>
      <c r="J617">
        <v>19.74742438130156</v>
      </c>
      <c r="K617">
        <v>0.348442512745244</v>
      </c>
      <c r="L617">
        <v>0.888419897247103</v>
      </c>
      <c r="M617">
        <v>133.01</v>
      </c>
      <c r="N617">
        <v>83.78</v>
      </c>
    </row>
    <row r="618" spans="1:14">
      <c r="A618" s="1" t="s">
        <v>630</v>
      </c>
      <c r="B618">
        <f>HYPERLINK("https://www.suredividend.com/sure-analysis-research-database/","Glacier Bancorp, Inc.")</f>
        <v>0</v>
      </c>
      <c r="C618" t="s">
        <v>1815</v>
      </c>
      <c r="D618">
        <v>33.32</v>
      </c>
      <c r="E618">
        <v>0.028960951794494</v>
      </c>
      <c r="F618">
        <v>0</v>
      </c>
      <c r="G618">
        <v>0.02617915477537269</v>
      </c>
      <c r="H618">
        <v>0.9649789137925421</v>
      </c>
      <c r="I618">
        <v>3694.36403</v>
      </c>
      <c r="J618">
        <v>13.42521478488704</v>
      </c>
      <c r="K618">
        <v>0.3891044007227992</v>
      </c>
      <c r="L618">
        <v>1.156246791102043</v>
      </c>
      <c r="M618">
        <v>57.43</v>
      </c>
      <c r="N618">
        <v>26.48</v>
      </c>
    </row>
    <row r="619" spans="1:14">
      <c r="A619" s="1" t="s">
        <v>631</v>
      </c>
      <c r="B619">
        <f>HYPERLINK("https://www.suredividend.com/sure-analysis-research-database/","Generation Bio Co")</f>
        <v>0</v>
      </c>
      <c r="C619" t="s">
        <v>1812</v>
      </c>
      <c r="D619">
        <v>4.49</v>
      </c>
      <c r="E619">
        <v>0</v>
      </c>
      <c r="F619" t="s">
        <v>1812</v>
      </c>
      <c r="G619" t="s">
        <v>1812</v>
      </c>
      <c r="H619">
        <v>0</v>
      </c>
      <c r="I619">
        <v>296.018978</v>
      </c>
      <c r="J619">
        <v>0</v>
      </c>
      <c r="K619" t="s">
        <v>1812</v>
      </c>
      <c r="L619">
        <v>1.740054987479872</v>
      </c>
      <c r="M619">
        <v>8.720000000000001</v>
      </c>
      <c r="N619">
        <v>3.15</v>
      </c>
    </row>
    <row r="620" spans="1:14">
      <c r="A620" s="1" t="s">
        <v>632</v>
      </c>
      <c r="B620">
        <f>HYPERLINK("https://www.suredividend.com/sure-analysis-research-database/","Greenbrier Cos., Inc.")</f>
        <v>0</v>
      </c>
      <c r="C620" t="s">
        <v>1813</v>
      </c>
      <c r="D620">
        <v>47.21</v>
      </c>
      <c r="E620">
        <v>0.023234544125941</v>
      </c>
      <c r="F620">
        <v>0.1111111111111112</v>
      </c>
      <c r="G620">
        <v>0.03713728933664817</v>
      </c>
      <c r="H620">
        <v>1.096902828185711</v>
      </c>
      <c r="I620">
        <v>1457.8448</v>
      </c>
      <c r="J620">
        <v>25.17866666666667</v>
      </c>
      <c r="K620">
        <v>0.6340478775639947</v>
      </c>
      <c r="L620">
        <v>1.054541449635239</v>
      </c>
      <c r="M620">
        <v>48.21</v>
      </c>
      <c r="N620">
        <v>23.02</v>
      </c>
    </row>
    <row r="621" spans="1:14">
      <c r="A621" s="1" t="s">
        <v>633</v>
      </c>
      <c r="B621">
        <f>HYPERLINK("https://www.suredividend.com/sure-analysis-research-database/","Greene County Bancorp Inc")</f>
        <v>0</v>
      </c>
      <c r="C621" t="s">
        <v>1815</v>
      </c>
      <c r="D621">
        <v>34.04</v>
      </c>
      <c r="E621">
        <v>0.003589046804998</v>
      </c>
      <c r="F621">
        <v>-0.4615384615384615</v>
      </c>
      <c r="G621">
        <v>-0.06885008490516231</v>
      </c>
      <c r="H621">
        <v>0.122171153242155</v>
      </c>
      <c r="I621">
        <v>579.593225</v>
      </c>
      <c r="J621">
        <v>0</v>
      </c>
      <c r="K621" t="s">
        <v>1812</v>
      </c>
      <c r="L621">
        <v>0.426334514553769</v>
      </c>
      <c r="M621">
        <v>34.5</v>
      </c>
      <c r="N621">
        <v>5.71</v>
      </c>
    </row>
    <row r="622" spans="1:14">
      <c r="A622" s="1" t="s">
        <v>634</v>
      </c>
      <c r="B622">
        <f>HYPERLINK("https://www.suredividend.com/sure-analysis-research-database/","Gannett Co Inc.")</f>
        <v>0</v>
      </c>
      <c r="C622" t="s">
        <v>1821</v>
      </c>
      <c r="D622">
        <v>3.11</v>
      </c>
      <c r="E622">
        <v>0</v>
      </c>
      <c r="F622" t="s">
        <v>1812</v>
      </c>
      <c r="G622" t="s">
        <v>1812</v>
      </c>
      <c r="H622">
        <v>0</v>
      </c>
      <c r="I622">
        <v>463.411263</v>
      </c>
      <c r="J622" t="s">
        <v>1812</v>
      </c>
      <c r="K622">
        <v>-0</v>
      </c>
      <c r="L622">
        <v>1.559363583902033</v>
      </c>
      <c r="M622">
        <v>3.25</v>
      </c>
      <c r="N622">
        <v>1.25</v>
      </c>
    </row>
    <row r="623" spans="1:14">
      <c r="A623" s="1" t="s">
        <v>635</v>
      </c>
      <c r="B623">
        <f>HYPERLINK("https://www.suredividend.com/sure-analysis-research-database/","GCM Grosvenor Inc")</f>
        <v>0</v>
      </c>
      <c r="C623" t="s">
        <v>1812</v>
      </c>
      <c r="D623">
        <v>8.050000000000001</v>
      </c>
      <c r="E623">
        <v>0.051694620998613</v>
      </c>
      <c r="F623" t="s">
        <v>1812</v>
      </c>
      <c r="G623" t="s">
        <v>1812</v>
      </c>
      <c r="H623">
        <v>0.416141699038842</v>
      </c>
      <c r="I623">
        <v>337.072401</v>
      </c>
      <c r="J623">
        <v>0</v>
      </c>
      <c r="K623" t="s">
        <v>1812</v>
      </c>
      <c r="L623">
        <v>0.8119157018070671</v>
      </c>
      <c r="M623">
        <v>9.06</v>
      </c>
      <c r="N623">
        <v>6.48</v>
      </c>
    </row>
    <row r="624" spans="1:14">
      <c r="A624" s="1" t="s">
        <v>636</v>
      </c>
      <c r="B624">
        <f>HYPERLINK("https://www.suredividend.com/sure-analysis-research-database/","Genesco Inc.")</f>
        <v>0</v>
      </c>
      <c r="C624" t="s">
        <v>1816</v>
      </c>
      <c r="D624">
        <v>28.7</v>
      </c>
      <c r="E624">
        <v>0</v>
      </c>
      <c r="F624" t="s">
        <v>1812</v>
      </c>
      <c r="G624" t="s">
        <v>1812</v>
      </c>
      <c r="H624">
        <v>0</v>
      </c>
      <c r="I624">
        <v>360.562577</v>
      </c>
      <c r="J624">
        <v>7.499533616206997</v>
      </c>
      <c r="K624">
        <v>0</v>
      </c>
      <c r="L624">
        <v>1.307426530804045</v>
      </c>
      <c r="M624">
        <v>66.42</v>
      </c>
      <c r="N624">
        <v>17.31</v>
      </c>
    </row>
    <row r="625" spans="1:14">
      <c r="A625" s="1" t="s">
        <v>637</v>
      </c>
      <c r="B625">
        <f>HYPERLINK("https://www.suredividend.com/sure-analysis-research-database/","Golden Entertainment Inc")</f>
        <v>0</v>
      </c>
      <c r="C625" t="s">
        <v>1816</v>
      </c>
      <c r="D625">
        <v>42.11</v>
      </c>
      <c r="E625">
        <v>0</v>
      </c>
      <c r="F625" t="s">
        <v>1812</v>
      </c>
      <c r="G625" t="s">
        <v>1812</v>
      </c>
      <c r="H625">
        <v>0</v>
      </c>
      <c r="I625">
        <v>1214.333355</v>
      </c>
      <c r="J625">
        <v>20.96932058418235</v>
      </c>
      <c r="K625">
        <v>0</v>
      </c>
      <c r="L625">
        <v>1.152979779413202</v>
      </c>
      <c r="M625">
        <v>47.5</v>
      </c>
      <c r="N625">
        <v>32.53</v>
      </c>
    </row>
    <row r="626" spans="1:14">
      <c r="A626" s="1" t="s">
        <v>638</v>
      </c>
      <c r="B626">
        <f>HYPERLINK("https://www.suredividend.com/sure-analysis-research-database/","Green Dot Corp.")</f>
        <v>0</v>
      </c>
      <c r="C626" t="s">
        <v>1815</v>
      </c>
      <c r="D626">
        <v>19.17</v>
      </c>
      <c r="E626">
        <v>0</v>
      </c>
      <c r="F626" t="s">
        <v>1812</v>
      </c>
      <c r="G626" t="s">
        <v>1812</v>
      </c>
      <c r="H626">
        <v>0</v>
      </c>
      <c r="I626">
        <v>997.600896</v>
      </c>
      <c r="J626">
        <v>16.1914027176083</v>
      </c>
      <c r="K626">
        <v>0</v>
      </c>
      <c r="L626">
        <v>1.308728165043857</v>
      </c>
      <c r="M626">
        <v>26.08</v>
      </c>
      <c r="N626">
        <v>14.96</v>
      </c>
    </row>
    <row r="627" spans="1:14">
      <c r="A627" s="1" t="s">
        <v>639</v>
      </c>
      <c r="B627">
        <f>HYPERLINK("https://www.suredividend.com/sure-analysis-research-database/","Grid Dynamics Holdings Inc")</f>
        <v>0</v>
      </c>
      <c r="C627" t="s">
        <v>1818</v>
      </c>
      <c r="D627">
        <v>9.880000000000001</v>
      </c>
      <c r="E627">
        <v>0</v>
      </c>
      <c r="F627" t="s">
        <v>1812</v>
      </c>
      <c r="G627" t="s">
        <v>1812</v>
      </c>
      <c r="H627">
        <v>0</v>
      </c>
      <c r="I627">
        <v>739.97991</v>
      </c>
      <c r="J627">
        <v>0</v>
      </c>
      <c r="K627" t="s">
        <v>1812</v>
      </c>
      <c r="L627">
        <v>1.407501464603643</v>
      </c>
      <c r="M627">
        <v>24.27</v>
      </c>
      <c r="N627">
        <v>8</v>
      </c>
    </row>
    <row r="628" spans="1:14">
      <c r="A628" s="1" t="s">
        <v>640</v>
      </c>
      <c r="B628">
        <f>HYPERLINK("https://www.suredividend.com/sure-analysis-GEF/","Greif Inc")</f>
        <v>0</v>
      </c>
      <c r="C628" t="s">
        <v>1816</v>
      </c>
      <c r="D628">
        <v>75.06</v>
      </c>
      <c r="E628">
        <v>0.02664535038635758</v>
      </c>
      <c r="F628">
        <v>0.08695652173913038</v>
      </c>
      <c r="G628">
        <v>0.02589630491023409</v>
      </c>
      <c r="H628">
        <v>1.977333237503273</v>
      </c>
      <c r="I628">
        <v>3607.206658</v>
      </c>
      <c r="J628">
        <v>8.153722101198012</v>
      </c>
      <c r="K628">
        <v>0.2639964269029737</v>
      </c>
      <c r="L628">
        <v>0.7121212838217721</v>
      </c>
      <c r="M628">
        <v>75.45</v>
      </c>
      <c r="N628">
        <v>56.2</v>
      </c>
    </row>
    <row r="629" spans="1:14">
      <c r="A629" s="1" t="s">
        <v>641</v>
      </c>
      <c r="B629">
        <f>HYPERLINK("https://www.suredividend.com/sure-analysis-research-database/","Greif Inc")</f>
        <v>0</v>
      </c>
      <c r="C629" t="s">
        <v>1812</v>
      </c>
      <c r="D629">
        <v>58.38</v>
      </c>
      <c r="E629">
        <v>0</v>
      </c>
      <c r="F629" t="s">
        <v>1812</v>
      </c>
      <c r="G629" t="s">
        <v>1812</v>
      </c>
      <c r="H629">
        <v>2.702605818114876</v>
      </c>
      <c r="I629">
        <v>2827.622125</v>
      </c>
      <c r="J629">
        <v>0</v>
      </c>
      <c r="K629" t="s">
        <v>1812</v>
      </c>
      <c r="L629">
        <v>0.815879396192671</v>
      </c>
    </row>
    <row r="630" spans="1:14">
      <c r="A630" s="1" t="s">
        <v>642</v>
      </c>
      <c r="B630">
        <f>HYPERLINK("https://www.suredividend.com/sure-analysis-research-database/","Geo Group, Inc.")</f>
        <v>0</v>
      </c>
      <c r="C630" t="s">
        <v>1814</v>
      </c>
      <c r="D630">
        <v>7.19</v>
      </c>
      <c r="E630">
        <v>0</v>
      </c>
      <c r="F630" t="s">
        <v>1812</v>
      </c>
      <c r="G630" t="s">
        <v>1812</v>
      </c>
      <c r="H630">
        <v>0</v>
      </c>
      <c r="I630">
        <v>906.112402</v>
      </c>
      <c r="J630">
        <v>6.760872401155027</v>
      </c>
      <c r="K630">
        <v>0</v>
      </c>
      <c r="L630">
        <v>0.776721905575496</v>
      </c>
      <c r="M630">
        <v>12.44</v>
      </c>
      <c r="N630">
        <v>6.6</v>
      </c>
    </row>
    <row r="631" spans="1:14">
      <c r="A631" s="1" t="s">
        <v>643</v>
      </c>
      <c r="B631">
        <f>HYPERLINK("https://www.suredividend.com/sure-analysis-research-database/","Geron Corp.")</f>
        <v>0</v>
      </c>
      <c r="C631" t="s">
        <v>1817</v>
      </c>
      <c r="D631">
        <v>3.16</v>
      </c>
      <c r="E631">
        <v>0</v>
      </c>
      <c r="F631" t="s">
        <v>1812</v>
      </c>
      <c r="G631" t="s">
        <v>1812</v>
      </c>
      <c r="H631">
        <v>0</v>
      </c>
      <c r="I631">
        <v>1607.703233</v>
      </c>
      <c r="J631" t="s">
        <v>1812</v>
      </c>
      <c r="K631">
        <v>-0</v>
      </c>
      <c r="L631">
        <v>1.171115990408319</v>
      </c>
      <c r="M631">
        <v>3.84</v>
      </c>
      <c r="N631">
        <v>1.95</v>
      </c>
    </row>
    <row r="632" spans="1:14">
      <c r="A632" s="1" t="s">
        <v>644</v>
      </c>
      <c r="B632">
        <f>HYPERLINK("https://www.suredividend.com/sure-analysis-research-database/","Guess Inc.")</f>
        <v>0</v>
      </c>
      <c r="C632" t="s">
        <v>1816</v>
      </c>
      <c r="D632">
        <v>20.92</v>
      </c>
      <c r="E632">
        <v>0.045734523274844</v>
      </c>
      <c r="F632" t="s">
        <v>1812</v>
      </c>
      <c r="G632" t="s">
        <v>1812</v>
      </c>
      <c r="H632">
        <v>0.9567662269097541</v>
      </c>
      <c r="I632">
        <v>1119.920443</v>
      </c>
      <c r="J632">
        <v>8.727423539533362</v>
      </c>
      <c r="K632">
        <v>0.4856681354871848</v>
      </c>
      <c r="L632">
        <v>1.319800109478787</v>
      </c>
      <c r="M632">
        <v>23.48</v>
      </c>
      <c r="N632">
        <v>13.73</v>
      </c>
    </row>
    <row r="633" spans="1:14">
      <c r="A633" s="1" t="s">
        <v>645</v>
      </c>
      <c r="B633">
        <f>HYPERLINK("https://www.suredividend.com/sure-analysis-research-database/","Gevo Inc")</f>
        <v>0</v>
      </c>
      <c r="C633" t="s">
        <v>1823</v>
      </c>
      <c r="D633">
        <v>1.59</v>
      </c>
      <c r="E633">
        <v>0</v>
      </c>
      <c r="F633" t="s">
        <v>1812</v>
      </c>
      <c r="G633" t="s">
        <v>1812</v>
      </c>
      <c r="H633">
        <v>0</v>
      </c>
      <c r="I633">
        <v>377.221495</v>
      </c>
      <c r="J633">
        <v>0</v>
      </c>
      <c r="K633" t="s">
        <v>1812</v>
      </c>
      <c r="L633">
        <v>2.414882816254178</v>
      </c>
      <c r="M633">
        <v>3.73</v>
      </c>
      <c r="N633">
        <v>1.01</v>
      </c>
    </row>
    <row r="634" spans="1:14">
      <c r="A634" s="1" t="s">
        <v>646</v>
      </c>
      <c r="B634">
        <f>HYPERLINK("https://www.suredividend.com/sure-analysis-research-database/","Griffon Corp.")</f>
        <v>0</v>
      </c>
      <c r="C634" t="s">
        <v>1813</v>
      </c>
      <c r="D634">
        <v>40.02</v>
      </c>
      <c r="E634">
        <v>0.009874452291808</v>
      </c>
      <c r="F634">
        <v>0.3888888888888888</v>
      </c>
      <c r="G634">
        <v>0.1151015032663814</v>
      </c>
      <c r="H634">
        <v>0.395175580718179</v>
      </c>
      <c r="I634">
        <v>2289.353305</v>
      </c>
      <c r="J634" t="s">
        <v>1812</v>
      </c>
      <c r="K634" t="s">
        <v>1812</v>
      </c>
      <c r="L634">
        <v>1.305414011913496</v>
      </c>
      <c r="M634">
        <v>43.9</v>
      </c>
      <c r="N634">
        <v>24.26</v>
      </c>
    </row>
    <row r="635" spans="1:14">
      <c r="A635" s="1" t="s">
        <v>647</v>
      </c>
      <c r="B635">
        <f>HYPERLINK("https://www.suredividend.com/sure-analysis-research-database/","Graham Holdings Co.")</f>
        <v>0</v>
      </c>
      <c r="C635" t="s">
        <v>1819</v>
      </c>
      <c r="D635">
        <v>591.16</v>
      </c>
      <c r="E635">
        <v>0.010999843500206</v>
      </c>
      <c r="F635">
        <v>0.04430379746835422</v>
      </c>
      <c r="G635">
        <v>0.04406241184649384</v>
      </c>
      <c r="H635">
        <v>6.502667483582027</v>
      </c>
      <c r="I635">
        <v>2233.8559</v>
      </c>
      <c r="J635">
        <v>95.67654187596368</v>
      </c>
      <c r="K635">
        <v>1.337997424605355</v>
      </c>
      <c r="L635">
        <v>0.785740399224462</v>
      </c>
      <c r="M635">
        <v>677.8</v>
      </c>
      <c r="N635">
        <v>519.79</v>
      </c>
    </row>
    <row r="636" spans="1:14">
      <c r="A636" s="1" t="s">
        <v>648</v>
      </c>
      <c r="B636">
        <f>HYPERLINK("https://www.suredividend.com/sure-analysis-research-database/","Global Industrial Co")</f>
        <v>0</v>
      </c>
      <c r="C636" t="s">
        <v>1812</v>
      </c>
      <c r="D636">
        <v>31.56</v>
      </c>
      <c r="E636">
        <v>0.023731368822685</v>
      </c>
      <c r="F636">
        <v>0.1111111111111112</v>
      </c>
      <c r="G636">
        <v>0.1075663432482901</v>
      </c>
      <c r="H636">
        <v>0.7489620000439571</v>
      </c>
      <c r="I636">
        <v>1200.151845</v>
      </c>
      <c r="J636">
        <v>17.46945917030568</v>
      </c>
      <c r="K636">
        <v>0.4160900000244206</v>
      </c>
      <c r="L636">
        <v>1.411526016056228</v>
      </c>
      <c r="M636">
        <v>32.74</v>
      </c>
      <c r="N636">
        <v>20.35</v>
      </c>
    </row>
    <row r="637" spans="1:14">
      <c r="A637" s="1" t="s">
        <v>649</v>
      </c>
      <c r="B637">
        <f>HYPERLINK("https://www.suredividend.com/sure-analysis-research-database/","G-III Apparel Group Ltd.")</f>
        <v>0</v>
      </c>
      <c r="C637" t="s">
        <v>1816</v>
      </c>
      <c r="D637">
        <v>20.79</v>
      </c>
      <c r="E637">
        <v>0</v>
      </c>
      <c r="F637" t="s">
        <v>1812</v>
      </c>
      <c r="G637" t="s">
        <v>1812</v>
      </c>
      <c r="H637">
        <v>0</v>
      </c>
      <c r="I637">
        <v>947.889364</v>
      </c>
      <c r="J637" t="s">
        <v>1812</v>
      </c>
      <c r="K637">
        <v>-0</v>
      </c>
      <c r="L637">
        <v>1.473724103707603</v>
      </c>
      <c r="M637">
        <v>25.23</v>
      </c>
      <c r="N637">
        <v>11.6</v>
      </c>
    </row>
    <row r="638" spans="1:14">
      <c r="A638" s="1" t="s">
        <v>650</v>
      </c>
      <c r="B638">
        <f>HYPERLINK("https://www.suredividend.com/sure-analysis-research-database/","Glaukos Corporation")</f>
        <v>0</v>
      </c>
      <c r="C638" t="s">
        <v>1817</v>
      </c>
      <c r="D638">
        <v>74.43000000000001</v>
      </c>
      <c r="E638">
        <v>0</v>
      </c>
      <c r="F638" t="s">
        <v>1812</v>
      </c>
      <c r="G638" t="s">
        <v>1812</v>
      </c>
      <c r="H638">
        <v>0</v>
      </c>
      <c r="I638">
        <v>3620.9869</v>
      </c>
      <c r="J638" t="s">
        <v>1812</v>
      </c>
      <c r="K638">
        <v>-0</v>
      </c>
      <c r="L638">
        <v>1.03512471254075</v>
      </c>
      <c r="M638">
        <v>80.28</v>
      </c>
      <c r="N638">
        <v>40.45</v>
      </c>
    </row>
    <row r="639" spans="1:14">
      <c r="A639" s="1" t="s">
        <v>651</v>
      </c>
      <c r="B639">
        <f>HYPERLINK("https://www.suredividend.com/sure-analysis-research-database/","Great Lakes Dredge &amp; Dock Corporation")</f>
        <v>0</v>
      </c>
      <c r="C639" t="s">
        <v>1813</v>
      </c>
      <c r="D639">
        <v>8.73</v>
      </c>
      <c r="E639">
        <v>0</v>
      </c>
      <c r="F639" t="s">
        <v>1812</v>
      </c>
      <c r="G639" t="s">
        <v>1812</v>
      </c>
      <c r="H639">
        <v>0</v>
      </c>
      <c r="I639">
        <v>579.815163</v>
      </c>
      <c r="J639" t="s">
        <v>1812</v>
      </c>
      <c r="K639">
        <v>-0</v>
      </c>
      <c r="L639">
        <v>1.207019015447727</v>
      </c>
      <c r="M639">
        <v>10.65</v>
      </c>
      <c r="N639">
        <v>4.75</v>
      </c>
    </row>
    <row r="640" spans="1:14">
      <c r="A640" s="1" t="s">
        <v>652</v>
      </c>
      <c r="B640">
        <f>HYPERLINK("https://www.suredividend.com/sure-analysis-research-database/","Golar Lng")</f>
        <v>0</v>
      </c>
      <c r="C640" t="s">
        <v>1822</v>
      </c>
      <c r="D640">
        <v>24.13</v>
      </c>
      <c r="E640">
        <v>0.010360547036883</v>
      </c>
      <c r="F640" t="s">
        <v>1812</v>
      </c>
      <c r="G640" t="s">
        <v>1812</v>
      </c>
      <c r="H640">
        <v>0.25</v>
      </c>
      <c r="I640">
        <v>1937.608886</v>
      </c>
      <c r="J640">
        <v>2.459603065553148</v>
      </c>
      <c r="K640">
        <v>0.03443526170798898</v>
      </c>
      <c r="L640">
        <v>0.8252660065171771</v>
      </c>
      <c r="M640">
        <v>29.97</v>
      </c>
      <c r="N640">
        <v>19.36</v>
      </c>
    </row>
    <row r="641" spans="1:14">
      <c r="A641" s="1" t="s">
        <v>653</v>
      </c>
      <c r="B641">
        <f>HYPERLINK("https://www.suredividend.com/sure-analysis-research-database/","Greenlight Capital Re Ltd")</f>
        <v>0</v>
      </c>
      <c r="C641" t="s">
        <v>1815</v>
      </c>
      <c r="D641">
        <v>11.01</v>
      </c>
      <c r="E641">
        <v>0</v>
      </c>
      <c r="F641" t="s">
        <v>1812</v>
      </c>
      <c r="G641" t="s">
        <v>1812</v>
      </c>
      <c r="H641">
        <v>0</v>
      </c>
      <c r="I641">
        <v>388.344863</v>
      </c>
      <c r="J641">
        <v>10.50830347250785</v>
      </c>
      <c r="K641">
        <v>0</v>
      </c>
      <c r="L641">
        <v>0.519951570458526</v>
      </c>
      <c r="M641">
        <v>11.17</v>
      </c>
      <c r="N641">
        <v>7.23</v>
      </c>
    </row>
    <row r="642" spans="1:14">
      <c r="A642" s="1" t="s">
        <v>654</v>
      </c>
      <c r="B642">
        <f>HYPERLINK("https://www.suredividend.com/sure-analysis-research-database/","Glatfelter Corporation")</f>
        <v>0</v>
      </c>
      <c r="C642" t="s">
        <v>1823</v>
      </c>
      <c r="D642">
        <v>2.65</v>
      </c>
      <c r="E642">
        <v>0</v>
      </c>
      <c r="F642" t="s">
        <v>1812</v>
      </c>
      <c r="G642" t="s">
        <v>1812</v>
      </c>
      <c r="H642">
        <v>0</v>
      </c>
      <c r="I642">
        <v>119.072469</v>
      </c>
      <c r="J642" t="s">
        <v>1812</v>
      </c>
      <c r="K642">
        <v>-0</v>
      </c>
      <c r="L642">
        <v>1.748541617761768</v>
      </c>
      <c r="M642">
        <v>5.9</v>
      </c>
      <c r="N642">
        <v>2.08</v>
      </c>
    </row>
    <row r="643" spans="1:14">
      <c r="A643" s="1" t="s">
        <v>655</v>
      </c>
      <c r="B643">
        <f>HYPERLINK("https://www.suredividend.com/sure-analysis-research-database/","Monte Rosa Therapeutics Inc")</f>
        <v>0</v>
      </c>
      <c r="C643" t="s">
        <v>1812</v>
      </c>
      <c r="D643">
        <v>6.72</v>
      </c>
      <c r="E643">
        <v>0</v>
      </c>
      <c r="F643" t="s">
        <v>1812</v>
      </c>
      <c r="G643" t="s">
        <v>1812</v>
      </c>
      <c r="H643">
        <v>0</v>
      </c>
      <c r="I643">
        <v>331.858538</v>
      </c>
      <c r="J643">
        <v>0</v>
      </c>
      <c r="K643" t="s">
        <v>1812</v>
      </c>
      <c r="L643">
        <v>1.577208468849096</v>
      </c>
      <c r="M643">
        <v>10.96</v>
      </c>
      <c r="N643">
        <v>4.4</v>
      </c>
    </row>
    <row r="644" spans="1:14">
      <c r="A644" s="1" t="s">
        <v>656</v>
      </c>
      <c r="B644">
        <f>HYPERLINK("https://www.suredividend.com/sure-analysis-GMRE/","Global Medical REIT Inc")</f>
        <v>0</v>
      </c>
      <c r="C644" t="s">
        <v>1814</v>
      </c>
      <c r="D644">
        <v>10.16</v>
      </c>
      <c r="E644">
        <v>0.0826771653543307</v>
      </c>
      <c r="F644">
        <v>0</v>
      </c>
      <c r="G644">
        <v>0.009805797673485328</v>
      </c>
      <c r="H644">
        <v>0.811322484421075</v>
      </c>
      <c r="I644">
        <v>665.781935</v>
      </c>
      <c r="J644">
        <v>0</v>
      </c>
      <c r="K644" t="s">
        <v>1812</v>
      </c>
      <c r="L644">
        <v>0.993563144531277</v>
      </c>
      <c r="M644">
        <v>11.26</v>
      </c>
      <c r="N644">
        <v>6.54</v>
      </c>
    </row>
    <row r="645" spans="1:14">
      <c r="A645" s="1" t="s">
        <v>657</v>
      </c>
      <c r="B645">
        <f>HYPERLINK("https://www.suredividend.com/sure-analysis-research-database/","GMS Inc")</f>
        <v>0</v>
      </c>
      <c r="C645" t="s">
        <v>1813</v>
      </c>
      <c r="D645">
        <v>74.13</v>
      </c>
      <c r="E645">
        <v>0</v>
      </c>
      <c r="F645" t="s">
        <v>1812</v>
      </c>
      <c r="G645" t="s">
        <v>1812</v>
      </c>
      <c r="H645">
        <v>0</v>
      </c>
      <c r="I645">
        <v>3024.504</v>
      </c>
      <c r="J645">
        <v>9.08284007675883</v>
      </c>
      <c r="K645">
        <v>0</v>
      </c>
      <c r="L645">
        <v>1.396817325549905</v>
      </c>
      <c r="M645">
        <v>75.15000000000001</v>
      </c>
      <c r="N645">
        <v>38.31</v>
      </c>
    </row>
    <row r="646" spans="1:14">
      <c r="A646" s="1" t="s">
        <v>658</v>
      </c>
      <c r="B646">
        <f>HYPERLINK("https://www.suredividend.com/sure-analysis-research-database/","Genco Shipping &amp; Trading Limited")</f>
        <v>0</v>
      </c>
      <c r="C646" t="s">
        <v>1813</v>
      </c>
      <c r="D646">
        <v>14.57</v>
      </c>
      <c r="E646">
        <v>0.127300413435671</v>
      </c>
      <c r="F646" t="s">
        <v>1812</v>
      </c>
      <c r="G646" t="s">
        <v>1812</v>
      </c>
      <c r="H646">
        <v>1.854767023757732</v>
      </c>
      <c r="I646">
        <v>619.337888</v>
      </c>
      <c r="J646">
        <v>0</v>
      </c>
      <c r="K646" t="s">
        <v>1812</v>
      </c>
      <c r="L646">
        <v>0.9369984132235191</v>
      </c>
      <c r="M646">
        <v>19.13</v>
      </c>
      <c r="N646">
        <v>10.92</v>
      </c>
    </row>
    <row r="647" spans="1:14">
      <c r="A647" s="1" t="s">
        <v>659</v>
      </c>
      <c r="B647">
        <f>HYPERLINK("https://www.suredividend.com/sure-analysis-GNL/","Global Net Lease Inc")</f>
        <v>0</v>
      </c>
      <c r="C647" t="s">
        <v>1814</v>
      </c>
      <c r="D647">
        <v>10.56</v>
      </c>
      <c r="E647">
        <v>0.1515151515151515</v>
      </c>
      <c r="F647">
        <v>0</v>
      </c>
      <c r="G647">
        <v>0.1764468921689097</v>
      </c>
      <c r="H647">
        <v>1.521618184994751</v>
      </c>
      <c r="I647">
        <v>1096.620656</v>
      </c>
      <c r="J647" t="s">
        <v>1812</v>
      </c>
      <c r="K647" t="s">
        <v>1812</v>
      </c>
      <c r="L647">
        <v>0.9753366906523251</v>
      </c>
      <c r="M647">
        <v>14.26</v>
      </c>
      <c r="N647">
        <v>8.52</v>
      </c>
    </row>
    <row r="648" spans="1:14">
      <c r="A648" s="1" t="s">
        <v>660</v>
      </c>
      <c r="B648">
        <f>HYPERLINK("https://www.suredividend.com/sure-analysis-research-database/","Guaranty Bancshares, Inc. (TX)")</f>
        <v>0</v>
      </c>
      <c r="C648" t="s">
        <v>1815</v>
      </c>
      <c r="D648">
        <v>32.05</v>
      </c>
      <c r="E648">
        <v>0.02057432489316</v>
      </c>
      <c r="F648">
        <v>0.04545454545454541</v>
      </c>
      <c r="G648">
        <v>0.06232103966616465</v>
      </c>
      <c r="H648">
        <v>0.659407112825791</v>
      </c>
      <c r="I648">
        <v>378.214871</v>
      </c>
      <c r="J648">
        <v>0</v>
      </c>
      <c r="K648" t="s">
        <v>1812</v>
      </c>
      <c r="L648">
        <v>0.64178188765178</v>
      </c>
      <c r="M648">
        <v>36.72</v>
      </c>
      <c r="N648">
        <v>21.93</v>
      </c>
    </row>
    <row r="649" spans="1:14">
      <c r="A649" s="1" t="s">
        <v>661</v>
      </c>
      <c r="B649">
        <f>HYPERLINK("https://www.suredividend.com/sure-analysis-research-database/","Genworth Financial Inc")</f>
        <v>0</v>
      </c>
      <c r="C649" t="s">
        <v>1815</v>
      </c>
      <c r="D649">
        <v>5.99</v>
      </c>
      <c r="E649">
        <v>0</v>
      </c>
      <c r="F649" t="s">
        <v>1812</v>
      </c>
      <c r="G649" t="s">
        <v>1812</v>
      </c>
      <c r="H649">
        <v>0</v>
      </c>
      <c r="I649">
        <v>2862.949198</v>
      </c>
      <c r="J649">
        <v>5.484577007835249</v>
      </c>
      <c r="K649">
        <v>0</v>
      </c>
      <c r="L649">
        <v>0.927165739420668</v>
      </c>
      <c r="M649">
        <v>6.4</v>
      </c>
      <c r="N649">
        <v>3.44</v>
      </c>
    </row>
    <row r="650" spans="1:14">
      <c r="A650" s="1" t="s">
        <v>662</v>
      </c>
      <c r="B650">
        <f>HYPERLINK("https://www.suredividend.com/sure-analysis-research-database/","Canoo Inc")</f>
        <v>0</v>
      </c>
      <c r="C650" t="s">
        <v>1812</v>
      </c>
      <c r="D650">
        <v>0.6476000000000001</v>
      </c>
      <c r="E650">
        <v>0</v>
      </c>
      <c r="F650" t="s">
        <v>1812</v>
      </c>
      <c r="G650" t="s">
        <v>1812</v>
      </c>
      <c r="H650">
        <v>0</v>
      </c>
      <c r="I650">
        <v>326.171216</v>
      </c>
      <c r="J650">
        <v>0</v>
      </c>
      <c r="K650" t="s">
        <v>1812</v>
      </c>
      <c r="L650">
        <v>1.719420240028189</v>
      </c>
      <c r="M650">
        <v>4.39</v>
      </c>
      <c r="N650">
        <v>0.4135</v>
      </c>
    </row>
    <row r="651" spans="1:14">
      <c r="A651" s="1" t="s">
        <v>663</v>
      </c>
      <c r="B651">
        <f>HYPERLINK("https://www.suredividend.com/sure-analysis-research-database/","Golden Ocean Group Limited")</f>
        <v>0</v>
      </c>
      <c r="C651" t="s">
        <v>1813</v>
      </c>
      <c r="D651">
        <v>7.6</v>
      </c>
      <c r="E651">
        <v>0.158247947645566</v>
      </c>
      <c r="F651" t="s">
        <v>1812</v>
      </c>
      <c r="G651" t="s">
        <v>1812</v>
      </c>
      <c r="H651">
        <v>1.202684402106306</v>
      </c>
      <c r="I651">
        <v>1523.69072</v>
      </c>
      <c r="J651">
        <v>4.649622887867635</v>
      </c>
      <c r="K651">
        <v>0.7378431914762614</v>
      </c>
      <c r="L651">
        <v>0.9602284884301601</v>
      </c>
      <c r="M651">
        <v>11.16</v>
      </c>
      <c r="N651">
        <v>6.92</v>
      </c>
    </row>
    <row r="652" spans="1:14">
      <c r="A652" s="1" t="s">
        <v>664</v>
      </c>
      <c r="B652">
        <f>HYPERLINK("https://www.suredividend.com/sure-analysis-research-database/","Gogo Inc")</f>
        <v>0</v>
      </c>
      <c r="C652" t="s">
        <v>1821</v>
      </c>
      <c r="D652">
        <v>15.04</v>
      </c>
      <c r="E652">
        <v>0</v>
      </c>
      <c r="F652" t="s">
        <v>1812</v>
      </c>
      <c r="G652" t="s">
        <v>1812</v>
      </c>
      <c r="H652">
        <v>0</v>
      </c>
      <c r="I652">
        <v>1933.933605</v>
      </c>
      <c r="J652">
        <v>21.41391626184782</v>
      </c>
      <c r="K652">
        <v>0</v>
      </c>
      <c r="L652">
        <v>1.014713678165939</v>
      </c>
      <c r="M652">
        <v>19.29</v>
      </c>
      <c r="N652">
        <v>11.57</v>
      </c>
    </row>
    <row r="653" spans="1:14">
      <c r="A653" s="1" t="s">
        <v>665</v>
      </c>
      <c r="B653">
        <f>HYPERLINK("https://www.suredividend.com/sure-analysis-research-database/","Acushnet Holdings Corp")</f>
        <v>0</v>
      </c>
      <c r="C653" t="s">
        <v>1816</v>
      </c>
      <c r="D653">
        <v>58.11</v>
      </c>
      <c r="E653">
        <v>0.012829057240324</v>
      </c>
      <c r="F653">
        <v>0.08333333333333348</v>
      </c>
      <c r="G653">
        <v>0.08447177119769855</v>
      </c>
      <c r="H653">
        <v>0.745496516235242</v>
      </c>
      <c r="I653">
        <v>3914.472065</v>
      </c>
      <c r="J653">
        <v>18.50744210809993</v>
      </c>
      <c r="K653">
        <v>0.251008928025334</v>
      </c>
      <c r="L653">
        <v>0.805168151413105</v>
      </c>
      <c r="M653">
        <v>61.98</v>
      </c>
      <c r="N653">
        <v>41.72</v>
      </c>
    </row>
    <row r="654" spans="1:14">
      <c r="A654" s="1" t="s">
        <v>666</v>
      </c>
      <c r="B654">
        <f>HYPERLINK("https://www.suredividend.com/sure-analysis-GOOD/","Gladstone Commercial Corp")</f>
        <v>0</v>
      </c>
      <c r="C654" t="s">
        <v>1814</v>
      </c>
      <c r="D654">
        <v>13.25</v>
      </c>
      <c r="E654">
        <v>0.09056603773584905</v>
      </c>
      <c r="F654">
        <v>0</v>
      </c>
      <c r="G654">
        <v>-0.04406774075488973</v>
      </c>
      <c r="H654">
        <v>1.247005834833952</v>
      </c>
      <c r="I654">
        <v>529.9837690000001</v>
      </c>
      <c r="J654" t="s">
        <v>1812</v>
      </c>
      <c r="K654" t="s">
        <v>1812</v>
      </c>
      <c r="L654">
        <v>0.900120918356145</v>
      </c>
      <c r="M654">
        <v>18.94</v>
      </c>
      <c r="N654">
        <v>10.42</v>
      </c>
    </row>
    <row r="655" spans="1:14">
      <c r="A655" s="1" t="s">
        <v>667</v>
      </c>
      <c r="B655">
        <f>HYPERLINK("https://www.suredividend.com/sure-analysis-research-database/","Gossamer Bio Inc")</f>
        <v>0</v>
      </c>
      <c r="C655" t="s">
        <v>1817</v>
      </c>
      <c r="D655">
        <v>1.36</v>
      </c>
      <c r="E655">
        <v>0</v>
      </c>
      <c r="F655" t="s">
        <v>1812</v>
      </c>
      <c r="G655" t="s">
        <v>1812</v>
      </c>
      <c r="H655">
        <v>0</v>
      </c>
      <c r="I655">
        <v>129.803969</v>
      </c>
      <c r="J655">
        <v>0</v>
      </c>
      <c r="K655" t="s">
        <v>1812</v>
      </c>
      <c r="L655">
        <v>1.701696485814495</v>
      </c>
      <c r="M655">
        <v>15.2</v>
      </c>
      <c r="N655">
        <v>0.9103</v>
      </c>
    </row>
    <row r="656" spans="1:14">
      <c r="A656" s="1" t="s">
        <v>668</v>
      </c>
      <c r="B656">
        <f>HYPERLINK("https://www.suredividend.com/sure-analysis-research-database/","Group 1 Automotive, Inc.")</f>
        <v>0</v>
      </c>
      <c r="C656" t="s">
        <v>1816</v>
      </c>
      <c r="D656">
        <v>266.92</v>
      </c>
      <c r="E656">
        <v>0.006238988088704001</v>
      </c>
      <c r="F656" t="s">
        <v>1812</v>
      </c>
      <c r="G656" t="s">
        <v>1812</v>
      </c>
      <c r="H656">
        <v>1.665310700636942</v>
      </c>
      <c r="I656">
        <v>3750.459555</v>
      </c>
      <c r="J656">
        <v>5.652538892238132</v>
      </c>
      <c r="K656">
        <v>0.03581313334703101</v>
      </c>
      <c r="L656">
        <v>1.083947799721518</v>
      </c>
      <c r="M656">
        <v>271.94</v>
      </c>
      <c r="N656">
        <v>135.35</v>
      </c>
    </row>
    <row r="657" spans="1:14">
      <c r="A657" s="1" t="s">
        <v>669</v>
      </c>
      <c r="B657">
        <f>HYPERLINK("https://www.suredividend.com/sure-analysis-research-database/","Granite Point Mortgage Trust Inc")</f>
        <v>0</v>
      </c>
      <c r="C657" t="s">
        <v>1814</v>
      </c>
      <c r="D657">
        <v>5.64</v>
      </c>
      <c r="E657">
        <v>0.141924798628101</v>
      </c>
      <c r="F657" t="s">
        <v>1812</v>
      </c>
      <c r="G657" t="s">
        <v>1812</v>
      </c>
      <c r="H657">
        <v>0.800455864262491</v>
      </c>
      <c r="I657">
        <v>290.60686</v>
      </c>
      <c r="J657" t="s">
        <v>1812</v>
      </c>
      <c r="K657" t="s">
        <v>1812</v>
      </c>
      <c r="L657">
        <v>1.293570048417825</v>
      </c>
      <c r="M657">
        <v>9.109999999999999</v>
      </c>
      <c r="N657">
        <v>3.83</v>
      </c>
    </row>
    <row r="658" spans="1:14">
      <c r="A658" s="1" t="s">
        <v>670</v>
      </c>
      <c r="B658">
        <f>HYPERLINK("https://www.suredividend.com/sure-analysis-research-database/","Gulfport Energy Corp.")</f>
        <v>0</v>
      </c>
      <c r="C658" t="s">
        <v>1822</v>
      </c>
      <c r="D658">
        <v>103.69</v>
      </c>
      <c r="E658">
        <v>0</v>
      </c>
      <c r="F658" t="s">
        <v>1812</v>
      </c>
      <c r="G658" t="s">
        <v>1812</v>
      </c>
      <c r="H658">
        <v>0</v>
      </c>
      <c r="I658">
        <v>1936.787974</v>
      </c>
      <c r="J658" t="s">
        <v>1812</v>
      </c>
      <c r="K658">
        <v>-0</v>
      </c>
      <c r="L658">
        <v>0.9251687821936071</v>
      </c>
      <c r="M658">
        <v>110.02</v>
      </c>
      <c r="N658">
        <v>60.15</v>
      </c>
    </row>
    <row r="659" spans="1:14">
      <c r="A659" s="1" t="s">
        <v>671</v>
      </c>
      <c r="B659">
        <f>HYPERLINK("https://www.suredividend.com/sure-analysis-research-database/","Green Plains Inc")</f>
        <v>0</v>
      </c>
      <c r="C659" t="s">
        <v>1823</v>
      </c>
      <c r="D659">
        <v>34.21</v>
      </c>
      <c r="E659">
        <v>0</v>
      </c>
      <c r="F659" t="s">
        <v>1812</v>
      </c>
      <c r="G659" t="s">
        <v>1812</v>
      </c>
      <c r="H659">
        <v>0</v>
      </c>
      <c r="I659">
        <v>2035.932888</v>
      </c>
      <c r="J659" t="s">
        <v>1812</v>
      </c>
      <c r="K659">
        <v>-0</v>
      </c>
      <c r="L659">
        <v>1.339059744080266</v>
      </c>
      <c r="M659">
        <v>41.25</v>
      </c>
      <c r="N659">
        <v>26.33</v>
      </c>
    </row>
    <row r="660" spans="1:14">
      <c r="A660" s="1" t="s">
        <v>672</v>
      </c>
      <c r="B660">
        <f>HYPERLINK("https://www.suredividend.com/sure-analysis-research-database/","GoPro Inc.")</f>
        <v>0</v>
      </c>
      <c r="C660" t="s">
        <v>1818</v>
      </c>
      <c r="D660">
        <v>4.12</v>
      </c>
      <c r="E660">
        <v>0</v>
      </c>
      <c r="F660" t="s">
        <v>1812</v>
      </c>
      <c r="G660" t="s">
        <v>1812</v>
      </c>
      <c r="H660">
        <v>0</v>
      </c>
      <c r="I660">
        <v>533.105876</v>
      </c>
      <c r="J660" t="s">
        <v>1812</v>
      </c>
      <c r="K660">
        <v>-0</v>
      </c>
      <c r="L660">
        <v>1.278728008965098</v>
      </c>
      <c r="M660">
        <v>6.91</v>
      </c>
      <c r="N660">
        <v>3.81</v>
      </c>
    </row>
    <row r="661" spans="1:14">
      <c r="A661" s="1" t="s">
        <v>673</v>
      </c>
      <c r="B661">
        <f>HYPERLINK("https://www.suredividend.com/sure-analysis-research-database/","Green Brick Partners Inc")</f>
        <v>0</v>
      </c>
      <c r="C661" t="s">
        <v>1816</v>
      </c>
      <c r="D661">
        <v>51.57</v>
      </c>
      <c r="E661">
        <v>0</v>
      </c>
      <c r="F661" t="s">
        <v>1812</v>
      </c>
      <c r="G661" t="s">
        <v>1812</v>
      </c>
      <c r="H661">
        <v>0</v>
      </c>
      <c r="I661">
        <v>2340.178424</v>
      </c>
      <c r="J661">
        <v>8.024532707627525</v>
      </c>
      <c r="K661">
        <v>0</v>
      </c>
      <c r="L661">
        <v>1.545397694166936</v>
      </c>
      <c r="M661">
        <v>59.3</v>
      </c>
      <c r="N661">
        <v>19.52</v>
      </c>
    </row>
    <row r="662" spans="1:14">
      <c r="A662" s="1" t="s">
        <v>674</v>
      </c>
      <c r="B662">
        <f>HYPERLINK("https://www.suredividend.com/sure-analysis-GRC/","Gorman-Rupp Co.")</f>
        <v>0</v>
      </c>
      <c r="C662" t="s">
        <v>1813</v>
      </c>
      <c r="D662">
        <v>33.08</v>
      </c>
      <c r="E662">
        <v>0.02116082224909311</v>
      </c>
      <c r="F662">
        <v>0.02941176470588247</v>
      </c>
      <c r="G662">
        <v>0.05327276858309049</v>
      </c>
      <c r="H662">
        <v>0.6881350671212491</v>
      </c>
      <c r="I662">
        <v>866.4974539999999</v>
      </c>
      <c r="J662">
        <v>40.0322223996304</v>
      </c>
      <c r="K662">
        <v>0.8305794413050682</v>
      </c>
      <c r="L662">
        <v>1.029193120810889</v>
      </c>
      <c r="M662">
        <v>33.31</v>
      </c>
      <c r="N662">
        <v>22.23</v>
      </c>
    </row>
    <row r="663" spans="1:14">
      <c r="A663" s="1" t="s">
        <v>675</v>
      </c>
      <c r="B663">
        <f>HYPERLINK("https://www.suredividend.com/sure-analysis-research-database/","Greenidge Generation Holdings Inc")</f>
        <v>0</v>
      </c>
      <c r="C663" t="s">
        <v>1812</v>
      </c>
      <c r="D663">
        <v>6.03</v>
      </c>
      <c r="E663">
        <v>0</v>
      </c>
      <c r="F663" t="s">
        <v>1812</v>
      </c>
      <c r="G663" t="s">
        <v>1812</v>
      </c>
      <c r="H663">
        <v>0</v>
      </c>
      <c r="I663">
        <v>197.95773</v>
      </c>
      <c r="J663" t="s">
        <v>1812</v>
      </c>
      <c r="K663">
        <v>-0</v>
      </c>
      <c r="L663">
        <v>2.053141092978241</v>
      </c>
      <c r="M663">
        <v>48.9</v>
      </c>
      <c r="N663">
        <v>1.55</v>
      </c>
    </row>
    <row r="664" spans="1:14">
      <c r="A664" s="1" t="s">
        <v>676</v>
      </c>
      <c r="B664">
        <f>HYPERLINK("https://www.suredividend.com/sure-analysis-research-database/","GreenLight Biosciences Holdings PBC")</f>
        <v>0</v>
      </c>
      <c r="C664" t="s">
        <v>1812</v>
      </c>
      <c r="D664">
        <v>0.2995</v>
      </c>
      <c r="E664">
        <v>0</v>
      </c>
      <c r="F664" t="s">
        <v>1812</v>
      </c>
      <c r="G664" t="s">
        <v>1812</v>
      </c>
      <c r="H664">
        <v>0</v>
      </c>
      <c r="I664">
        <v>0</v>
      </c>
      <c r="J664">
        <v>0</v>
      </c>
      <c r="K664" t="s">
        <v>1812</v>
      </c>
    </row>
    <row r="665" spans="1:14">
      <c r="A665" s="1" t="s">
        <v>677</v>
      </c>
      <c r="B665">
        <f>HYPERLINK("https://www.suredividend.com/sure-analysis-research-database/","Groupon Inc")</f>
        <v>0</v>
      </c>
      <c r="C665" t="s">
        <v>1821</v>
      </c>
      <c r="D665">
        <v>7.79</v>
      </c>
      <c r="E665">
        <v>0</v>
      </c>
      <c r="F665" t="s">
        <v>1812</v>
      </c>
      <c r="G665" t="s">
        <v>1812</v>
      </c>
      <c r="H665">
        <v>0</v>
      </c>
      <c r="I665">
        <v>243.305311</v>
      </c>
      <c r="J665" t="s">
        <v>1812</v>
      </c>
      <c r="K665">
        <v>-0</v>
      </c>
      <c r="L665">
        <v>2.206547881118847</v>
      </c>
      <c r="M665">
        <v>14.85</v>
      </c>
      <c r="N665">
        <v>2.89</v>
      </c>
    </row>
    <row r="666" spans="1:14">
      <c r="A666" s="1" t="s">
        <v>678</v>
      </c>
      <c r="B666">
        <f>HYPERLINK("https://www.suredividend.com/sure-analysis-research-database/","GrowGeneration Corp")</f>
        <v>0</v>
      </c>
      <c r="C666" t="s">
        <v>1816</v>
      </c>
      <c r="D666">
        <v>3.71</v>
      </c>
      <c r="E666">
        <v>0</v>
      </c>
      <c r="F666" t="s">
        <v>1812</v>
      </c>
      <c r="G666" t="s">
        <v>1812</v>
      </c>
      <c r="H666">
        <v>0</v>
      </c>
      <c r="I666">
        <v>226.450824</v>
      </c>
      <c r="J666" t="s">
        <v>1812</v>
      </c>
      <c r="K666">
        <v>-0</v>
      </c>
      <c r="L666">
        <v>1.952496043722275</v>
      </c>
      <c r="M666">
        <v>8.630000000000001</v>
      </c>
      <c r="N666">
        <v>2.77</v>
      </c>
    </row>
    <row r="667" spans="1:14">
      <c r="A667" s="1" t="s">
        <v>679</v>
      </c>
      <c r="B667">
        <f>HYPERLINK("https://www.suredividend.com/sure-analysis-research-database/","Globalstar Inc.")</f>
        <v>0</v>
      </c>
      <c r="C667" t="s">
        <v>1821</v>
      </c>
      <c r="D667">
        <v>1.17</v>
      </c>
      <c r="E667">
        <v>0</v>
      </c>
      <c r="F667" t="s">
        <v>1812</v>
      </c>
      <c r="G667" t="s">
        <v>1812</v>
      </c>
      <c r="H667">
        <v>0</v>
      </c>
      <c r="I667">
        <v>2106</v>
      </c>
      <c r="J667" t="s">
        <v>1812</v>
      </c>
      <c r="K667">
        <v>-0</v>
      </c>
      <c r="L667">
        <v>1.069147917691187</v>
      </c>
      <c r="M667">
        <v>2.98</v>
      </c>
      <c r="N667">
        <v>0.8538</v>
      </c>
    </row>
    <row r="668" spans="1:14">
      <c r="A668" s="1" t="s">
        <v>680</v>
      </c>
      <c r="B668">
        <f>HYPERLINK("https://www.suredividend.com/sure-analysis-research-database/","Great Southern Bancorp, Inc.")</f>
        <v>0</v>
      </c>
      <c r="C668" t="s">
        <v>1815</v>
      </c>
      <c r="D668">
        <v>55.26</v>
      </c>
      <c r="E668">
        <v>0.028465303371537</v>
      </c>
      <c r="F668">
        <v>0</v>
      </c>
      <c r="G668">
        <v>-0.1181397937782795</v>
      </c>
      <c r="H668">
        <v>1.572992664311182</v>
      </c>
      <c r="I668">
        <v>665.5451399999999</v>
      </c>
      <c r="J668">
        <v>8.380386319805583</v>
      </c>
      <c r="K668">
        <v>0.2457801037986222</v>
      </c>
      <c r="L668">
        <v>0.6949429760740831</v>
      </c>
      <c r="M668">
        <v>62.27</v>
      </c>
      <c r="N668">
        <v>44.69</v>
      </c>
    </row>
    <row r="669" spans="1:14">
      <c r="A669" s="1" t="s">
        <v>681</v>
      </c>
      <c r="B669">
        <f>HYPERLINK("https://www.suredividend.com/sure-analysis-research-database/","Goosehead Insurance Inc")</f>
        <v>0</v>
      </c>
      <c r="C669" t="s">
        <v>1815</v>
      </c>
      <c r="D669">
        <v>63.96</v>
      </c>
      <c r="E669">
        <v>0</v>
      </c>
      <c r="F669" t="s">
        <v>1812</v>
      </c>
      <c r="G669" t="s">
        <v>1812</v>
      </c>
      <c r="H669">
        <v>0</v>
      </c>
      <c r="I669">
        <v>1528.564498</v>
      </c>
      <c r="J669">
        <v>0</v>
      </c>
      <c r="K669" t="s">
        <v>1812</v>
      </c>
      <c r="L669">
        <v>1.686424262301356</v>
      </c>
      <c r="M669">
        <v>76.36</v>
      </c>
      <c r="N669">
        <v>29.23</v>
      </c>
    </row>
    <row r="670" spans="1:14">
      <c r="A670" s="1" t="s">
        <v>682</v>
      </c>
      <c r="B670">
        <f>HYPERLINK("https://www.suredividend.com/sure-analysis-research-database/","Goodyear Tire &amp; Rubber Co.")</f>
        <v>0</v>
      </c>
      <c r="C670" t="s">
        <v>1816</v>
      </c>
      <c r="D670">
        <v>13.205</v>
      </c>
      <c r="E670">
        <v>0</v>
      </c>
      <c r="F670" t="s">
        <v>1812</v>
      </c>
      <c r="G670" t="s">
        <v>1812</v>
      </c>
      <c r="H670">
        <v>0</v>
      </c>
      <c r="I670">
        <v>3742.670002</v>
      </c>
      <c r="J670">
        <v>748.5340003269999</v>
      </c>
      <c r="K670">
        <v>0</v>
      </c>
      <c r="L670">
        <v>1.717896835354167</v>
      </c>
      <c r="M670">
        <v>16.51</v>
      </c>
      <c r="N670">
        <v>9.66</v>
      </c>
    </row>
    <row r="671" spans="1:14">
      <c r="A671" s="1" t="s">
        <v>683</v>
      </c>
      <c r="B671">
        <f>HYPERLINK("https://www.suredividend.com/sure-analysis-research-database/","Chart Industries Inc")</f>
        <v>0</v>
      </c>
      <c r="C671" t="s">
        <v>1813</v>
      </c>
      <c r="D671">
        <v>170.13</v>
      </c>
      <c r="E671">
        <v>0</v>
      </c>
      <c r="F671" t="s">
        <v>1812</v>
      </c>
      <c r="G671" t="s">
        <v>1812</v>
      </c>
      <c r="H671">
        <v>0</v>
      </c>
      <c r="I671">
        <v>7271.209718</v>
      </c>
      <c r="J671" t="s">
        <v>1812</v>
      </c>
      <c r="K671">
        <v>-0</v>
      </c>
      <c r="L671">
        <v>1.46010542037891</v>
      </c>
      <c r="M671">
        <v>242.59</v>
      </c>
      <c r="N671">
        <v>101.44</v>
      </c>
    </row>
    <row r="672" spans="1:14">
      <c r="A672" s="1" t="s">
        <v>684</v>
      </c>
      <c r="B672">
        <f>HYPERLINK("https://www.suredividend.com/sure-analysis-research-database/","Gray Television, Inc.")</f>
        <v>0</v>
      </c>
      <c r="C672" t="s">
        <v>1821</v>
      </c>
      <c r="D672">
        <v>8.73</v>
      </c>
      <c r="E672">
        <v>0.036152178619609</v>
      </c>
      <c r="F672" t="s">
        <v>1812</v>
      </c>
      <c r="G672" t="s">
        <v>1812</v>
      </c>
      <c r="H672">
        <v>0.315608519349193</v>
      </c>
      <c r="I672">
        <v>832.7751</v>
      </c>
      <c r="J672">
        <v>2.68637129</v>
      </c>
      <c r="K672">
        <v>0.09421149831319195</v>
      </c>
      <c r="L672">
        <v>1.338206166519748</v>
      </c>
      <c r="M672">
        <v>20.21</v>
      </c>
      <c r="N672">
        <v>6.43</v>
      </c>
    </row>
    <row r="673" spans="1:14">
      <c r="A673" s="1" t="s">
        <v>685</v>
      </c>
      <c r="B673">
        <f>HYPERLINK("https://www.suredividend.com/sure-analysis-research-database/","Getty Realty Corp.")</f>
        <v>0</v>
      </c>
      <c r="C673" t="s">
        <v>1814</v>
      </c>
      <c r="D673">
        <v>31.22</v>
      </c>
      <c r="E673">
        <v>0.053462379033738</v>
      </c>
      <c r="F673">
        <v>0.04878048780487787</v>
      </c>
      <c r="G673">
        <v>0.06087373042094901</v>
      </c>
      <c r="H673">
        <v>1.669095473433331</v>
      </c>
      <c r="I673">
        <v>1576.647152</v>
      </c>
      <c r="J673">
        <v>23.8175015756001</v>
      </c>
      <c r="K673">
        <v>1.209489473502414</v>
      </c>
      <c r="L673">
        <v>0.539561147043857</v>
      </c>
      <c r="M673">
        <v>35.66</v>
      </c>
      <c r="N673">
        <v>24.56</v>
      </c>
    </row>
    <row r="674" spans="1:14">
      <c r="A674" s="1" t="s">
        <v>686</v>
      </c>
      <c r="B674">
        <f>HYPERLINK("https://www.suredividend.com/sure-analysis-research-database/","Granite Construction Inc.")</f>
        <v>0</v>
      </c>
      <c r="C674" t="s">
        <v>1813</v>
      </c>
      <c r="D674">
        <v>42.01</v>
      </c>
      <c r="E674">
        <v>0.012316371458831</v>
      </c>
      <c r="F674">
        <v>0</v>
      </c>
      <c r="G674">
        <v>0</v>
      </c>
      <c r="H674">
        <v>0.5174107649855051</v>
      </c>
      <c r="I674">
        <v>1845.086636</v>
      </c>
      <c r="J674">
        <v>47.2287771205877</v>
      </c>
      <c r="K674">
        <v>0.6844057737903506</v>
      </c>
      <c r="L674">
        <v>0.8982941832296361</v>
      </c>
      <c r="M674">
        <v>43.92</v>
      </c>
      <c r="N674">
        <v>25.09</v>
      </c>
    </row>
    <row r="675" spans="1:14">
      <c r="A675" s="1" t="s">
        <v>687</v>
      </c>
      <c r="B675">
        <f>HYPERLINK("https://www.suredividend.com/sure-analysis-research-database/","ESS Tech Inc")</f>
        <v>0</v>
      </c>
      <c r="C675" t="s">
        <v>1812</v>
      </c>
      <c r="D675">
        <v>1.8</v>
      </c>
      <c r="E675">
        <v>0</v>
      </c>
      <c r="F675" t="s">
        <v>1812</v>
      </c>
      <c r="G675" t="s">
        <v>1812</v>
      </c>
      <c r="H675">
        <v>0</v>
      </c>
      <c r="I675">
        <v>277.860091</v>
      </c>
      <c r="J675">
        <v>0</v>
      </c>
      <c r="K675" t="s">
        <v>1812</v>
      </c>
      <c r="L675">
        <v>2.372193235200034</v>
      </c>
      <c r="M675">
        <v>5.31</v>
      </c>
      <c r="N675">
        <v>0.75</v>
      </c>
    </row>
    <row r="676" spans="1:14">
      <c r="A676" s="1" t="s">
        <v>688</v>
      </c>
      <c r="B676">
        <f>HYPERLINK("https://www.suredividend.com/sure-analysis-GWRS/","Global Water Resources Inc")</f>
        <v>0</v>
      </c>
      <c r="C676" t="s">
        <v>1820</v>
      </c>
      <c r="D676">
        <v>12.76</v>
      </c>
      <c r="E676">
        <v>0.02351097178683386</v>
      </c>
      <c r="F676">
        <v>0</v>
      </c>
      <c r="G676">
        <v>0.002025948542577316</v>
      </c>
      <c r="H676">
        <v>0.291899050795925</v>
      </c>
      <c r="I676">
        <v>304.594547</v>
      </c>
      <c r="J676">
        <v>0</v>
      </c>
      <c r="K676" t="s">
        <v>1812</v>
      </c>
      <c r="L676">
        <v>0.6903502175998121</v>
      </c>
      <c r="M676">
        <v>14.65</v>
      </c>
      <c r="N676">
        <v>10.31</v>
      </c>
    </row>
    <row r="677" spans="1:14">
      <c r="A677" s="1" t="s">
        <v>689</v>
      </c>
      <c r="B677">
        <f>HYPERLINK("https://www.suredividend.com/sure-analysis-research-database/","Hawaiian Holdings, Inc.")</f>
        <v>0</v>
      </c>
      <c r="C677" t="s">
        <v>1813</v>
      </c>
      <c r="D677">
        <v>10.28</v>
      </c>
      <c r="E677">
        <v>0</v>
      </c>
      <c r="F677" t="s">
        <v>1812</v>
      </c>
      <c r="G677" t="s">
        <v>1812</v>
      </c>
      <c r="H677">
        <v>0</v>
      </c>
      <c r="I677">
        <v>530.780095</v>
      </c>
      <c r="J677" t="s">
        <v>1812</v>
      </c>
      <c r="K677">
        <v>-0</v>
      </c>
      <c r="L677">
        <v>1.592187098696381</v>
      </c>
      <c r="M677">
        <v>17.39</v>
      </c>
      <c r="N677">
        <v>7.34</v>
      </c>
    </row>
    <row r="678" spans="1:14">
      <c r="A678" s="1" t="s">
        <v>690</v>
      </c>
      <c r="B678">
        <f>HYPERLINK("https://www.suredividend.com/sure-analysis-research-database/","Haemonetics Corp.")</f>
        <v>0</v>
      </c>
      <c r="C678" t="s">
        <v>1817</v>
      </c>
      <c r="D678">
        <v>91.64</v>
      </c>
      <c r="E678">
        <v>0</v>
      </c>
      <c r="F678" t="s">
        <v>1812</v>
      </c>
      <c r="G678" t="s">
        <v>1812</v>
      </c>
      <c r="H678">
        <v>0</v>
      </c>
      <c r="I678">
        <v>4636.839392</v>
      </c>
      <c r="J678">
        <v>40.18023580454242</v>
      </c>
      <c r="K678">
        <v>0</v>
      </c>
      <c r="L678">
        <v>0.752152553671779</v>
      </c>
      <c r="M678">
        <v>94.52</v>
      </c>
      <c r="N678">
        <v>67.19</v>
      </c>
    </row>
    <row r="679" spans="1:14">
      <c r="A679" s="1" t="s">
        <v>691</v>
      </c>
      <c r="B679">
        <f>HYPERLINK("https://www.suredividend.com/sure-analysis-research-database/","Hanmi Financial Corp.")</f>
        <v>0</v>
      </c>
      <c r="C679" t="s">
        <v>1815</v>
      </c>
      <c r="D679">
        <v>19</v>
      </c>
      <c r="E679">
        <v>0.05086015476659501</v>
      </c>
      <c r="F679">
        <v>0</v>
      </c>
      <c r="G679">
        <v>0.008197818497166498</v>
      </c>
      <c r="H679">
        <v>0.9663429405653111</v>
      </c>
      <c r="I679">
        <v>580.377762</v>
      </c>
      <c r="J679">
        <v>5.682234621447243</v>
      </c>
      <c r="K679">
        <v>0.2876020656444379</v>
      </c>
      <c r="L679">
        <v>1.04316692869129</v>
      </c>
      <c r="M679">
        <v>25.89</v>
      </c>
      <c r="N679">
        <v>12.88</v>
      </c>
    </row>
    <row r="680" spans="1:14">
      <c r="A680" s="1" t="s">
        <v>692</v>
      </c>
      <c r="B680">
        <f>HYPERLINK("https://www.suredividend.com/sure-analysis-research-database/","Hain Celestial Group Inc")</f>
        <v>0</v>
      </c>
      <c r="C680" t="s">
        <v>1819</v>
      </c>
      <c r="D680">
        <v>11.79</v>
      </c>
      <c r="E680">
        <v>0</v>
      </c>
      <c r="F680" t="s">
        <v>1812</v>
      </c>
      <c r="G680" t="s">
        <v>1812</v>
      </c>
      <c r="H680">
        <v>0</v>
      </c>
      <c r="I680">
        <v>1054.544713</v>
      </c>
      <c r="J680" t="s">
        <v>1812</v>
      </c>
      <c r="K680">
        <v>-0</v>
      </c>
      <c r="L680">
        <v>1.23028223937761</v>
      </c>
      <c r="M680">
        <v>25.48</v>
      </c>
      <c r="N680">
        <v>11.28</v>
      </c>
    </row>
    <row r="681" spans="1:14">
      <c r="A681" s="1" t="s">
        <v>693</v>
      </c>
      <c r="B681">
        <f>HYPERLINK("https://www.suredividend.com/sure-analysis-research-database/","Halozyme Therapeutics Inc.")</f>
        <v>0</v>
      </c>
      <c r="C681" t="s">
        <v>1817</v>
      </c>
      <c r="D681">
        <v>42.1</v>
      </c>
      <c r="E681">
        <v>0</v>
      </c>
      <c r="F681" t="s">
        <v>1812</v>
      </c>
      <c r="G681" t="s">
        <v>1812</v>
      </c>
      <c r="H681">
        <v>0</v>
      </c>
      <c r="I681">
        <v>5543.746524</v>
      </c>
      <c r="J681">
        <v>30.52118811248872</v>
      </c>
      <c r="K681">
        <v>0</v>
      </c>
      <c r="L681">
        <v>0.6816060301751911</v>
      </c>
      <c r="M681">
        <v>59.46</v>
      </c>
      <c r="N681">
        <v>29.85</v>
      </c>
    </row>
    <row r="682" spans="1:14">
      <c r="A682" s="1" t="s">
        <v>694</v>
      </c>
      <c r="B682">
        <f>HYPERLINK("https://www.suredividend.com/sure-analysis-HASI/","Hannon Armstrong Sustainable Infrastructure capital Inc")</f>
        <v>0</v>
      </c>
      <c r="C682" t="s">
        <v>1814</v>
      </c>
      <c r="D682">
        <v>24.4</v>
      </c>
      <c r="E682">
        <v>0.06475409836065575</v>
      </c>
      <c r="F682">
        <v>0.05333333333333345</v>
      </c>
      <c r="G682">
        <v>0.03661295272409038</v>
      </c>
      <c r="H682">
        <v>1.507076587796933</v>
      </c>
      <c r="I682">
        <v>2241.473768</v>
      </c>
      <c r="J682">
        <v>110.6245073339256</v>
      </c>
      <c r="K682">
        <v>6.834814457128948</v>
      </c>
      <c r="L682">
        <v>1.629505874418703</v>
      </c>
      <c r="M682">
        <v>43.76</v>
      </c>
      <c r="N682">
        <v>20.66</v>
      </c>
    </row>
    <row r="683" spans="1:14">
      <c r="A683" s="1" t="s">
        <v>695</v>
      </c>
      <c r="B683">
        <f>HYPERLINK("https://www.suredividend.com/sure-analysis-research-database/","Haynes International Inc.")</f>
        <v>0</v>
      </c>
      <c r="C683" t="s">
        <v>1813</v>
      </c>
      <c r="D683">
        <v>48.56</v>
      </c>
      <c r="E683">
        <v>0.017930679250904</v>
      </c>
      <c r="F683">
        <v>0</v>
      </c>
      <c r="G683">
        <v>0</v>
      </c>
      <c r="H683">
        <v>0.8707137844239381</v>
      </c>
      <c r="I683">
        <v>618.229403</v>
      </c>
      <c r="J683">
        <v>11.88171515375154</v>
      </c>
      <c r="K683">
        <v>0.2108265821849729</v>
      </c>
      <c r="L683">
        <v>1.348898657228894</v>
      </c>
      <c r="M683">
        <v>60.25</v>
      </c>
      <c r="N683">
        <v>34.3</v>
      </c>
    </row>
    <row r="684" spans="1:14">
      <c r="A684" s="1" t="s">
        <v>696</v>
      </c>
      <c r="B684">
        <f>HYPERLINK("https://www.suredividend.com/sure-analysis-research-database/","Home Bancorp Inc")</f>
        <v>0</v>
      </c>
      <c r="C684" t="s">
        <v>1815</v>
      </c>
      <c r="D684">
        <v>35.33</v>
      </c>
      <c r="E684">
        <v>0.033720177788148</v>
      </c>
      <c r="F684">
        <v>0.08695652173913038</v>
      </c>
      <c r="G684">
        <v>0.04563955259127317</v>
      </c>
      <c r="H684">
        <v>1.191333881255273</v>
      </c>
      <c r="I684">
        <v>291.501011</v>
      </c>
      <c r="J684">
        <v>7.111341789905101</v>
      </c>
      <c r="K684">
        <v>0.2368457020388217</v>
      </c>
      <c r="L684">
        <v>0.7969373268764991</v>
      </c>
      <c r="M684">
        <v>41.92</v>
      </c>
      <c r="N684">
        <v>27.36</v>
      </c>
    </row>
    <row r="685" spans="1:14">
      <c r="A685" s="1" t="s">
        <v>697</v>
      </c>
      <c r="B685">
        <f>HYPERLINK("https://www.suredividend.com/sure-analysis-research-database/","Horizon Bancorp Inc (IN)")</f>
        <v>0</v>
      </c>
      <c r="C685" t="s">
        <v>1815</v>
      </c>
      <c r="D685">
        <v>12.47</v>
      </c>
      <c r="E685">
        <v>0.04917458896899601</v>
      </c>
      <c r="F685">
        <v>0</v>
      </c>
      <c r="G685">
        <v>0.09856054330611763</v>
      </c>
      <c r="H685">
        <v>0.6132071244433871</v>
      </c>
      <c r="I685">
        <v>550.129426</v>
      </c>
      <c r="J685">
        <v>6.246289163648337</v>
      </c>
      <c r="K685">
        <v>0.3035678833878154</v>
      </c>
      <c r="L685">
        <v>0.994016446372</v>
      </c>
      <c r="M685">
        <v>18.86</v>
      </c>
      <c r="N685">
        <v>7.46</v>
      </c>
    </row>
    <row r="686" spans="1:14">
      <c r="A686" s="1" t="s">
        <v>698</v>
      </c>
      <c r="B686">
        <f>HYPERLINK("https://www.suredividend.com/sure-analysis-research-database/","HBT Financial Inc")</f>
        <v>0</v>
      </c>
      <c r="C686" t="s">
        <v>1815</v>
      </c>
      <c r="D686">
        <v>20.09</v>
      </c>
      <c r="E686">
        <v>0.032203296477754</v>
      </c>
      <c r="F686" t="s">
        <v>1812</v>
      </c>
      <c r="G686" t="s">
        <v>1812</v>
      </c>
      <c r="H686">
        <v>0.64696422623808</v>
      </c>
      <c r="I686">
        <v>639.790881</v>
      </c>
      <c r="J686">
        <v>0</v>
      </c>
      <c r="K686" t="s">
        <v>1812</v>
      </c>
      <c r="L686">
        <v>0.579162215881986</v>
      </c>
      <c r="M686">
        <v>23.03</v>
      </c>
      <c r="N686">
        <v>16.33</v>
      </c>
    </row>
    <row r="687" spans="1:14">
      <c r="A687" s="1" t="s">
        <v>699</v>
      </c>
      <c r="B687">
        <f>HYPERLINK("https://www.suredividend.com/sure-analysis-research-database/","Health Catalyst Inc")</f>
        <v>0</v>
      </c>
      <c r="C687" t="s">
        <v>1817</v>
      </c>
      <c r="D687">
        <v>14.11</v>
      </c>
      <c r="E687">
        <v>0</v>
      </c>
      <c r="F687" t="s">
        <v>1812</v>
      </c>
      <c r="G687" t="s">
        <v>1812</v>
      </c>
      <c r="H687">
        <v>0</v>
      </c>
      <c r="I687">
        <v>793.831859</v>
      </c>
      <c r="J687">
        <v>0</v>
      </c>
      <c r="K687" t="s">
        <v>1812</v>
      </c>
      <c r="L687">
        <v>1.556604670487563</v>
      </c>
      <c r="M687">
        <v>15.87</v>
      </c>
      <c r="N687">
        <v>6.4</v>
      </c>
    </row>
    <row r="688" spans="1:14">
      <c r="A688" s="1" t="s">
        <v>700</v>
      </c>
      <c r="B688">
        <f>HYPERLINK("https://www.suredividend.com/sure-analysis-research-database/","Warrior Met Coal Inc")</f>
        <v>0</v>
      </c>
      <c r="C688" t="s">
        <v>1823</v>
      </c>
      <c r="D688">
        <v>38.23</v>
      </c>
      <c r="E688">
        <v>0.006629767511383</v>
      </c>
      <c r="F688">
        <v>0.1666666666666667</v>
      </c>
      <c r="G688">
        <v>0.06961037572506878</v>
      </c>
      <c r="H688">
        <v>0.253456011960176</v>
      </c>
      <c r="I688">
        <v>1988.652498</v>
      </c>
      <c r="J688">
        <v>2.93603449183997</v>
      </c>
      <c r="K688">
        <v>0.01937737094496758</v>
      </c>
      <c r="L688">
        <v>0.7158755624307981</v>
      </c>
      <c r="M688">
        <v>44.82</v>
      </c>
      <c r="N688">
        <v>25.6</v>
      </c>
    </row>
    <row r="689" spans="1:14">
      <c r="A689" s="1" t="s">
        <v>701</v>
      </c>
      <c r="B689">
        <f>HYPERLINK("https://www.suredividend.com/sure-analysis-research-database/","Heritage-Crystal Clean Inc")</f>
        <v>0</v>
      </c>
      <c r="C689" t="s">
        <v>1813</v>
      </c>
      <c r="D689">
        <v>46.29</v>
      </c>
      <c r="E689">
        <v>0</v>
      </c>
      <c r="F689" t="s">
        <v>1812</v>
      </c>
      <c r="G689" t="s">
        <v>1812</v>
      </c>
      <c r="H689">
        <v>0</v>
      </c>
      <c r="I689">
        <v>1127.159417</v>
      </c>
      <c r="J689">
        <v>0</v>
      </c>
      <c r="K689" t="s">
        <v>1812</v>
      </c>
      <c r="L689">
        <v>0.776974746393669</v>
      </c>
      <c r="M689">
        <v>47.98</v>
      </c>
      <c r="N689">
        <v>25.7</v>
      </c>
    </row>
    <row r="690" spans="1:14">
      <c r="A690" s="1" t="s">
        <v>702</v>
      </c>
      <c r="B690">
        <f>HYPERLINK("https://www.suredividend.com/sure-analysis-research-database/","HCI Group Inc")</f>
        <v>0</v>
      </c>
      <c r="C690" t="s">
        <v>1815</v>
      </c>
      <c r="D690">
        <v>60.63</v>
      </c>
      <c r="E690">
        <v>0.026082949153308</v>
      </c>
      <c r="F690">
        <v>0</v>
      </c>
      <c r="G690">
        <v>0.01299136822423641</v>
      </c>
      <c r="H690">
        <v>1.581409207165076</v>
      </c>
      <c r="I690">
        <v>521.216284</v>
      </c>
      <c r="J690" t="s">
        <v>1812</v>
      </c>
      <c r="K690" t="s">
        <v>1812</v>
      </c>
      <c r="L690">
        <v>0.977269524684464</v>
      </c>
      <c r="M690">
        <v>70.87</v>
      </c>
      <c r="N690">
        <v>26.97</v>
      </c>
    </row>
    <row r="691" spans="1:14">
      <c r="A691" s="1" t="s">
        <v>703</v>
      </c>
      <c r="B691">
        <f>HYPERLINK("https://www.suredividend.com/sure-analysis-research-database/","Hackett Group Inc (The)")</f>
        <v>0</v>
      </c>
      <c r="C691" t="s">
        <v>1818</v>
      </c>
      <c r="D691">
        <v>23.7</v>
      </c>
      <c r="E691">
        <v>0.018343444258053</v>
      </c>
      <c r="F691" t="s">
        <v>1812</v>
      </c>
      <c r="G691" t="s">
        <v>1812</v>
      </c>
      <c r="H691">
        <v>0.434739628915865</v>
      </c>
      <c r="I691">
        <v>644.387145</v>
      </c>
      <c r="J691">
        <v>16.75560727806958</v>
      </c>
      <c r="K691">
        <v>0.347791703132692</v>
      </c>
      <c r="L691">
        <v>0.7238496502705191</v>
      </c>
      <c r="M691">
        <v>23.75</v>
      </c>
      <c r="N691">
        <v>16.93</v>
      </c>
    </row>
    <row r="692" spans="1:14">
      <c r="A692" s="1" t="s">
        <v>704</v>
      </c>
      <c r="B692">
        <f>HYPERLINK("https://www.suredividend.com/sure-analysis-research-database/","Healthcare Services Group, Inc.")</f>
        <v>0</v>
      </c>
      <c r="C692" t="s">
        <v>1817</v>
      </c>
      <c r="D692">
        <v>12.76</v>
      </c>
      <c r="E692">
        <v>0.033341482350967</v>
      </c>
      <c r="F692" t="s">
        <v>1812</v>
      </c>
      <c r="G692" t="s">
        <v>1812</v>
      </c>
      <c r="H692">
        <v>0.425437314798341</v>
      </c>
      <c r="I692">
        <v>946.7282</v>
      </c>
      <c r="J692">
        <v>25.07025924847072</v>
      </c>
      <c r="K692">
        <v>0.8387959676623443</v>
      </c>
      <c r="L692">
        <v>1.025751084254055</v>
      </c>
      <c r="M692">
        <v>15.97</v>
      </c>
      <c r="N692">
        <v>11.55</v>
      </c>
    </row>
    <row r="693" spans="1:14">
      <c r="A693" s="1" t="s">
        <v>705</v>
      </c>
      <c r="B693">
        <f>HYPERLINK("https://www.suredividend.com/sure-analysis-research-database/","Hudson Technologies, Inc.")</f>
        <v>0</v>
      </c>
      <c r="C693" t="s">
        <v>1823</v>
      </c>
      <c r="D693">
        <v>10.92</v>
      </c>
      <c r="E693">
        <v>0</v>
      </c>
      <c r="F693" t="s">
        <v>1812</v>
      </c>
      <c r="G693" t="s">
        <v>1812</v>
      </c>
      <c r="H693">
        <v>0</v>
      </c>
      <c r="I693">
        <v>494.991501</v>
      </c>
      <c r="J693">
        <v>0</v>
      </c>
      <c r="K693" t="s">
        <v>1812</v>
      </c>
      <c r="L693">
        <v>1.39092512284701</v>
      </c>
      <c r="M693">
        <v>12.46</v>
      </c>
      <c r="N693">
        <v>6.62</v>
      </c>
    </row>
    <row r="694" spans="1:14">
      <c r="A694" s="1" t="s">
        <v>706</v>
      </c>
      <c r="B694">
        <f>HYPERLINK("https://www.suredividend.com/sure-analysis-research-database/","Turtle Beach Corp")</f>
        <v>0</v>
      </c>
      <c r="C694" t="s">
        <v>1818</v>
      </c>
      <c r="D694">
        <v>11.48</v>
      </c>
      <c r="E694">
        <v>0</v>
      </c>
      <c r="F694" t="s">
        <v>1812</v>
      </c>
      <c r="G694" t="s">
        <v>1812</v>
      </c>
      <c r="H694">
        <v>0</v>
      </c>
      <c r="I694">
        <v>196.715735</v>
      </c>
      <c r="J694" t="s">
        <v>1812</v>
      </c>
      <c r="K694">
        <v>-0</v>
      </c>
      <c r="L694">
        <v>1.820749875028361</v>
      </c>
      <c r="M694">
        <v>14.74</v>
      </c>
      <c r="N694">
        <v>6.17</v>
      </c>
    </row>
    <row r="695" spans="1:14">
      <c r="A695" s="1" t="s">
        <v>707</v>
      </c>
      <c r="B695">
        <f>HYPERLINK("https://www.suredividend.com/sure-analysis-research-database/","H&amp;E Equipment Services Inc")</f>
        <v>0</v>
      </c>
      <c r="C695" t="s">
        <v>1813</v>
      </c>
      <c r="D695">
        <v>48.77</v>
      </c>
      <c r="E695">
        <v>0.022249702600603</v>
      </c>
      <c r="F695">
        <v>0</v>
      </c>
      <c r="G695">
        <v>0</v>
      </c>
      <c r="H695">
        <v>1.085117995831439</v>
      </c>
      <c r="I695">
        <v>1774.169106</v>
      </c>
      <c r="J695">
        <v>11.34248683501899</v>
      </c>
      <c r="K695">
        <v>0.2494524128348136</v>
      </c>
      <c r="L695">
        <v>1.364381007242296</v>
      </c>
      <c r="M695">
        <v>55.66</v>
      </c>
      <c r="N695">
        <v>26.4</v>
      </c>
    </row>
    <row r="696" spans="1:14">
      <c r="A696" s="1" t="s">
        <v>708</v>
      </c>
      <c r="B696">
        <f>HYPERLINK("https://www.suredividend.com/sure-analysis-research-database/","Helen of Troy Ltd")</f>
        <v>0</v>
      </c>
      <c r="C696" t="s">
        <v>1819</v>
      </c>
      <c r="D696">
        <v>138.52</v>
      </c>
      <c r="E696">
        <v>0</v>
      </c>
      <c r="F696" t="s">
        <v>1812</v>
      </c>
      <c r="G696" t="s">
        <v>1812</v>
      </c>
      <c r="H696">
        <v>0</v>
      </c>
      <c r="I696">
        <v>3338.245564</v>
      </c>
      <c r="J696">
        <v>23.63209114831621</v>
      </c>
      <c r="K696">
        <v>0</v>
      </c>
      <c r="L696">
        <v>1.443301591467193</v>
      </c>
      <c r="M696">
        <v>143.68</v>
      </c>
      <c r="N696">
        <v>81.14</v>
      </c>
    </row>
    <row r="697" spans="1:14">
      <c r="A697" s="1" t="s">
        <v>709</v>
      </c>
      <c r="B697">
        <f>HYPERLINK("https://www.suredividend.com/sure-analysis-research-database/","HF Foods Group Inc.")</f>
        <v>0</v>
      </c>
      <c r="C697" t="s">
        <v>1819</v>
      </c>
      <c r="D697">
        <v>5.3</v>
      </c>
      <c r="E697">
        <v>0</v>
      </c>
      <c r="F697" t="s">
        <v>1812</v>
      </c>
      <c r="G697" t="s">
        <v>1812</v>
      </c>
      <c r="H697">
        <v>0</v>
      </c>
      <c r="I697">
        <v>286.656669</v>
      </c>
      <c r="J697">
        <v>0</v>
      </c>
      <c r="K697" t="s">
        <v>1812</v>
      </c>
      <c r="L697">
        <v>1.204763176389392</v>
      </c>
      <c r="M697">
        <v>6.55</v>
      </c>
      <c r="N697">
        <v>3.42</v>
      </c>
    </row>
    <row r="698" spans="1:14">
      <c r="A698" s="1" t="s">
        <v>710</v>
      </c>
      <c r="B698">
        <f>HYPERLINK("https://www.suredividend.com/sure-analysis-research-database/","Heritage Financial Corp.")</f>
        <v>0</v>
      </c>
      <c r="C698" t="s">
        <v>1815</v>
      </c>
      <c r="D698">
        <v>19.06</v>
      </c>
      <c r="E698">
        <v>0.044189483861283</v>
      </c>
      <c r="F698">
        <v>0.04761904761904767</v>
      </c>
      <c r="G698">
        <v>0.04095039696925684</v>
      </c>
      <c r="H698">
        <v>0.842251562396065</v>
      </c>
      <c r="I698">
        <v>668.279757</v>
      </c>
      <c r="J698">
        <v>8.093003412897366</v>
      </c>
      <c r="K698">
        <v>0.36148135725153</v>
      </c>
      <c r="L698">
        <v>0.783581847950056</v>
      </c>
      <c r="M698">
        <v>32.41</v>
      </c>
      <c r="N698">
        <v>14.5</v>
      </c>
    </row>
    <row r="699" spans="1:14">
      <c r="A699" s="1" t="s">
        <v>711</v>
      </c>
      <c r="B699">
        <f>HYPERLINK("https://www.suredividend.com/sure-analysis-research-database/","Hilton Grand Vacations Inc")</f>
        <v>0</v>
      </c>
      <c r="C699" t="s">
        <v>1816</v>
      </c>
      <c r="D699">
        <v>44.15</v>
      </c>
      <c r="E699">
        <v>0</v>
      </c>
      <c r="F699" t="s">
        <v>1812</v>
      </c>
      <c r="G699" t="s">
        <v>1812</v>
      </c>
      <c r="H699">
        <v>0</v>
      </c>
      <c r="I699">
        <v>4918.497991</v>
      </c>
      <c r="J699">
        <v>13.15106414625668</v>
      </c>
      <c r="K699">
        <v>0</v>
      </c>
      <c r="L699">
        <v>1.231920933306303</v>
      </c>
      <c r="M699">
        <v>51.81</v>
      </c>
      <c r="N699">
        <v>32.12</v>
      </c>
    </row>
    <row r="700" spans="1:14">
      <c r="A700" s="1" t="s">
        <v>712</v>
      </c>
      <c r="B700">
        <f>HYPERLINK("https://www.suredividend.com/sure-analysis-HI/","Hillenbrand Inc")</f>
        <v>0</v>
      </c>
      <c r="C700" t="s">
        <v>1813</v>
      </c>
      <c r="D700">
        <v>48.2</v>
      </c>
      <c r="E700">
        <v>0.01825726141078838</v>
      </c>
      <c r="F700">
        <v>0.01149425287356332</v>
      </c>
      <c r="G700">
        <v>0.01176794512623491</v>
      </c>
      <c r="H700">
        <v>0.8715727630776111</v>
      </c>
      <c r="I700">
        <v>3369.91693</v>
      </c>
      <c r="J700">
        <v>5.490252410883024</v>
      </c>
      <c r="K700">
        <v>0.09995100494009301</v>
      </c>
      <c r="L700">
        <v>1.224090686109632</v>
      </c>
      <c r="M700">
        <v>53.67</v>
      </c>
      <c r="N700">
        <v>35.52</v>
      </c>
    </row>
    <row r="701" spans="1:14">
      <c r="A701" s="1" t="s">
        <v>713</v>
      </c>
      <c r="B701">
        <f>HYPERLINK("https://www.suredividend.com/sure-analysis-research-database/","Hibbett Inc")</f>
        <v>0</v>
      </c>
      <c r="C701" t="s">
        <v>1816</v>
      </c>
      <c r="D701">
        <v>45.12</v>
      </c>
      <c r="E701">
        <v>0.021877675472958</v>
      </c>
      <c r="F701" t="s">
        <v>1812</v>
      </c>
      <c r="G701" t="s">
        <v>1812</v>
      </c>
      <c r="H701">
        <v>0.987120717339909</v>
      </c>
      <c r="I701">
        <v>575.122667</v>
      </c>
      <c r="J701">
        <v>4.616307473291327</v>
      </c>
      <c r="K701">
        <v>0.1044572187661279</v>
      </c>
      <c r="L701">
        <v>1.186590695967042</v>
      </c>
      <c r="M701">
        <v>74.08</v>
      </c>
      <c r="N701">
        <v>34.4</v>
      </c>
    </row>
    <row r="702" spans="1:14">
      <c r="A702" s="1" t="s">
        <v>714</v>
      </c>
      <c r="B702">
        <f>HYPERLINK("https://www.suredividend.com/sure-analysis-HIFS/","Hingham Institution For Savings")</f>
        <v>0</v>
      </c>
      <c r="C702" t="s">
        <v>1815</v>
      </c>
      <c r="D702">
        <v>222.54</v>
      </c>
      <c r="E702">
        <v>0.01132380695605285</v>
      </c>
      <c r="F702">
        <v>0.03278688524590168</v>
      </c>
      <c r="G702">
        <v>0.09510588196866943</v>
      </c>
      <c r="H702">
        <v>2.479774608044594</v>
      </c>
      <c r="I702">
        <v>468.66924</v>
      </c>
      <c r="J702">
        <v>0</v>
      </c>
      <c r="K702" t="s">
        <v>1812</v>
      </c>
      <c r="L702">
        <v>0.933544708034816</v>
      </c>
      <c r="M702">
        <v>318.65</v>
      </c>
      <c r="N702">
        <v>172.51</v>
      </c>
    </row>
    <row r="703" spans="1:14">
      <c r="A703" s="1" t="s">
        <v>715</v>
      </c>
      <c r="B703">
        <f>HYPERLINK("https://www.suredividend.com/sure-analysis-research-database/","Hims &amp; Hers Health Inc")</f>
        <v>0</v>
      </c>
      <c r="C703" t="s">
        <v>1812</v>
      </c>
      <c r="D703">
        <v>8.199999999999999</v>
      </c>
      <c r="E703">
        <v>0</v>
      </c>
      <c r="F703" t="s">
        <v>1812</v>
      </c>
      <c r="G703" t="s">
        <v>1812</v>
      </c>
      <c r="H703">
        <v>0</v>
      </c>
      <c r="I703">
        <v>1647.719816</v>
      </c>
      <c r="J703">
        <v>0</v>
      </c>
      <c r="K703" t="s">
        <v>1812</v>
      </c>
      <c r="L703">
        <v>1.446675326090767</v>
      </c>
      <c r="M703">
        <v>12.34</v>
      </c>
      <c r="N703">
        <v>4.01</v>
      </c>
    </row>
    <row r="704" spans="1:14">
      <c r="A704" s="1" t="s">
        <v>716</v>
      </c>
      <c r="B704">
        <f>HYPERLINK("https://www.suredividend.com/sure-analysis-research-database/","Hippo Holdings Inc")</f>
        <v>0</v>
      </c>
      <c r="C704" t="s">
        <v>1812</v>
      </c>
      <c r="D704">
        <v>16.39</v>
      </c>
      <c r="E704">
        <v>0</v>
      </c>
      <c r="F704" t="s">
        <v>1812</v>
      </c>
      <c r="G704" t="s">
        <v>1812</v>
      </c>
      <c r="H704">
        <v>0</v>
      </c>
      <c r="I704">
        <v>381.311285</v>
      </c>
      <c r="J704">
        <v>0</v>
      </c>
      <c r="K704" t="s">
        <v>1812</v>
      </c>
      <c r="L704">
        <v>1.409982999393002</v>
      </c>
      <c r="M704">
        <v>27.25</v>
      </c>
      <c r="N704">
        <v>11.3</v>
      </c>
    </row>
    <row r="705" spans="1:14">
      <c r="A705" s="1" t="s">
        <v>717</v>
      </c>
      <c r="B705">
        <f>HYPERLINK("https://www.suredividend.com/sure-analysis-research-database/","Hecla Mining Co.")</f>
        <v>0</v>
      </c>
      <c r="C705" t="s">
        <v>1823</v>
      </c>
      <c r="D705">
        <v>5.21</v>
      </c>
      <c r="E705">
        <v>0.004311735076017001</v>
      </c>
      <c r="F705">
        <v>0</v>
      </c>
      <c r="G705">
        <v>0.2011244339814313</v>
      </c>
      <c r="H705">
        <v>0.022464139746053</v>
      </c>
      <c r="I705">
        <v>3191.837744</v>
      </c>
      <c r="J705" t="s">
        <v>1812</v>
      </c>
      <c r="K705" t="s">
        <v>1812</v>
      </c>
      <c r="L705">
        <v>1.376103024040576</v>
      </c>
      <c r="M705">
        <v>6.99</v>
      </c>
      <c r="N705">
        <v>3.4</v>
      </c>
    </row>
    <row r="706" spans="1:14">
      <c r="A706" s="1" t="s">
        <v>718</v>
      </c>
      <c r="B706">
        <f>HYPERLINK("https://www.suredividend.com/sure-analysis-research-database/","Herbalife Ltd")</f>
        <v>0</v>
      </c>
      <c r="C706" t="s">
        <v>1819</v>
      </c>
      <c r="D706">
        <v>18.74</v>
      </c>
      <c r="E706">
        <v>0</v>
      </c>
      <c r="F706" t="s">
        <v>1812</v>
      </c>
      <c r="G706" t="s">
        <v>1812</v>
      </c>
      <c r="H706">
        <v>0</v>
      </c>
      <c r="I706">
        <v>1855.240267</v>
      </c>
      <c r="J706">
        <v>7.350397253486529</v>
      </c>
      <c r="K706">
        <v>0</v>
      </c>
      <c r="L706">
        <v>1.494947678388536</v>
      </c>
      <c r="M706">
        <v>30.65</v>
      </c>
      <c r="N706">
        <v>11.14</v>
      </c>
    </row>
    <row r="707" spans="1:14">
      <c r="A707" s="1" t="s">
        <v>719</v>
      </c>
      <c r="B707">
        <f>HYPERLINK("https://www.suredividend.com/sure-analysis-research-database/","Heliogen Inc")</f>
        <v>0</v>
      </c>
      <c r="C707" t="s">
        <v>1812</v>
      </c>
      <c r="D707">
        <v>0.257</v>
      </c>
      <c r="E707">
        <v>0</v>
      </c>
      <c r="F707" t="s">
        <v>1812</v>
      </c>
      <c r="G707" t="s">
        <v>1812</v>
      </c>
      <c r="H707">
        <v>0</v>
      </c>
      <c r="I707">
        <v>52.536449</v>
      </c>
      <c r="J707">
        <v>0</v>
      </c>
      <c r="K707" t="s">
        <v>1812</v>
      </c>
      <c r="L707">
        <v>2.042998005764909</v>
      </c>
      <c r="M707">
        <v>3.02</v>
      </c>
      <c r="N707">
        <v>0.1881</v>
      </c>
    </row>
    <row r="708" spans="1:14">
      <c r="A708" s="1" t="s">
        <v>720</v>
      </c>
      <c r="B708">
        <f>HYPERLINK("https://www.suredividend.com/sure-analysis-HLI/","Houlihan Lokey Inc")</f>
        <v>0</v>
      </c>
      <c r="C708" t="s">
        <v>1815</v>
      </c>
      <c r="D708">
        <v>100.22</v>
      </c>
      <c r="E708">
        <v>0.02195170624625823</v>
      </c>
      <c r="F708">
        <v>0.03773584905660377</v>
      </c>
      <c r="G708">
        <v>0.1529216246740956</v>
      </c>
      <c r="H708">
        <v>2.121328161781069</v>
      </c>
      <c r="I708">
        <v>5150.439393</v>
      </c>
      <c r="J708">
        <v>20.2595335326072</v>
      </c>
      <c r="K708">
        <v>0.5641830217502843</v>
      </c>
      <c r="L708">
        <v>0.9079838590236061</v>
      </c>
      <c r="M708">
        <v>108.43</v>
      </c>
      <c r="N708">
        <v>72.91</v>
      </c>
    </row>
    <row r="709" spans="1:14">
      <c r="A709" s="1" t="s">
        <v>721</v>
      </c>
      <c r="B709">
        <f>HYPERLINK("https://www.suredividend.com/sure-analysis-research-database/","Helios Technologies Inc")</f>
        <v>0</v>
      </c>
      <c r="C709" t="s">
        <v>1813</v>
      </c>
      <c r="D709">
        <v>63.13</v>
      </c>
      <c r="E709">
        <v>0.005690411031437001</v>
      </c>
      <c r="F709">
        <v>0</v>
      </c>
      <c r="G709">
        <v>0</v>
      </c>
      <c r="H709">
        <v>0.359235648414629</v>
      </c>
      <c r="I709">
        <v>2060.881754</v>
      </c>
      <c r="J709">
        <v>25.18737935982988</v>
      </c>
      <c r="K709">
        <v>0.1431217722767446</v>
      </c>
      <c r="L709">
        <v>1.149768747618855</v>
      </c>
      <c r="M709">
        <v>72.42</v>
      </c>
      <c r="N709">
        <v>47.97</v>
      </c>
    </row>
    <row r="710" spans="1:14">
      <c r="A710" s="1" t="s">
        <v>722</v>
      </c>
      <c r="B710">
        <f>HYPERLINK("https://www.suredividend.com/sure-analysis-research-database/","Harmonic, Inc.")</f>
        <v>0</v>
      </c>
      <c r="C710" t="s">
        <v>1818</v>
      </c>
      <c r="D710">
        <v>10.85</v>
      </c>
      <c r="E710">
        <v>0</v>
      </c>
      <c r="F710" t="s">
        <v>1812</v>
      </c>
      <c r="G710" t="s">
        <v>1812</v>
      </c>
      <c r="H710">
        <v>0</v>
      </c>
      <c r="I710">
        <v>1208.205211</v>
      </c>
      <c r="J710">
        <v>34.71455037208367</v>
      </c>
      <c r="K710">
        <v>0</v>
      </c>
      <c r="L710">
        <v>0.805633837265407</v>
      </c>
      <c r="M710">
        <v>18.43</v>
      </c>
      <c r="N710">
        <v>10.6</v>
      </c>
    </row>
    <row r="711" spans="1:14">
      <c r="A711" s="1" t="s">
        <v>723</v>
      </c>
      <c r="B711">
        <f>HYPERLINK("https://www.suredividend.com/sure-analysis-research-database/","Holley Inc")</f>
        <v>0</v>
      </c>
      <c r="C711" t="s">
        <v>1812</v>
      </c>
      <c r="D711">
        <v>6.11</v>
      </c>
      <c r="E711">
        <v>0</v>
      </c>
      <c r="F711" t="s">
        <v>1812</v>
      </c>
      <c r="G711" t="s">
        <v>1812</v>
      </c>
      <c r="H711">
        <v>0</v>
      </c>
      <c r="I711">
        <v>722.605052</v>
      </c>
      <c r="J711">
        <v>0</v>
      </c>
      <c r="K711" t="s">
        <v>1812</v>
      </c>
      <c r="L711">
        <v>1.359891509155065</v>
      </c>
      <c r="M711">
        <v>6.65</v>
      </c>
      <c r="N711">
        <v>1.88</v>
      </c>
    </row>
    <row r="712" spans="1:14">
      <c r="A712" s="1" t="s">
        <v>724</v>
      </c>
      <c r="B712">
        <f>HYPERLINK("https://www.suredividend.com/sure-analysis-research-database/","Hillman Solutions Corp")</f>
        <v>0</v>
      </c>
      <c r="C712" t="s">
        <v>1812</v>
      </c>
      <c r="D712">
        <v>9.75</v>
      </c>
      <c r="E712">
        <v>0</v>
      </c>
      <c r="F712" t="s">
        <v>1812</v>
      </c>
      <c r="G712" t="s">
        <v>1812</v>
      </c>
      <c r="H712">
        <v>0</v>
      </c>
      <c r="I712">
        <v>1897.546853</v>
      </c>
      <c r="J712">
        <v>0</v>
      </c>
      <c r="K712" t="s">
        <v>1812</v>
      </c>
      <c r="L712">
        <v>1.207205580348216</v>
      </c>
      <c r="M712">
        <v>10.28</v>
      </c>
      <c r="N712">
        <v>6.6</v>
      </c>
    </row>
    <row r="713" spans="1:14">
      <c r="A713" s="1" t="s">
        <v>725</v>
      </c>
      <c r="B713">
        <f>HYPERLINK("https://www.suredividend.com/sure-analysis-research-database/","Hamilton Lane Inc")</f>
        <v>0</v>
      </c>
      <c r="C713" t="s">
        <v>1815</v>
      </c>
      <c r="D713">
        <v>91.78</v>
      </c>
      <c r="E713">
        <v>0.017694510312379</v>
      </c>
      <c r="F713">
        <v>0.1125</v>
      </c>
      <c r="G713">
        <v>0.1593116905168142</v>
      </c>
      <c r="H713">
        <v>1.624002156470188</v>
      </c>
      <c r="I713">
        <v>3541.72577</v>
      </c>
      <c r="J713">
        <v>32.1793695411677</v>
      </c>
      <c r="K713">
        <v>0.7921961738878966</v>
      </c>
      <c r="L713">
        <v>1.310385653997786</v>
      </c>
      <c r="M713">
        <v>92.01000000000001</v>
      </c>
      <c r="N713">
        <v>54.52</v>
      </c>
    </row>
    <row r="714" spans="1:14">
      <c r="A714" s="1" t="s">
        <v>726</v>
      </c>
      <c r="B714">
        <f>HYPERLINK("https://www.suredividend.com/sure-analysis-research-database/","Cue Health Inc")</f>
        <v>0</v>
      </c>
      <c r="C714" t="s">
        <v>1812</v>
      </c>
      <c r="D714">
        <v>0.4771</v>
      </c>
      <c r="E714">
        <v>0</v>
      </c>
      <c r="F714" t="s">
        <v>1812</v>
      </c>
      <c r="G714" t="s">
        <v>1812</v>
      </c>
      <c r="H714">
        <v>0</v>
      </c>
      <c r="I714">
        <v>72.337315</v>
      </c>
      <c r="J714">
        <v>0</v>
      </c>
      <c r="K714" t="s">
        <v>1812</v>
      </c>
      <c r="L714">
        <v>1.72931756283605</v>
      </c>
      <c r="M714">
        <v>5.1</v>
      </c>
      <c r="N714">
        <v>0.3502</v>
      </c>
    </row>
    <row r="715" spans="1:14">
      <c r="A715" s="1" t="s">
        <v>727</v>
      </c>
      <c r="B715">
        <f>HYPERLINK("https://www.suredividend.com/sure-analysis-research-database/","HilleVax Inc")</f>
        <v>0</v>
      </c>
      <c r="C715" t="s">
        <v>1812</v>
      </c>
      <c r="D715">
        <v>14.29</v>
      </c>
      <c r="E715">
        <v>0</v>
      </c>
      <c r="F715" t="s">
        <v>1812</v>
      </c>
      <c r="G715" t="s">
        <v>1812</v>
      </c>
      <c r="H715">
        <v>0</v>
      </c>
      <c r="I715">
        <v>560.170486</v>
      </c>
      <c r="J715">
        <v>0</v>
      </c>
      <c r="K715" t="s">
        <v>1812</v>
      </c>
      <c r="L715">
        <v>1.039727938899519</v>
      </c>
      <c r="M715">
        <v>24.42</v>
      </c>
      <c r="N715">
        <v>10.54</v>
      </c>
    </row>
    <row r="716" spans="1:14">
      <c r="A716" s="1" t="s">
        <v>728</v>
      </c>
      <c r="B716">
        <f>HYPERLINK("https://www.suredividend.com/sure-analysis-research-database/","Helix Energy Solutions Group Inc")</f>
        <v>0</v>
      </c>
      <c r="C716" t="s">
        <v>1822</v>
      </c>
      <c r="D716">
        <v>9.52</v>
      </c>
      <c r="E716">
        <v>0</v>
      </c>
      <c r="F716" t="s">
        <v>1812</v>
      </c>
      <c r="G716" t="s">
        <v>1812</v>
      </c>
      <c r="H716">
        <v>0</v>
      </c>
      <c r="I716">
        <v>1435.785247</v>
      </c>
      <c r="J716" t="s">
        <v>1812</v>
      </c>
      <c r="K716">
        <v>-0</v>
      </c>
      <c r="L716">
        <v>0.8817795740880291</v>
      </c>
      <c r="M716">
        <v>10.04</v>
      </c>
      <c r="N716">
        <v>3.57</v>
      </c>
    </row>
    <row r="717" spans="1:14">
      <c r="A717" s="1" t="s">
        <v>729</v>
      </c>
      <c r="B717">
        <f>HYPERLINK("https://www.suredividend.com/sure-analysis-HMN/","Horace Mann Educators Corp.")</f>
        <v>0</v>
      </c>
      <c r="C717" t="s">
        <v>1815</v>
      </c>
      <c r="D717">
        <v>28.45</v>
      </c>
      <c r="E717">
        <v>0.04639718804920914</v>
      </c>
      <c r="F717">
        <v>0.03125</v>
      </c>
      <c r="G717">
        <v>0.02975477857041309</v>
      </c>
      <c r="H717">
        <v>1.280915491872207</v>
      </c>
      <c r="I717">
        <v>1161.999823</v>
      </c>
      <c r="J717" t="s">
        <v>1812</v>
      </c>
      <c r="K717" t="s">
        <v>1812</v>
      </c>
      <c r="L717">
        <v>0.535204845888642</v>
      </c>
      <c r="M717">
        <v>38.98</v>
      </c>
      <c r="N717">
        <v>28.07</v>
      </c>
    </row>
    <row r="718" spans="1:14">
      <c r="A718" s="1" t="s">
        <v>730</v>
      </c>
      <c r="B718">
        <f>HYPERLINK("https://www.suredividend.com/sure-analysis-research-database/","Home Point Capital Inc")</f>
        <v>0</v>
      </c>
      <c r="C718" t="s">
        <v>1812</v>
      </c>
      <c r="D718">
        <v>2.32</v>
      </c>
      <c r="E718">
        <v>0</v>
      </c>
      <c r="F718" t="s">
        <v>1812</v>
      </c>
      <c r="G718" t="s">
        <v>1812</v>
      </c>
      <c r="H718">
        <v>0</v>
      </c>
      <c r="I718">
        <v>0</v>
      </c>
      <c r="J718">
        <v>0</v>
      </c>
      <c r="K718" t="s">
        <v>1812</v>
      </c>
    </row>
    <row r="719" spans="1:14">
      <c r="A719" s="1" t="s">
        <v>731</v>
      </c>
      <c r="B719">
        <f>HYPERLINK("https://www.suredividend.com/sure-analysis-research-database/","HomeStreet Inc")</f>
        <v>0</v>
      </c>
      <c r="C719" t="s">
        <v>1815</v>
      </c>
      <c r="D719">
        <v>10.55</v>
      </c>
      <c r="E719">
        <v>0.104591986143384</v>
      </c>
      <c r="F719" t="s">
        <v>1812</v>
      </c>
      <c r="G719" t="s">
        <v>1812</v>
      </c>
      <c r="H719">
        <v>1.10344545381271</v>
      </c>
      <c r="I719">
        <v>198.072547</v>
      </c>
      <c r="J719">
        <v>3.835122019672004</v>
      </c>
      <c r="K719">
        <v>0.401252892295531</v>
      </c>
      <c r="L719">
        <v>1.297419322059909</v>
      </c>
      <c r="M719">
        <v>36.11</v>
      </c>
      <c r="N719">
        <v>4.61</v>
      </c>
    </row>
    <row r="720" spans="1:14">
      <c r="A720" s="1" t="s">
        <v>732</v>
      </c>
      <c r="B720">
        <f>HYPERLINK("https://www.suredividend.com/sure-analysis-HNI/","HNI Corp.")</f>
        <v>0</v>
      </c>
      <c r="C720" t="s">
        <v>1813</v>
      </c>
      <c r="D720">
        <v>28.97</v>
      </c>
      <c r="E720">
        <v>0.04418363824646186</v>
      </c>
      <c r="F720">
        <v>0</v>
      </c>
      <c r="G720">
        <v>0.01640219077828098</v>
      </c>
      <c r="H720">
        <v>1.259116631358773</v>
      </c>
      <c r="I720">
        <v>1208.027707</v>
      </c>
      <c r="J720">
        <v>10.85165292619608</v>
      </c>
      <c r="K720">
        <v>0.4751383514561408</v>
      </c>
      <c r="L720">
        <v>1.030681731318146</v>
      </c>
      <c r="M720">
        <v>34.99</v>
      </c>
      <c r="N720">
        <v>24.32</v>
      </c>
    </row>
    <row r="721" spans="1:14">
      <c r="A721" s="1" t="s">
        <v>733</v>
      </c>
      <c r="B721">
        <f>HYPERLINK("https://www.suredividend.com/sure-analysis-research-database/","Honest Company Inc (The )")</f>
        <v>0</v>
      </c>
      <c r="C721" t="s">
        <v>1812</v>
      </c>
      <c r="D721">
        <v>1.42</v>
      </c>
      <c r="E721">
        <v>0</v>
      </c>
      <c r="F721" t="s">
        <v>1812</v>
      </c>
      <c r="G721" t="s">
        <v>1812</v>
      </c>
      <c r="H721">
        <v>0</v>
      </c>
      <c r="I721">
        <v>132.628</v>
      </c>
      <c r="J721" t="s">
        <v>1812</v>
      </c>
      <c r="K721">
        <v>-0</v>
      </c>
      <c r="L721">
        <v>1.310964021031267</v>
      </c>
      <c r="M721">
        <v>4.51</v>
      </c>
      <c r="N721">
        <v>1.4</v>
      </c>
    </row>
    <row r="722" spans="1:14">
      <c r="A722" s="1" t="s">
        <v>734</v>
      </c>
      <c r="B722">
        <f>HYPERLINK("https://www.suredividend.com/sure-analysis-HOMB/","Home Bancshares Inc")</f>
        <v>0</v>
      </c>
      <c r="C722" t="s">
        <v>1815</v>
      </c>
      <c r="D722">
        <v>24.55</v>
      </c>
      <c r="E722">
        <v>0.02932790224032586</v>
      </c>
      <c r="F722">
        <v>0.09090909090909083</v>
      </c>
      <c r="G722">
        <v>0.08447177119769855</v>
      </c>
      <c r="H722">
        <v>0.682117971120175</v>
      </c>
      <c r="I722">
        <v>4978.710344</v>
      </c>
      <c r="J722">
        <v>14.50115440331807</v>
      </c>
      <c r="K722">
        <v>0.406022601857247</v>
      </c>
      <c r="L722">
        <v>0.9881116884812771</v>
      </c>
      <c r="M722">
        <v>25.65</v>
      </c>
      <c r="N722">
        <v>19.6</v>
      </c>
    </row>
    <row r="723" spans="1:14">
      <c r="A723" s="1" t="s">
        <v>735</v>
      </c>
      <c r="B723">
        <f>HYPERLINK("https://www.suredividend.com/sure-analysis-research-database/","HarborOne Bancorp Inc.")</f>
        <v>0</v>
      </c>
      <c r="C723" t="s">
        <v>1815</v>
      </c>
      <c r="D723">
        <v>10.53</v>
      </c>
      <c r="E723">
        <v>0.027012874737566</v>
      </c>
      <c r="F723" t="s">
        <v>1812</v>
      </c>
      <c r="G723" t="s">
        <v>1812</v>
      </c>
      <c r="H723">
        <v>0.284445570986572</v>
      </c>
      <c r="I723">
        <v>490.600903</v>
      </c>
      <c r="J723">
        <v>12.07811376129398</v>
      </c>
      <c r="K723">
        <v>0.3240068014427293</v>
      </c>
      <c r="L723">
        <v>0.81110271225728</v>
      </c>
      <c r="M723">
        <v>15.05</v>
      </c>
      <c r="N723">
        <v>7.39</v>
      </c>
    </row>
    <row r="724" spans="1:14">
      <c r="A724" s="1" t="s">
        <v>736</v>
      </c>
      <c r="B724">
        <f>HYPERLINK("https://www.suredividend.com/sure-analysis-research-database/","Hope Bancorp Inc")</f>
        <v>0</v>
      </c>
      <c r="C724" t="s">
        <v>1815</v>
      </c>
      <c r="D724">
        <v>10.67</v>
      </c>
      <c r="E724">
        <v>0.05094467523430801</v>
      </c>
      <c r="F724" t="s">
        <v>1812</v>
      </c>
      <c r="G724" t="s">
        <v>1812</v>
      </c>
      <c r="H724">
        <v>0.543579684750071</v>
      </c>
      <c r="I724">
        <v>1279.589496</v>
      </c>
      <c r="J724">
        <v>6.506607831434964</v>
      </c>
      <c r="K724">
        <v>0.3314510272866286</v>
      </c>
      <c r="L724">
        <v>1.038042304478961</v>
      </c>
      <c r="M724">
        <v>14.67</v>
      </c>
      <c r="N724">
        <v>7.32</v>
      </c>
    </row>
    <row r="725" spans="1:14">
      <c r="A725" s="1" t="s">
        <v>737</v>
      </c>
      <c r="B725">
        <f>HYPERLINK("https://www.suredividend.com/sure-analysis-research-database/","Anywhere Real Estate Inc")</f>
        <v>0</v>
      </c>
      <c r="C725" t="s">
        <v>1812</v>
      </c>
      <c r="D725">
        <v>8.41</v>
      </c>
      <c r="E725">
        <v>0</v>
      </c>
      <c r="F725" t="s">
        <v>1812</v>
      </c>
      <c r="G725" t="s">
        <v>1812</v>
      </c>
      <c r="H725">
        <v>0</v>
      </c>
      <c r="I725">
        <v>928.213811</v>
      </c>
      <c r="J725" t="s">
        <v>1812</v>
      </c>
      <c r="K725">
        <v>-0</v>
      </c>
      <c r="L725">
        <v>2.162177491261841</v>
      </c>
      <c r="M725">
        <v>12.96</v>
      </c>
      <c r="N725">
        <v>4.33</v>
      </c>
    </row>
    <row r="726" spans="1:14">
      <c r="A726" s="1" t="s">
        <v>738</v>
      </c>
      <c r="B726">
        <f>HYPERLINK("https://www.suredividend.com/sure-analysis-research-database/","Hovnanian Enterprises, Inc.")</f>
        <v>0</v>
      </c>
      <c r="C726" t="s">
        <v>1816</v>
      </c>
      <c r="D726">
        <v>101.31</v>
      </c>
      <c r="E726">
        <v>0</v>
      </c>
      <c r="F726" t="s">
        <v>1812</v>
      </c>
      <c r="G726" t="s">
        <v>1812</v>
      </c>
      <c r="H726">
        <v>0</v>
      </c>
      <c r="I726">
        <v>534.809614</v>
      </c>
      <c r="J726">
        <v>3.298117948272034</v>
      </c>
      <c r="K726">
        <v>0</v>
      </c>
      <c r="L726">
        <v>2.177042640721541</v>
      </c>
      <c r="M726">
        <v>110.96</v>
      </c>
      <c r="N726">
        <v>33.2</v>
      </c>
    </row>
    <row r="727" spans="1:14">
      <c r="A727" s="1" t="s">
        <v>739</v>
      </c>
      <c r="B727">
        <f>HYPERLINK("https://www.suredividend.com/sure-analysis-HP/","Helmerich &amp; Payne, Inc.")</f>
        <v>0</v>
      </c>
      <c r="C727" t="s">
        <v>1822</v>
      </c>
      <c r="D727">
        <v>44.85</v>
      </c>
      <c r="E727">
        <v>0.02229654403567447</v>
      </c>
      <c r="F727">
        <v>-0.05999999999999994</v>
      </c>
      <c r="G727">
        <v>-0.1983922585320242</v>
      </c>
      <c r="H727">
        <v>1.689992405431655</v>
      </c>
      <c r="I727">
        <v>4459.279691</v>
      </c>
      <c r="J727">
        <v>11.1924654285198</v>
      </c>
      <c r="K727">
        <v>0.4447348435346461</v>
      </c>
      <c r="L727">
        <v>1.126089545335002</v>
      </c>
      <c r="M727">
        <v>53.72</v>
      </c>
      <c r="N727">
        <v>30.16</v>
      </c>
    </row>
    <row r="728" spans="1:14">
      <c r="A728" s="1" t="s">
        <v>740</v>
      </c>
      <c r="B728">
        <f>HYPERLINK("https://www.suredividend.com/sure-analysis-research-database/","HighPeak Energy Inc")</f>
        <v>0</v>
      </c>
      <c r="C728" t="s">
        <v>1812</v>
      </c>
      <c r="D728">
        <v>14.76</v>
      </c>
      <c r="E728">
        <v>0.005071057309561</v>
      </c>
      <c r="F728" t="s">
        <v>1812</v>
      </c>
      <c r="G728" t="s">
        <v>1812</v>
      </c>
      <c r="H728">
        <v>0.074848805889122</v>
      </c>
      <c r="I728">
        <v>1670.494675</v>
      </c>
      <c r="J728">
        <v>0</v>
      </c>
      <c r="K728" t="s">
        <v>1812</v>
      </c>
      <c r="L728">
        <v>1.411432692821511</v>
      </c>
      <c r="M728">
        <v>30.05</v>
      </c>
      <c r="N728">
        <v>10.44</v>
      </c>
    </row>
    <row r="729" spans="1:14">
      <c r="A729" s="1" t="s">
        <v>741</v>
      </c>
      <c r="B729">
        <f>HYPERLINK("https://www.suredividend.com/sure-analysis-research-database/","Healthequity Inc")</f>
        <v>0</v>
      </c>
      <c r="C729" t="s">
        <v>1817</v>
      </c>
      <c r="D729">
        <v>69.61</v>
      </c>
      <c r="E729">
        <v>0</v>
      </c>
      <c r="F729" t="s">
        <v>1812</v>
      </c>
      <c r="G729" t="s">
        <v>1812</v>
      </c>
      <c r="H729">
        <v>0</v>
      </c>
      <c r="I729">
        <v>5949.633595</v>
      </c>
      <c r="J729" t="s">
        <v>1812</v>
      </c>
      <c r="K729">
        <v>-0</v>
      </c>
      <c r="L729">
        <v>0.29234758750878</v>
      </c>
      <c r="M729">
        <v>79.2</v>
      </c>
      <c r="N729">
        <v>48.86</v>
      </c>
    </row>
    <row r="730" spans="1:14">
      <c r="A730" s="1" t="s">
        <v>742</v>
      </c>
      <c r="B730">
        <f>HYPERLINK("https://www.suredividend.com/sure-analysis-research-database/","Herc Holdings Inc")</f>
        <v>0</v>
      </c>
      <c r="C730" t="s">
        <v>1813</v>
      </c>
      <c r="D730">
        <v>132.69</v>
      </c>
      <c r="E730">
        <v>0.018098406821446</v>
      </c>
      <c r="F730" t="s">
        <v>1812</v>
      </c>
      <c r="G730" t="s">
        <v>1812</v>
      </c>
      <c r="H730">
        <v>2.401477601137705</v>
      </c>
      <c r="I730">
        <v>3753.672452</v>
      </c>
      <c r="J730">
        <v>10.9692356873758</v>
      </c>
      <c r="K730">
        <v>0.2072025540239607</v>
      </c>
      <c r="L730">
        <v>1.581752931107417</v>
      </c>
      <c r="M730">
        <v>161.46</v>
      </c>
      <c r="N730">
        <v>93.39</v>
      </c>
    </row>
    <row r="731" spans="1:14">
      <c r="A731" s="1" t="s">
        <v>743</v>
      </c>
      <c r="B731">
        <f>HYPERLINK("https://www.suredividend.com/sure-analysis-research-database/","Harmony Biosciences Holdings Inc")</f>
        <v>0</v>
      </c>
      <c r="C731" t="s">
        <v>1812</v>
      </c>
      <c r="D731">
        <v>32.56</v>
      </c>
      <c r="E731">
        <v>0</v>
      </c>
      <c r="F731" t="s">
        <v>1812</v>
      </c>
      <c r="G731" t="s">
        <v>1812</v>
      </c>
      <c r="H731">
        <v>0</v>
      </c>
      <c r="I731">
        <v>1953.604721</v>
      </c>
      <c r="J731">
        <v>9.75646219829502</v>
      </c>
      <c r="K731">
        <v>0</v>
      </c>
      <c r="L731">
        <v>0.6719826981932101</v>
      </c>
      <c r="M731">
        <v>62.09</v>
      </c>
      <c r="N731">
        <v>29.81</v>
      </c>
    </row>
    <row r="732" spans="1:14">
      <c r="A732" s="1" t="s">
        <v>744</v>
      </c>
      <c r="B732">
        <f>HYPERLINK("https://www.suredividend.com/sure-analysis-research-database/","HireRight Holdings Corp")</f>
        <v>0</v>
      </c>
      <c r="C732" t="s">
        <v>1812</v>
      </c>
      <c r="D732">
        <v>10.28</v>
      </c>
      <c r="E732">
        <v>0</v>
      </c>
      <c r="F732" t="s">
        <v>1812</v>
      </c>
      <c r="G732" t="s">
        <v>1812</v>
      </c>
      <c r="H732">
        <v>0</v>
      </c>
      <c r="I732">
        <v>759.04949</v>
      </c>
      <c r="J732">
        <v>0</v>
      </c>
      <c r="K732" t="s">
        <v>1812</v>
      </c>
      <c r="L732">
        <v>0.976210219112675</v>
      </c>
      <c r="M732">
        <v>18.66</v>
      </c>
      <c r="N732">
        <v>6.88</v>
      </c>
    </row>
    <row r="733" spans="1:14">
      <c r="A733" s="1" t="s">
        <v>745</v>
      </c>
      <c r="B733">
        <f>HYPERLINK("https://www.suredividend.com/sure-analysis-research-database/","Heron Therapeutics Inc")</f>
        <v>0</v>
      </c>
      <c r="C733" t="s">
        <v>1817</v>
      </c>
      <c r="D733">
        <v>1.62</v>
      </c>
      <c r="E733">
        <v>0</v>
      </c>
      <c r="F733" t="s">
        <v>1812</v>
      </c>
      <c r="G733" t="s">
        <v>1812</v>
      </c>
      <c r="H733">
        <v>0</v>
      </c>
      <c r="I733">
        <v>193.937612</v>
      </c>
      <c r="J733">
        <v>0</v>
      </c>
      <c r="K733" t="s">
        <v>1812</v>
      </c>
      <c r="L733">
        <v>1.969029217964126</v>
      </c>
      <c r="M733">
        <v>5.62</v>
      </c>
      <c r="N733">
        <v>1.07</v>
      </c>
    </row>
    <row r="734" spans="1:14">
      <c r="A734" s="1" t="s">
        <v>746</v>
      </c>
      <c r="B734">
        <f>HYPERLINK("https://www.suredividend.com/sure-analysis-research-database/","Enviri Corp")</f>
        <v>0</v>
      </c>
      <c r="C734" t="s">
        <v>1813</v>
      </c>
      <c r="D734">
        <v>8.99</v>
      </c>
      <c r="E734">
        <v>0</v>
      </c>
      <c r="F734" t="s">
        <v>1812</v>
      </c>
      <c r="G734" t="s">
        <v>1812</v>
      </c>
      <c r="H734">
        <v>0</v>
      </c>
      <c r="I734">
        <v>729.6061130000001</v>
      </c>
      <c r="J734" t="s">
        <v>1812</v>
      </c>
      <c r="K734">
        <v>-0</v>
      </c>
      <c r="M734">
        <v>9.699999999999999</v>
      </c>
      <c r="N734">
        <v>3.73</v>
      </c>
    </row>
    <row r="735" spans="1:14">
      <c r="A735" s="1" t="s">
        <v>747</v>
      </c>
      <c r="B735">
        <f>HYPERLINK("https://www.suredividend.com/sure-analysis-research-database/","Heidrick &amp; Struggles International, Inc.")</f>
        <v>0</v>
      </c>
      <c r="C735" t="s">
        <v>1813</v>
      </c>
      <c r="D735">
        <v>28.09</v>
      </c>
      <c r="E735">
        <v>0.015868773633003</v>
      </c>
      <c r="F735">
        <v>0</v>
      </c>
      <c r="G735">
        <v>0.02903366107118788</v>
      </c>
      <c r="H735">
        <v>0.445753851351063</v>
      </c>
      <c r="I735">
        <v>562.018287</v>
      </c>
      <c r="J735">
        <v>9.147730840684918</v>
      </c>
      <c r="K735">
        <v>0.1500854718353748</v>
      </c>
      <c r="L735">
        <v>0.959883835160076</v>
      </c>
      <c r="M735">
        <v>34.57</v>
      </c>
      <c r="N735">
        <v>22.29</v>
      </c>
    </row>
    <row r="736" spans="1:14">
      <c r="A736" s="1" t="s">
        <v>748</v>
      </c>
      <c r="B736">
        <f>HYPERLINK("https://www.suredividend.com/sure-analysis-research-database/","Healthstream Inc")</f>
        <v>0</v>
      </c>
      <c r="C736" t="s">
        <v>1817</v>
      </c>
      <c r="D736">
        <v>23.09</v>
      </c>
      <c r="E736">
        <v>0.002163189706584</v>
      </c>
      <c r="F736" t="s">
        <v>1812</v>
      </c>
      <c r="G736" t="s">
        <v>1812</v>
      </c>
      <c r="H736">
        <v>0.049948050325034</v>
      </c>
      <c r="I736">
        <v>708.552855</v>
      </c>
      <c r="J736">
        <v>55.05033448216922</v>
      </c>
      <c r="K736">
        <v>0.1191508834089551</v>
      </c>
      <c r="L736">
        <v>0.496553104124378</v>
      </c>
      <c r="M736">
        <v>27.63</v>
      </c>
      <c r="N736">
        <v>20.43</v>
      </c>
    </row>
    <row r="737" spans="1:14">
      <c r="A737" s="1" t="s">
        <v>749</v>
      </c>
      <c r="B737">
        <f>HYPERLINK("https://www.suredividend.com/sure-analysis-research-database/","Hersha Hospitality Trust")</f>
        <v>0</v>
      </c>
      <c r="C737" t="s">
        <v>1814</v>
      </c>
      <c r="D737">
        <v>6.19</v>
      </c>
      <c r="E737">
        <v>0.039891158046727</v>
      </c>
      <c r="F737" t="s">
        <v>1812</v>
      </c>
      <c r="G737" t="s">
        <v>1812</v>
      </c>
      <c r="H737">
        <v>0.24692626830924</v>
      </c>
      <c r="I737">
        <v>248.24943</v>
      </c>
      <c r="J737">
        <v>1.925026016330772</v>
      </c>
      <c r="K737">
        <v>0.0791430347145</v>
      </c>
      <c r="L737">
        <v>1.322544326053667</v>
      </c>
      <c r="M737">
        <v>11.77</v>
      </c>
      <c r="N737">
        <v>5.59</v>
      </c>
    </row>
    <row r="738" spans="1:14">
      <c r="A738" s="1" t="s">
        <v>750</v>
      </c>
      <c r="B738">
        <f>HYPERLINK("https://www.suredividend.com/sure-analysis-research-database/","HomeTrust Bancshares Inc")</f>
        <v>0</v>
      </c>
      <c r="C738" t="s">
        <v>1815</v>
      </c>
      <c r="D738">
        <v>24.72</v>
      </c>
      <c r="E738">
        <v>0.015611084063937</v>
      </c>
      <c r="F738" t="s">
        <v>1812</v>
      </c>
      <c r="G738" t="s">
        <v>1812</v>
      </c>
      <c r="H738">
        <v>0.3859059980605321</v>
      </c>
      <c r="I738">
        <v>429.387957</v>
      </c>
      <c r="J738">
        <v>0</v>
      </c>
      <c r="K738" t="s">
        <v>1812</v>
      </c>
      <c r="L738">
        <v>0.687784538318404</v>
      </c>
      <c r="M738">
        <v>30.47</v>
      </c>
      <c r="N738">
        <v>17.83</v>
      </c>
    </row>
    <row r="739" spans="1:14">
      <c r="A739" s="1" t="s">
        <v>751</v>
      </c>
      <c r="B739">
        <f>HYPERLINK("https://www.suredividend.com/sure-analysis-research-database/","Heritage Commerce Corp.")</f>
        <v>0</v>
      </c>
      <c r="C739" t="s">
        <v>1815</v>
      </c>
      <c r="D739">
        <v>9.789999999999999</v>
      </c>
      <c r="E739">
        <v>0.051309331353894</v>
      </c>
      <c r="F739">
        <v>0</v>
      </c>
      <c r="G739">
        <v>0.03397522653195018</v>
      </c>
      <c r="H739">
        <v>0.502318353954622</v>
      </c>
      <c r="I739">
        <v>596.8996090000001</v>
      </c>
      <c r="J739">
        <v>8.221078272043632</v>
      </c>
      <c r="K739">
        <v>0.4221162638274135</v>
      </c>
      <c r="L739">
        <v>1.006821912743215</v>
      </c>
      <c r="M739">
        <v>14.19</v>
      </c>
      <c r="N739">
        <v>6.45</v>
      </c>
    </row>
    <row r="740" spans="1:14">
      <c r="A740" s="1" t="s">
        <v>752</v>
      </c>
      <c r="B740">
        <f>HYPERLINK("https://www.suredividend.com/sure-analysis-research-database/","Hilltop Holdings Inc")</f>
        <v>0</v>
      </c>
      <c r="C740" t="s">
        <v>1815</v>
      </c>
      <c r="D740">
        <v>29.98</v>
      </c>
      <c r="E740">
        <v>0.020476620358126</v>
      </c>
      <c r="F740">
        <v>0.06666666666666665</v>
      </c>
      <c r="G740">
        <v>0.1797891247127799</v>
      </c>
      <c r="H740">
        <v>0.6138890783366211</v>
      </c>
      <c r="I740">
        <v>1951.452404</v>
      </c>
      <c r="J740">
        <v>19.21534117628524</v>
      </c>
      <c r="K740">
        <v>0.391012151806765</v>
      </c>
      <c r="L740">
        <v>1.201718375802666</v>
      </c>
      <c r="M740">
        <v>34.68</v>
      </c>
      <c r="N740">
        <v>23.69</v>
      </c>
    </row>
    <row r="741" spans="1:14">
      <c r="A741" s="1" t="s">
        <v>753</v>
      </c>
      <c r="B741">
        <f>HYPERLINK("https://www.suredividend.com/sure-analysis-research-database/","Heartland Express, Inc.")</f>
        <v>0</v>
      </c>
      <c r="C741" t="s">
        <v>1813</v>
      </c>
      <c r="D741">
        <v>15.81</v>
      </c>
      <c r="E741">
        <v>0.005045742569567</v>
      </c>
      <c r="F741">
        <v>0</v>
      </c>
      <c r="G741">
        <v>0</v>
      </c>
      <c r="H741">
        <v>0.079773190024869</v>
      </c>
      <c r="I741">
        <v>1248.805956</v>
      </c>
      <c r="J741">
        <v>9.649175603572836</v>
      </c>
      <c r="K741">
        <v>0.04864218903955426</v>
      </c>
      <c r="L741">
        <v>0.879343223588069</v>
      </c>
      <c r="M741">
        <v>18.1</v>
      </c>
      <c r="N741">
        <v>13.36</v>
      </c>
    </row>
    <row r="742" spans="1:14">
      <c r="A742" s="1" t="s">
        <v>754</v>
      </c>
      <c r="B742">
        <f>HYPERLINK("https://www.suredividend.com/sure-analysis-research-database/","Heartland Financial USA, Inc.")</f>
        <v>0</v>
      </c>
      <c r="C742" t="s">
        <v>1815</v>
      </c>
      <c r="D742">
        <v>32.95</v>
      </c>
      <c r="E742">
        <v>0.034099514326628</v>
      </c>
      <c r="F742">
        <v>0.1111111111111112</v>
      </c>
      <c r="G742">
        <v>0.1646586157796568</v>
      </c>
      <c r="H742">
        <v>1.1235789970624</v>
      </c>
      <c r="I742">
        <v>1402.318885</v>
      </c>
      <c r="J742">
        <v>6.558500424428367</v>
      </c>
      <c r="K742">
        <v>0.2242672648827146</v>
      </c>
      <c r="L742">
        <v>0.9498001194913751</v>
      </c>
      <c r="M742">
        <v>49.89</v>
      </c>
      <c r="N742">
        <v>26.07</v>
      </c>
    </row>
    <row r="743" spans="1:14">
      <c r="A743" s="1" t="s">
        <v>755</v>
      </c>
      <c r="B743">
        <f>HYPERLINK("https://www.suredividend.com/sure-analysis-research-database/","Hub Group, Inc.")</f>
        <v>0</v>
      </c>
      <c r="C743" t="s">
        <v>1813</v>
      </c>
      <c r="D743">
        <v>88.86</v>
      </c>
      <c r="E743">
        <v>0</v>
      </c>
      <c r="F743" t="s">
        <v>1812</v>
      </c>
      <c r="G743" t="s">
        <v>1812</v>
      </c>
      <c r="H743">
        <v>0</v>
      </c>
      <c r="I743">
        <v>2912.287777</v>
      </c>
      <c r="J743">
        <v>8.79247573866707</v>
      </c>
      <c r="K743">
        <v>0</v>
      </c>
      <c r="L743">
        <v>1.01230459970982</v>
      </c>
      <c r="M743">
        <v>104.67</v>
      </c>
      <c r="N743">
        <v>67.77</v>
      </c>
    </row>
    <row r="744" spans="1:14">
      <c r="A744" s="1" t="s">
        <v>756</v>
      </c>
      <c r="B744">
        <f>HYPERLINK("https://www.suredividend.com/sure-analysis-research-database/","Humacyte Inc")</f>
        <v>0</v>
      </c>
      <c r="C744" t="s">
        <v>1812</v>
      </c>
      <c r="D744">
        <v>3.12</v>
      </c>
      <c r="E744">
        <v>0</v>
      </c>
      <c r="F744" t="s">
        <v>1812</v>
      </c>
      <c r="G744" t="s">
        <v>1812</v>
      </c>
      <c r="H744">
        <v>0</v>
      </c>
      <c r="I744">
        <v>322.633734</v>
      </c>
      <c r="J744">
        <v>0</v>
      </c>
      <c r="K744" t="s">
        <v>1812</v>
      </c>
      <c r="L744">
        <v>1.209080570792394</v>
      </c>
      <c r="M744">
        <v>5.6</v>
      </c>
      <c r="N744">
        <v>1.96</v>
      </c>
    </row>
    <row r="745" spans="1:14">
      <c r="A745" s="1" t="s">
        <v>757</v>
      </c>
      <c r="B745">
        <f>HYPERLINK("https://www.suredividend.com/sure-analysis-research-database/","Huron Consulting Group Inc")</f>
        <v>0</v>
      </c>
      <c r="C745" t="s">
        <v>1813</v>
      </c>
      <c r="D745">
        <v>101.13</v>
      </c>
      <c r="E745">
        <v>0</v>
      </c>
      <c r="F745" t="s">
        <v>1812</v>
      </c>
      <c r="G745" t="s">
        <v>1812</v>
      </c>
      <c r="H745">
        <v>0</v>
      </c>
      <c r="I745">
        <v>1923.916638</v>
      </c>
      <c r="J745">
        <v>26.37091723902078</v>
      </c>
      <c r="K745">
        <v>0</v>
      </c>
      <c r="L745">
        <v>0.4536033977380861</v>
      </c>
      <c r="M745">
        <v>101.67</v>
      </c>
      <c r="N745">
        <v>64.05</v>
      </c>
    </row>
    <row r="746" spans="1:14">
      <c r="A746" s="1" t="s">
        <v>758</v>
      </c>
      <c r="B746">
        <f>HYPERLINK("https://www.suredividend.com/sure-analysis-research-database/","Haverty Furniture Cos., Inc.")</f>
        <v>0</v>
      </c>
      <c r="C746" t="s">
        <v>1816</v>
      </c>
      <c r="D746">
        <v>33.79</v>
      </c>
      <c r="E746">
        <v>0.033600207026119</v>
      </c>
      <c r="F746">
        <v>0.0714285714285714</v>
      </c>
      <c r="G746">
        <v>0.1075663432482901</v>
      </c>
      <c r="H746">
        <v>1.13535099541258</v>
      </c>
      <c r="I746">
        <v>550.094375</v>
      </c>
      <c r="J746">
        <v>6.6784151140599</v>
      </c>
      <c r="K746">
        <v>0.2321781176712843</v>
      </c>
      <c r="L746">
        <v>0.9379828582731561</v>
      </c>
      <c r="M746">
        <v>38.53</v>
      </c>
      <c r="N746">
        <v>24.58</v>
      </c>
    </row>
    <row r="747" spans="1:14">
      <c r="A747" s="1" t="s">
        <v>759</v>
      </c>
      <c r="B747">
        <f>HYPERLINK("https://www.suredividend.com/sure-analysis-research-database/","Hancock Whitney Corp.")</f>
        <v>0</v>
      </c>
      <c r="C747" t="s">
        <v>1815</v>
      </c>
      <c r="D747">
        <v>43.8</v>
      </c>
      <c r="E747">
        <v>0.025622471761007</v>
      </c>
      <c r="F747">
        <v>0.1111111111111112</v>
      </c>
      <c r="G747">
        <v>0.02129568760013512</v>
      </c>
      <c r="H747">
        <v>1.122264263132116</v>
      </c>
      <c r="I747">
        <v>3770.175622</v>
      </c>
      <c r="J747">
        <v>7.250086770457945</v>
      </c>
      <c r="K747">
        <v>0.1861134764729877</v>
      </c>
      <c r="L747">
        <v>1.174685380326655</v>
      </c>
      <c r="M747">
        <v>55.48</v>
      </c>
      <c r="N747">
        <v>30.54</v>
      </c>
    </row>
    <row r="748" spans="1:14">
      <c r="A748" s="1" t="s">
        <v>760</v>
      </c>
      <c r="B748">
        <f>HYPERLINK("https://www.suredividend.com/sure-analysis-HWKN/","Hawkins Inc")</f>
        <v>0</v>
      </c>
      <c r="C748" t="s">
        <v>1823</v>
      </c>
      <c r="D748">
        <v>49.69</v>
      </c>
      <c r="E748">
        <v>0.01287985510163011</v>
      </c>
      <c r="F748">
        <v>0.0714285714285714</v>
      </c>
      <c r="G748">
        <v>-0.07789208851827223</v>
      </c>
      <c r="H748">
        <v>0.575788800262911</v>
      </c>
      <c r="I748">
        <v>1046.750558</v>
      </c>
      <c r="J748">
        <v>17.43392945520561</v>
      </c>
      <c r="K748">
        <v>0.2013247553366822</v>
      </c>
      <c r="L748">
        <v>0.8003431423760631</v>
      </c>
      <c r="M748">
        <v>53</v>
      </c>
      <c r="N748">
        <v>36.19</v>
      </c>
    </row>
    <row r="749" spans="1:14">
      <c r="A749" s="1" t="s">
        <v>761</v>
      </c>
      <c r="B749">
        <f>HYPERLINK("https://www.suredividend.com/sure-analysis-research-database/","Hyster-Yale Materials Handling Inc")</f>
        <v>0</v>
      </c>
      <c r="C749" t="s">
        <v>1813</v>
      </c>
      <c r="D749">
        <v>47.87</v>
      </c>
      <c r="E749">
        <v>0.02665589994877</v>
      </c>
      <c r="F749">
        <v>0.007751937984496138</v>
      </c>
      <c r="G749">
        <v>0.009495374682843893</v>
      </c>
      <c r="H749">
        <v>1.276017930547623</v>
      </c>
      <c r="I749">
        <v>641.232389</v>
      </c>
      <c r="J749">
        <v>0</v>
      </c>
      <c r="K749" t="s">
        <v>1812</v>
      </c>
      <c r="L749">
        <v>1.200743767623525</v>
      </c>
      <c r="M749">
        <v>59.64</v>
      </c>
      <c r="N749">
        <v>20.41</v>
      </c>
    </row>
    <row r="750" spans="1:14">
      <c r="A750" s="1" t="s">
        <v>762</v>
      </c>
      <c r="B750">
        <f>HYPERLINK("https://www.suredividend.com/sure-analysis-research-database/","Hydrofarm Holdings Group Inc")</f>
        <v>0</v>
      </c>
      <c r="C750" t="s">
        <v>1812</v>
      </c>
      <c r="D750">
        <v>1.23</v>
      </c>
      <c r="E750">
        <v>0</v>
      </c>
      <c r="F750" t="s">
        <v>1812</v>
      </c>
      <c r="G750" t="s">
        <v>1812</v>
      </c>
      <c r="H750">
        <v>0</v>
      </c>
      <c r="I750">
        <v>55.802244</v>
      </c>
      <c r="J750">
        <v>0</v>
      </c>
      <c r="K750" t="s">
        <v>1812</v>
      </c>
      <c r="L750">
        <v>2.251126874795732</v>
      </c>
      <c r="M750">
        <v>5.01</v>
      </c>
      <c r="N750">
        <v>0.6715</v>
      </c>
    </row>
    <row r="751" spans="1:14">
      <c r="A751" s="1" t="s">
        <v>763</v>
      </c>
      <c r="B751">
        <f>HYPERLINK("https://www.suredividend.com/sure-analysis-research-database/","Hyliion Holdings Corporation")</f>
        <v>0</v>
      </c>
      <c r="C751" t="s">
        <v>1812</v>
      </c>
      <c r="D751">
        <v>1.78</v>
      </c>
      <c r="E751">
        <v>0</v>
      </c>
      <c r="F751" t="s">
        <v>1812</v>
      </c>
      <c r="G751" t="s">
        <v>1812</v>
      </c>
      <c r="H751">
        <v>0</v>
      </c>
      <c r="I751">
        <v>321.875654</v>
      </c>
      <c r="J751">
        <v>0</v>
      </c>
      <c r="K751" t="s">
        <v>1812</v>
      </c>
      <c r="L751">
        <v>2.036001987085245</v>
      </c>
      <c r="M751">
        <v>4.71</v>
      </c>
      <c r="N751">
        <v>1.22</v>
      </c>
    </row>
    <row r="752" spans="1:14">
      <c r="A752" s="1" t="s">
        <v>764</v>
      </c>
      <c r="B752">
        <f>HYPERLINK("https://www.suredividend.com/sure-analysis-research-database/","Hycroft Mining Holding Corporation")</f>
        <v>0</v>
      </c>
      <c r="C752" t="s">
        <v>1812</v>
      </c>
      <c r="D752">
        <v>0.424</v>
      </c>
      <c r="E752">
        <v>0</v>
      </c>
      <c r="F752" t="s">
        <v>1812</v>
      </c>
      <c r="G752" t="s">
        <v>1812</v>
      </c>
      <c r="H752">
        <v>0</v>
      </c>
      <c r="I752">
        <v>85.628505</v>
      </c>
      <c r="J752">
        <v>0</v>
      </c>
      <c r="K752" t="s">
        <v>1812</v>
      </c>
      <c r="L752">
        <v>1.589226376307604</v>
      </c>
      <c r="M752">
        <v>1.1</v>
      </c>
      <c r="N752">
        <v>0.28</v>
      </c>
    </row>
    <row r="753" spans="1:14">
      <c r="A753" s="1" t="s">
        <v>765</v>
      </c>
      <c r="B753">
        <f>HYPERLINK("https://www.suredividend.com/sure-analysis-research-database/","Hyzon Motors Inc")</f>
        <v>0</v>
      </c>
      <c r="C753" t="s">
        <v>1812</v>
      </c>
      <c r="D753">
        <v>1.89</v>
      </c>
      <c r="E753">
        <v>0</v>
      </c>
      <c r="F753" t="s">
        <v>1812</v>
      </c>
      <c r="G753" t="s">
        <v>1812</v>
      </c>
      <c r="H753">
        <v>0</v>
      </c>
      <c r="I753">
        <v>462.516094</v>
      </c>
      <c r="J753">
        <v>0</v>
      </c>
      <c r="K753" t="s">
        <v>1812</v>
      </c>
      <c r="L753">
        <v>1.98050988405595</v>
      </c>
      <c r="M753">
        <v>3.14</v>
      </c>
      <c r="N753">
        <v>0.45</v>
      </c>
    </row>
    <row r="754" spans="1:14">
      <c r="A754" s="1" t="s">
        <v>766</v>
      </c>
      <c r="B754">
        <f>HYPERLINK("https://www.suredividend.com/sure-analysis-research-database/","Marinemax, Inc.")</f>
        <v>0</v>
      </c>
      <c r="C754" t="s">
        <v>1816</v>
      </c>
      <c r="D754">
        <v>36.3</v>
      </c>
      <c r="E754">
        <v>0</v>
      </c>
      <c r="F754" t="s">
        <v>1812</v>
      </c>
      <c r="G754" t="s">
        <v>1812</v>
      </c>
      <c r="H754">
        <v>0</v>
      </c>
      <c r="I754">
        <v>795.3511140000001</v>
      </c>
      <c r="J754">
        <v>6.002604612040663</v>
      </c>
      <c r="K754">
        <v>0</v>
      </c>
      <c r="L754">
        <v>1.084051404852376</v>
      </c>
      <c r="M754">
        <v>44.03</v>
      </c>
      <c r="N754">
        <v>25.6</v>
      </c>
    </row>
    <row r="755" spans="1:14">
      <c r="A755" s="1" t="s">
        <v>767</v>
      </c>
      <c r="B755">
        <f>HYPERLINK("https://www.suredividend.com/sure-analysis-research-database/","Integral Ad Science Holding Corp")</f>
        <v>0</v>
      </c>
      <c r="C755" t="s">
        <v>1812</v>
      </c>
      <c r="D755">
        <v>18.83</v>
      </c>
      <c r="E755">
        <v>0</v>
      </c>
      <c r="F755" t="s">
        <v>1812</v>
      </c>
      <c r="G755" t="s">
        <v>1812</v>
      </c>
      <c r="H755">
        <v>0</v>
      </c>
      <c r="I755">
        <v>2917.289909</v>
      </c>
      <c r="J755">
        <v>0</v>
      </c>
      <c r="K755" t="s">
        <v>1812</v>
      </c>
      <c r="L755">
        <v>1.402675628147027</v>
      </c>
      <c r="M755">
        <v>20.88</v>
      </c>
      <c r="N755">
        <v>6.63</v>
      </c>
    </row>
    <row r="756" spans="1:14">
      <c r="A756" s="1" t="s">
        <v>768</v>
      </c>
      <c r="B756">
        <f>HYPERLINK("https://www.suredividend.com/sure-analysis-research-database/","Independent Bank Corporation (Ionia, MI)")</f>
        <v>0</v>
      </c>
      <c r="C756" t="s">
        <v>1815</v>
      </c>
      <c r="D756">
        <v>20.67</v>
      </c>
      <c r="E756">
        <v>0.042603230992883</v>
      </c>
      <c r="F756" t="s">
        <v>1812</v>
      </c>
      <c r="G756" t="s">
        <v>1812</v>
      </c>
      <c r="H756">
        <v>0.880608784622896</v>
      </c>
      <c r="I756">
        <v>436.984656</v>
      </c>
      <c r="J756">
        <v>0</v>
      </c>
      <c r="K756" t="s">
        <v>1812</v>
      </c>
      <c r="L756">
        <v>0.924246992264624</v>
      </c>
      <c r="M756">
        <v>23.5</v>
      </c>
      <c r="N756">
        <v>14.57</v>
      </c>
    </row>
    <row r="757" spans="1:14">
      <c r="A757" s="1" t="s">
        <v>769</v>
      </c>
      <c r="B757">
        <f>HYPERLINK("https://www.suredividend.com/sure-analysis-research-database/","IBEX Ltd")</f>
        <v>0</v>
      </c>
      <c r="C757" t="s">
        <v>1812</v>
      </c>
      <c r="D757">
        <v>20.03</v>
      </c>
      <c r="E757">
        <v>0</v>
      </c>
      <c r="F757" t="s">
        <v>1812</v>
      </c>
      <c r="G757" t="s">
        <v>1812</v>
      </c>
      <c r="H757">
        <v>0</v>
      </c>
      <c r="I757">
        <v>365.50742</v>
      </c>
      <c r="J757">
        <v>0</v>
      </c>
      <c r="K757" t="s">
        <v>1812</v>
      </c>
      <c r="L757">
        <v>0.460534031334607</v>
      </c>
      <c r="M757">
        <v>31.4</v>
      </c>
      <c r="N757">
        <v>14.85</v>
      </c>
    </row>
    <row r="758" spans="1:14">
      <c r="A758" s="1" t="s">
        <v>770</v>
      </c>
      <c r="B758">
        <f>HYPERLINK("https://www.suredividend.com/sure-analysis-IBOC/","International Bancshares Corp.")</f>
        <v>0</v>
      </c>
      <c r="C758" t="s">
        <v>1815</v>
      </c>
      <c r="D758">
        <v>49.28</v>
      </c>
      <c r="E758">
        <v>0.02556818181818182</v>
      </c>
      <c r="F758" t="s">
        <v>1812</v>
      </c>
      <c r="G758" t="s">
        <v>1812</v>
      </c>
      <c r="H758">
        <v>1.221894268586158</v>
      </c>
      <c r="I758">
        <v>3061.006305</v>
      </c>
      <c r="J758">
        <v>8.78635034324391</v>
      </c>
      <c r="K758">
        <v>0.2193706047730984</v>
      </c>
      <c r="L758">
        <v>0.848875989609809</v>
      </c>
      <c r="M758">
        <v>52.98</v>
      </c>
      <c r="N758">
        <v>39.1</v>
      </c>
    </row>
    <row r="759" spans="1:14">
      <c r="A759" s="1" t="s">
        <v>771</v>
      </c>
      <c r="B759">
        <f>HYPERLINK("https://www.suredividend.com/sure-analysis-research-database/","Installed Building Products Inc")</f>
        <v>0</v>
      </c>
      <c r="C759" t="s">
        <v>1813</v>
      </c>
      <c r="D759">
        <v>150.18</v>
      </c>
      <c r="E759">
        <v>0.014528927912085</v>
      </c>
      <c r="F759" t="s">
        <v>1812</v>
      </c>
      <c r="G759" t="s">
        <v>1812</v>
      </c>
      <c r="H759">
        <v>2.181954393836975</v>
      </c>
      <c r="I759">
        <v>4265.788561</v>
      </c>
      <c r="J759">
        <v>17.85745378809444</v>
      </c>
      <c r="K759">
        <v>0.2606875022505347</v>
      </c>
      <c r="L759">
        <v>1.478917411776373</v>
      </c>
      <c r="M759">
        <v>154.04</v>
      </c>
      <c r="N759">
        <v>74.01000000000001</v>
      </c>
    </row>
    <row r="760" spans="1:14">
      <c r="A760" s="1" t="s">
        <v>772</v>
      </c>
      <c r="B760">
        <f>HYPERLINK("https://www.suredividend.com/sure-analysis-research-database/","ImmunityBio Inc")</f>
        <v>0</v>
      </c>
      <c r="C760" t="s">
        <v>1812</v>
      </c>
      <c r="D760">
        <v>2.115</v>
      </c>
      <c r="E760">
        <v>0</v>
      </c>
      <c r="F760" t="s">
        <v>1812</v>
      </c>
      <c r="G760" t="s">
        <v>1812</v>
      </c>
      <c r="H760">
        <v>0</v>
      </c>
      <c r="I760">
        <v>922.1072789999999</v>
      </c>
      <c r="J760">
        <v>0</v>
      </c>
      <c r="K760" t="s">
        <v>1812</v>
      </c>
      <c r="L760">
        <v>2.616887392675664</v>
      </c>
      <c r="M760">
        <v>7.8</v>
      </c>
      <c r="N760">
        <v>1.21</v>
      </c>
    </row>
    <row r="761" spans="1:14">
      <c r="A761" s="1" t="s">
        <v>773</v>
      </c>
      <c r="B761">
        <f>HYPERLINK("https://www.suredividend.com/sure-analysis-research-database/","Independent Bank Group Inc")</f>
        <v>0</v>
      </c>
      <c r="C761" t="s">
        <v>1815</v>
      </c>
      <c r="D761">
        <v>44.46</v>
      </c>
      <c r="E761">
        <v>0.033318403352435</v>
      </c>
      <c r="F761">
        <v>0</v>
      </c>
      <c r="G761">
        <v>0.2210434328336239</v>
      </c>
      <c r="H761">
        <v>1.481336213049301</v>
      </c>
      <c r="I761">
        <v>1835.57596</v>
      </c>
      <c r="J761">
        <v>20.82970348422092</v>
      </c>
      <c r="K761">
        <v>0.6889935874647912</v>
      </c>
      <c r="L761">
        <v>1.095804216426863</v>
      </c>
      <c r="M761">
        <v>72.14</v>
      </c>
      <c r="N761">
        <v>28.32</v>
      </c>
    </row>
    <row r="762" spans="1:14">
      <c r="A762" s="1" t="s">
        <v>774</v>
      </c>
      <c r="B762">
        <f>HYPERLINK("https://www.suredividend.com/sure-analysis-research-database/","ICF International, Inc")</f>
        <v>0</v>
      </c>
      <c r="C762" t="s">
        <v>1813</v>
      </c>
      <c r="D762">
        <v>121.54</v>
      </c>
      <c r="E762">
        <v>0.004595141714718001</v>
      </c>
      <c r="F762">
        <v>0</v>
      </c>
      <c r="G762">
        <v>0</v>
      </c>
      <c r="H762">
        <v>0.558493524006842</v>
      </c>
      <c r="I762">
        <v>2283.503486</v>
      </c>
      <c r="J762">
        <v>36.37368365663678</v>
      </c>
      <c r="K762">
        <v>0.1692404618202552</v>
      </c>
      <c r="L762">
        <v>0.660726060867264</v>
      </c>
      <c r="M762">
        <v>128.7</v>
      </c>
      <c r="N762">
        <v>94.19</v>
      </c>
    </row>
    <row r="763" spans="1:14">
      <c r="A763" s="1" t="s">
        <v>775</v>
      </c>
      <c r="B763">
        <f>HYPERLINK("https://www.suredividend.com/sure-analysis-research-database/","Ichor Holdings Ltd")</f>
        <v>0</v>
      </c>
      <c r="C763" t="s">
        <v>1818</v>
      </c>
      <c r="D763">
        <v>36.02</v>
      </c>
      <c r="E763">
        <v>0</v>
      </c>
      <c r="F763" t="s">
        <v>1812</v>
      </c>
      <c r="G763" t="s">
        <v>1812</v>
      </c>
      <c r="H763">
        <v>0</v>
      </c>
      <c r="I763">
        <v>1046.593662</v>
      </c>
      <c r="J763">
        <v>16.16111275602224</v>
      </c>
      <c r="K763">
        <v>0</v>
      </c>
      <c r="L763">
        <v>2.012428471795327</v>
      </c>
      <c r="M763">
        <v>39.73</v>
      </c>
      <c r="N763">
        <v>21.04</v>
      </c>
    </row>
    <row r="764" spans="1:14">
      <c r="A764" s="1" t="s">
        <v>776</v>
      </c>
      <c r="B764">
        <f>HYPERLINK("https://www.suredividend.com/sure-analysis-research-database/","Intercept Pharmaceuticals Inc")</f>
        <v>0</v>
      </c>
      <c r="C764" t="s">
        <v>1817</v>
      </c>
      <c r="D764">
        <v>10.77</v>
      </c>
      <c r="E764">
        <v>0</v>
      </c>
      <c r="F764" t="s">
        <v>1812</v>
      </c>
      <c r="G764" t="s">
        <v>1812</v>
      </c>
      <c r="H764">
        <v>0</v>
      </c>
      <c r="I764">
        <v>449.99997</v>
      </c>
      <c r="J764">
        <v>2.17428052950982</v>
      </c>
      <c r="K764">
        <v>0</v>
      </c>
      <c r="M764">
        <v>21.86</v>
      </c>
      <c r="N764">
        <v>8.82</v>
      </c>
    </row>
    <row r="765" spans="1:14">
      <c r="A765" s="1" t="s">
        <v>777</v>
      </c>
      <c r="B765">
        <f>HYPERLINK("https://www.suredividend.com/sure-analysis-research-database/","Icosavax Inc")</f>
        <v>0</v>
      </c>
      <c r="C765" t="s">
        <v>1812</v>
      </c>
      <c r="D765">
        <v>8.65</v>
      </c>
      <c r="E765">
        <v>0</v>
      </c>
      <c r="F765" t="s">
        <v>1812</v>
      </c>
      <c r="G765" t="s">
        <v>1812</v>
      </c>
      <c r="H765">
        <v>0</v>
      </c>
      <c r="I765">
        <v>358.342253</v>
      </c>
      <c r="J765">
        <v>0</v>
      </c>
      <c r="K765" t="s">
        <v>1812</v>
      </c>
      <c r="L765">
        <v>0.9528314155264711</v>
      </c>
      <c r="M765">
        <v>16.45</v>
      </c>
      <c r="N765">
        <v>2.28</v>
      </c>
    </row>
    <row r="766" spans="1:14">
      <c r="A766" s="1" t="s">
        <v>778</v>
      </c>
      <c r="B766">
        <f>HYPERLINK("https://www.suredividend.com/sure-analysis-research-database/","Interdigital Inc")</f>
        <v>0</v>
      </c>
      <c r="C766" t="s">
        <v>1821</v>
      </c>
      <c r="D766">
        <v>87.62</v>
      </c>
      <c r="E766">
        <v>0.015790876262659</v>
      </c>
      <c r="F766">
        <v>0</v>
      </c>
      <c r="G766">
        <v>0</v>
      </c>
      <c r="H766">
        <v>1.383596578134248</v>
      </c>
      <c r="I766">
        <v>2343.109244</v>
      </c>
      <c r="J766">
        <v>12.94835952839886</v>
      </c>
      <c r="K766">
        <v>0.2294521688448173</v>
      </c>
      <c r="L766">
        <v>0.9744750922497151</v>
      </c>
      <c r="M766">
        <v>98.69</v>
      </c>
      <c r="N766">
        <v>39.02</v>
      </c>
    </row>
    <row r="767" spans="1:14">
      <c r="A767" s="1" t="s">
        <v>779</v>
      </c>
      <c r="B767">
        <f>HYPERLINK("https://www.suredividend.com/sure-analysis-research-database/","IDT Corp.")</f>
        <v>0</v>
      </c>
      <c r="C767" t="s">
        <v>1821</v>
      </c>
      <c r="D767">
        <v>23.17</v>
      </c>
      <c r="E767">
        <v>0</v>
      </c>
      <c r="F767" t="s">
        <v>1812</v>
      </c>
      <c r="G767" t="s">
        <v>1812</v>
      </c>
      <c r="H767">
        <v>0</v>
      </c>
      <c r="I767">
        <v>554.272995</v>
      </c>
      <c r="J767">
        <v>11.13825522717682</v>
      </c>
      <c r="K767">
        <v>0</v>
      </c>
      <c r="L767">
        <v>0.7326929542138441</v>
      </c>
      <c r="M767">
        <v>35.18</v>
      </c>
      <c r="N767">
        <v>22.76</v>
      </c>
    </row>
    <row r="768" spans="1:14">
      <c r="A768" s="1" t="s">
        <v>780</v>
      </c>
      <c r="B768">
        <f>HYPERLINK("https://www.suredividend.com/sure-analysis-research-database/","Ideaya Biosciences Inc")</f>
        <v>0</v>
      </c>
      <c r="C768" t="s">
        <v>1817</v>
      </c>
      <c r="D768">
        <v>21.77</v>
      </c>
      <c r="E768">
        <v>0</v>
      </c>
      <c r="F768" t="s">
        <v>1812</v>
      </c>
      <c r="G768" t="s">
        <v>1812</v>
      </c>
      <c r="H768">
        <v>0</v>
      </c>
      <c r="I768">
        <v>1247.207153</v>
      </c>
      <c r="J768">
        <v>0</v>
      </c>
      <c r="K768" t="s">
        <v>1812</v>
      </c>
      <c r="L768">
        <v>0.7249109553230371</v>
      </c>
      <c r="M768">
        <v>26.35</v>
      </c>
      <c r="N768">
        <v>9</v>
      </c>
    </row>
    <row r="769" spans="1:14">
      <c r="A769" s="1" t="s">
        <v>781</v>
      </c>
      <c r="B769">
        <f>HYPERLINK("https://www.suredividend.com/sure-analysis-research-database/","Ivanhoe Electric Inc")</f>
        <v>0</v>
      </c>
      <c r="C769" t="s">
        <v>1812</v>
      </c>
      <c r="D769">
        <v>16.16</v>
      </c>
      <c r="E769">
        <v>0</v>
      </c>
      <c r="F769" t="s">
        <v>1812</v>
      </c>
      <c r="G769" t="s">
        <v>1812</v>
      </c>
      <c r="H769">
        <v>0</v>
      </c>
      <c r="I769">
        <v>1501.1024</v>
      </c>
      <c r="J769">
        <v>0</v>
      </c>
      <c r="K769" t="s">
        <v>1812</v>
      </c>
      <c r="L769">
        <v>1.116249415519345</v>
      </c>
      <c r="M769">
        <v>16.69</v>
      </c>
      <c r="N769">
        <v>7.61</v>
      </c>
    </row>
    <row r="770" spans="1:14">
      <c r="A770" s="1" t="s">
        <v>782</v>
      </c>
      <c r="B770">
        <f>HYPERLINK("https://www.suredividend.com/sure-analysis-research-database/","IES Holdings Inc")</f>
        <v>0</v>
      </c>
      <c r="C770" t="s">
        <v>1813</v>
      </c>
      <c r="D770">
        <v>58.01</v>
      </c>
      <c r="E770">
        <v>0</v>
      </c>
      <c r="F770" t="s">
        <v>1812</v>
      </c>
      <c r="G770" t="s">
        <v>1812</v>
      </c>
      <c r="H770">
        <v>0</v>
      </c>
      <c r="I770">
        <v>1170.136359</v>
      </c>
      <c r="J770">
        <v>18.26882263930306</v>
      </c>
      <c r="K770">
        <v>0</v>
      </c>
      <c r="L770">
        <v>0.9934571536382151</v>
      </c>
      <c r="M770">
        <v>58.68</v>
      </c>
      <c r="N770">
        <v>25.22</v>
      </c>
    </row>
    <row r="771" spans="1:14">
      <c r="A771" s="1" t="s">
        <v>783</v>
      </c>
      <c r="B771">
        <f>HYPERLINK("https://www.suredividend.com/sure-analysis-research-database/","IGM Biosciences Inc")</f>
        <v>0</v>
      </c>
      <c r="C771" t="s">
        <v>1817</v>
      </c>
      <c r="D771">
        <v>9.5</v>
      </c>
      <c r="E771">
        <v>0</v>
      </c>
      <c r="F771" t="s">
        <v>1812</v>
      </c>
      <c r="G771" t="s">
        <v>1812</v>
      </c>
      <c r="H771">
        <v>0</v>
      </c>
      <c r="I771">
        <v>280.326846</v>
      </c>
      <c r="J771">
        <v>0</v>
      </c>
      <c r="K771" t="s">
        <v>1812</v>
      </c>
      <c r="L771">
        <v>1.887872611000034</v>
      </c>
      <c r="M771">
        <v>28.2</v>
      </c>
      <c r="N771">
        <v>8.51</v>
      </c>
    </row>
    <row r="772" spans="1:14">
      <c r="A772" s="1" t="s">
        <v>784</v>
      </c>
      <c r="B772">
        <f>HYPERLINK("https://www.suredividend.com/sure-analysis-research-database/","International Game Technology PLC")</f>
        <v>0</v>
      </c>
      <c r="C772" t="s">
        <v>1816</v>
      </c>
      <c r="D772">
        <v>32.55</v>
      </c>
      <c r="E772">
        <v>0.024327578663719</v>
      </c>
      <c r="F772" t="s">
        <v>1812</v>
      </c>
      <c r="G772" t="s">
        <v>1812</v>
      </c>
      <c r="H772">
        <v>0.79186268550408</v>
      </c>
      <c r="I772">
        <v>6480.018488</v>
      </c>
      <c r="J772">
        <v>24.00006847388889</v>
      </c>
      <c r="K772">
        <v>0.5953854778226165</v>
      </c>
      <c r="L772">
        <v>1.476942240855213</v>
      </c>
      <c r="M772">
        <v>33.99</v>
      </c>
      <c r="N772">
        <v>14.76</v>
      </c>
    </row>
    <row r="773" spans="1:14">
      <c r="A773" s="1" t="s">
        <v>785</v>
      </c>
      <c r="B773">
        <f>HYPERLINK("https://www.suredividend.com/sure-analysis-research-database/","iHeartMedia Inc")</f>
        <v>0</v>
      </c>
      <c r="C773" t="s">
        <v>1821</v>
      </c>
      <c r="D773">
        <v>4.27</v>
      </c>
      <c r="E773">
        <v>0</v>
      </c>
      <c r="F773" t="s">
        <v>1812</v>
      </c>
      <c r="G773" t="s">
        <v>1812</v>
      </c>
      <c r="H773">
        <v>0</v>
      </c>
      <c r="I773">
        <v>520.679675</v>
      </c>
      <c r="J773">
        <v>0</v>
      </c>
      <c r="K773" t="s">
        <v>1812</v>
      </c>
      <c r="L773">
        <v>2.196854616881025</v>
      </c>
      <c r="M773">
        <v>10.85</v>
      </c>
      <c r="N773">
        <v>2.21</v>
      </c>
    </row>
    <row r="774" spans="1:14">
      <c r="A774" s="1" t="s">
        <v>786</v>
      </c>
      <c r="B774">
        <f>HYPERLINK("https://www.suredividend.com/sure-analysis-research-database/","Information Services Group Inc.")</f>
        <v>0</v>
      </c>
      <c r="C774" t="s">
        <v>1818</v>
      </c>
      <c r="D774">
        <v>5.27</v>
      </c>
      <c r="E774">
        <v>0.030736967366087</v>
      </c>
      <c r="F774" t="s">
        <v>1812</v>
      </c>
      <c r="G774" t="s">
        <v>1812</v>
      </c>
      <c r="H774">
        <v>0.16198381801928</v>
      </c>
      <c r="I774">
        <v>254.977029</v>
      </c>
      <c r="J774">
        <v>0</v>
      </c>
      <c r="K774" t="s">
        <v>1812</v>
      </c>
      <c r="L774">
        <v>1.196573966689579</v>
      </c>
      <c r="M774">
        <v>7.45</v>
      </c>
      <c r="N774">
        <v>4.04</v>
      </c>
    </row>
    <row r="775" spans="1:14">
      <c r="A775" s="1" t="s">
        <v>787</v>
      </c>
      <c r="B775">
        <f>HYPERLINK("https://www.suredividend.com/sure-analysis-research-database/","Insteel Industries, Inc.")</f>
        <v>0</v>
      </c>
      <c r="C775" t="s">
        <v>1813</v>
      </c>
      <c r="D775">
        <v>32.43</v>
      </c>
      <c r="E775">
        <v>0.003633780959734</v>
      </c>
      <c r="F775">
        <v>0</v>
      </c>
      <c r="G775">
        <v>0</v>
      </c>
      <c r="H775">
        <v>0.117843516524181</v>
      </c>
      <c r="I775">
        <v>630.1991860000001</v>
      </c>
      <c r="J775">
        <v>12.33387191643018</v>
      </c>
      <c r="K775">
        <v>0.04515077261462874</v>
      </c>
      <c r="L775">
        <v>1.123478129966647</v>
      </c>
      <c r="M775">
        <v>33.61</v>
      </c>
      <c r="N775">
        <v>22.34</v>
      </c>
    </row>
    <row r="776" spans="1:14">
      <c r="A776" s="1" t="s">
        <v>788</v>
      </c>
      <c r="B776">
        <f>HYPERLINK("https://www.suredividend.com/sure-analysis-research-database/","i3 Verticals Inc")</f>
        <v>0</v>
      </c>
      <c r="C776" t="s">
        <v>1818</v>
      </c>
      <c r="D776">
        <v>24.15</v>
      </c>
      <c r="E776">
        <v>0</v>
      </c>
      <c r="F776" t="s">
        <v>1812</v>
      </c>
      <c r="G776" t="s">
        <v>1812</v>
      </c>
      <c r="H776">
        <v>0</v>
      </c>
      <c r="I776">
        <v>559.656906</v>
      </c>
      <c r="J776" t="s">
        <v>1812</v>
      </c>
      <c r="K776">
        <v>-0</v>
      </c>
      <c r="L776">
        <v>1.24976907457623</v>
      </c>
      <c r="M776">
        <v>30.84</v>
      </c>
      <c r="N776">
        <v>18.59</v>
      </c>
    </row>
    <row r="777" spans="1:14">
      <c r="A777" s="1" t="s">
        <v>789</v>
      </c>
      <c r="B777">
        <f>HYPERLINK("https://www.suredividend.com/sure-analysis-IIPR/","Innovative Industrial Properties Inc")</f>
        <v>0</v>
      </c>
      <c r="C777" t="s">
        <v>1814</v>
      </c>
      <c r="D777">
        <v>77.78</v>
      </c>
      <c r="E777">
        <v>0.09256878374903574</v>
      </c>
      <c r="F777">
        <v>0.02857142857142869</v>
      </c>
      <c r="G777">
        <v>0.3875252405774463</v>
      </c>
      <c r="H777">
        <v>6.956411641512318</v>
      </c>
      <c r="I777">
        <v>2180.562222</v>
      </c>
      <c r="J777">
        <v>13.77992076831688</v>
      </c>
      <c r="K777">
        <v>1.237795665749523</v>
      </c>
      <c r="L777">
        <v>1.381018044049355</v>
      </c>
      <c r="M777">
        <v>117.34</v>
      </c>
      <c r="N777">
        <v>61.83</v>
      </c>
    </row>
    <row r="778" spans="1:14">
      <c r="A778" s="1" t="s">
        <v>790</v>
      </c>
      <c r="B778">
        <f>HYPERLINK("https://www.suredividend.com/sure-analysis-ILPT/","Industrial Logistics Properties Trust")</f>
        <v>0</v>
      </c>
      <c r="C778" t="s">
        <v>1814</v>
      </c>
      <c r="D778">
        <v>3.89</v>
      </c>
      <c r="E778">
        <v>0.0102827763496144</v>
      </c>
      <c r="F778">
        <v>0</v>
      </c>
      <c r="G778">
        <v>-0.5030677163120735</v>
      </c>
      <c r="H778">
        <v>0.039620168086429</v>
      </c>
      <c r="I778">
        <v>255.561104</v>
      </c>
      <c r="J778" t="s">
        <v>1812</v>
      </c>
      <c r="K778" t="s">
        <v>1812</v>
      </c>
      <c r="L778">
        <v>1.690953826870731</v>
      </c>
      <c r="M778">
        <v>9.619999999999999</v>
      </c>
      <c r="N778">
        <v>1.64</v>
      </c>
    </row>
    <row r="779" spans="1:14">
      <c r="A779" s="1" t="s">
        <v>791</v>
      </c>
      <c r="B779">
        <f>HYPERLINK("https://www.suredividend.com/sure-analysis-research-database/","Imax Corp")</f>
        <v>0</v>
      </c>
      <c r="C779" t="s">
        <v>1821</v>
      </c>
      <c r="D779">
        <v>18.93</v>
      </c>
      <c r="E779">
        <v>0</v>
      </c>
      <c r="F779" t="s">
        <v>1812</v>
      </c>
      <c r="G779" t="s">
        <v>1812</v>
      </c>
      <c r="H779">
        <v>0</v>
      </c>
      <c r="I779">
        <v>1033.958171</v>
      </c>
      <c r="J779">
        <v>231.5695792138858</v>
      </c>
      <c r="K779">
        <v>0</v>
      </c>
      <c r="L779">
        <v>1.143671614620669</v>
      </c>
      <c r="M779">
        <v>21.82</v>
      </c>
      <c r="N779">
        <v>12.13</v>
      </c>
    </row>
    <row r="780" spans="1:14">
      <c r="A780" s="1" t="s">
        <v>792</v>
      </c>
      <c r="B780">
        <f>HYPERLINK("https://www.suredividend.com/sure-analysis-research-database/","Immunogen, Inc.")</f>
        <v>0</v>
      </c>
      <c r="C780" t="s">
        <v>1817</v>
      </c>
      <c r="D780">
        <v>16.58</v>
      </c>
      <c r="E780">
        <v>0</v>
      </c>
      <c r="F780" t="s">
        <v>1812</v>
      </c>
      <c r="G780" t="s">
        <v>1812</v>
      </c>
      <c r="H780">
        <v>0</v>
      </c>
      <c r="I780">
        <v>4127.482003</v>
      </c>
      <c r="J780" t="s">
        <v>1812</v>
      </c>
      <c r="K780">
        <v>-0</v>
      </c>
      <c r="L780">
        <v>0.9585320616431261</v>
      </c>
      <c r="M780">
        <v>20.69</v>
      </c>
      <c r="N780">
        <v>3.61</v>
      </c>
    </row>
    <row r="781" spans="1:14">
      <c r="A781" s="1" t="s">
        <v>793</v>
      </c>
      <c r="B781">
        <f>HYPERLINK("https://www.suredividend.com/sure-analysis-research-database/","Ingles Markets, Inc.")</f>
        <v>0</v>
      </c>
      <c r="C781" t="s">
        <v>1819</v>
      </c>
      <c r="D781">
        <v>83.43000000000001</v>
      </c>
      <c r="E781">
        <v>0.007893087637587001</v>
      </c>
      <c r="F781">
        <v>0</v>
      </c>
      <c r="G781">
        <v>0</v>
      </c>
      <c r="H781">
        <v>0.6585203016039021</v>
      </c>
      <c r="I781">
        <v>1201.969753</v>
      </c>
      <c r="J781">
        <v>4.849784074674772</v>
      </c>
      <c r="K781">
        <v>0.05046132579340246</v>
      </c>
      <c r="L781">
        <v>0.5700470831700141</v>
      </c>
      <c r="M781">
        <v>102.44</v>
      </c>
      <c r="N781">
        <v>77.75</v>
      </c>
    </row>
    <row r="782" spans="1:14">
      <c r="A782" s="1" t="s">
        <v>794</v>
      </c>
      <c r="B782">
        <f>HYPERLINK("https://www.suredividend.com/sure-analysis-research-database/","Immunovant Inc")</f>
        <v>0</v>
      </c>
      <c r="C782" t="s">
        <v>1817</v>
      </c>
      <c r="D782">
        <v>22.36</v>
      </c>
      <c r="E782">
        <v>0</v>
      </c>
      <c r="F782" t="s">
        <v>1812</v>
      </c>
      <c r="G782" t="s">
        <v>1812</v>
      </c>
      <c r="H782">
        <v>0</v>
      </c>
      <c r="I782">
        <v>2919.382553</v>
      </c>
      <c r="J782">
        <v>0</v>
      </c>
      <c r="K782" t="s">
        <v>1812</v>
      </c>
      <c r="L782">
        <v>1.02465991394352</v>
      </c>
      <c r="M782">
        <v>25.13</v>
      </c>
      <c r="N782">
        <v>4.2</v>
      </c>
    </row>
    <row r="783" spans="1:14">
      <c r="A783" s="1" t="s">
        <v>795</v>
      </c>
      <c r="B783">
        <f>HYPERLINK("https://www.suredividend.com/sure-analysis-research-database/","International Money Express Inc.")</f>
        <v>0</v>
      </c>
      <c r="C783" t="s">
        <v>1818</v>
      </c>
      <c r="D783">
        <v>17.7</v>
      </c>
      <c r="E783">
        <v>0</v>
      </c>
      <c r="F783" t="s">
        <v>1812</v>
      </c>
      <c r="G783" t="s">
        <v>1812</v>
      </c>
      <c r="H783">
        <v>0</v>
      </c>
      <c r="I783">
        <v>644.603432</v>
      </c>
      <c r="J783">
        <v>0</v>
      </c>
      <c r="K783" t="s">
        <v>1812</v>
      </c>
      <c r="L783">
        <v>0.7630761603163181</v>
      </c>
      <c r="M783">
        <v>28.24</v>
      </c>
      <c r="N783">
        <v>17.63</v>
      </c>
    </row>
    <row r="784" spans="1:14">
      <c r="A784" s="1" t="s">
        <v>796</v>
      </c>
      <c r="B784">
        <f>HYPERLINK("https://www.suredividend.com/sure-analysis-research-database/","First Internet Bancorp")</f>
        <v>0</v>
      </c>
      <c r="C784" t="s">
        <v>1815</v>
      </c>
      <c r="D784">
        <v>22.45</v>
      </c>
      <c r="E784">
        <v>0.010600394559976</v>
      </c>
      <c r="F784">
        <v>0</v>
      </c>
      <c r="G784">
        <v>0</v>
      </c>
      <c r="H784">
        <v>0.237978857871469</v>
      </c>
      <c r="I784">
        <v>199.927959</v>
      </c>
      <c r="J784">
        <v>0</v>
      </c>
      <c r="K784" t="s">
        <v>1812</v>
      </c>
      <c r="L784">
        <v>1.287091296689352</v>
      </c>
      <c r="M784">
        <v>38.57</v>
      </c>
      <c r="N784">
        <v>9.6</v>
      </c>
    </row>
    <row r="785" spans="1:14">
      <c r="A785" s="1" t="s">
        <v>797</v>
      </c>
      <c r="B785">
        <f>HYPERLINK("https://www.suredividend.com/sure-analysis-research-database/","Inhibrx Inc")</f>
        <v>0</v>
      </c>
      <c r="C785" t="s">
        <v>1812</v>
      </c>
      <c r="D785">
        <v>20.16</v>
      </c>
      <c r="E785">
        <v>0</v>
      </c>
      <c r="F785" t="s">
        <v>1812</v>
      </c>
      <c r="G785" t="s">
        <v>1812</v>
      </c>
      <c r="H785">
        <v>0</v>
      </c>
      <c r="I785">
        <v>879.292068</v>
      </c>
      <c r="J785">
        <v>0</v>
      </c>
      <c r="K785" t="s">
        <v>1812</v>
      </c>
      <c r="L785">
        <v>1.859434627029401</v>
      </c>
      <c r="M785">
        <v>34.72</v>
      </c>
      <c r="N785">
        <v>12.6</v>
      </c>
    </row>
    <row r="786" spans="1:14">
      <c r="A786" s="1" t="s">
        <v>798</v>
      </c>
      <c r="B786">
        <f>HYPERLINK("https://www.suredividend.com/sure-analysis-research-database/","Independent Bank Corp.")</f>
        <v>0</v>
      </c>
      <c r="C786" t="s">
        <v>1815</v>
      </c>
      <c r="D786">
        <v>59.54</v>
      </c>
      <c r="E786">
        <v>0.03543508652456</v>
      </c>
      <c r="F786">
        <v>0.07843137254901977</v>
      </c>
      <c r="G786">
        <v>0.07675232594309245</v>
      </c>
      <c r="H786">
        <v>2.109805051672349</v>
      </c>
      <c r="I786">
        <v>2627.202679</v>
      </c>
      <c r="J786">
        <v>9.660147441453432</v>
      </c>
      <c r="K786">
        <v>0.3551860356350756</v>
      </c>
      <c r="L786">
        <v>0.808930017029281</v>
      </c>
      <c r="M786">
        <v>88.14</v>
      </c>
      <c r="N786">
        <v>42.25</v>
      </c>
    </row>
    <row r="787" spans="1:14">
      <c r="A787" s="1" t="s">
        <v>799</v>
      </c>
      <c r="B787">
        <f>HYPERLINK("https://www.suredividend.com/sure-analysis-research-database/","Indie Semiconductor Inc")</f>
        <v>0</v>
      </c>
      <c r="C787" t="s">
        <v>1812</v>
      </c>
      <c r="D787">
        <v>8.73</v>
      </c>
      <c r="E787">
        <v>0</v>
      </c>
      <c r="F787" t="s">
        <v>1812</v>
      </c>
      <c r="G787" t="s">
        <v>1812</v>
      </c>
      <c r="H787">
        <v>0</v>
      </c>
      <c r="I787">
        <v>1236.546323</v>
      </c>
      <c r="J787">
        <v>0</v>
      </c>
      <c r="K787" t="s">
        <v>1812</v>
      </c>
      <c r="L787">
        <v>1.586513844324819</v>
      </c>
      <c r="M787">
        <v>11.12</v>
      </c>
      <c r="N787">
        <v>5.66</v>
      </c>
    </row>
    <row r="788" spans="1:14">
      <c r="A788" s="1" t="s">
        <v>800</v>
      </c>
      <c r="B788">
        <f>HYPERLINK("https://www.suredividend.com/sure-analysis-research-database/","INDUS Realty Trust Inc")</f>
        <v>0</v>
      </c>
      <c r="C788" t="s">
        <v>1812</v>
      </c>
      <c r="D788">
        <v>66.98999999999999</v>
      </c>
      <c r="E788">
        <v>0</v>
      </c>
      <c r="F788" t="s">
        <v>1812</v>
      </c>
      <c r="G788" t="s">
        <v>1812</v>
      </c>
      <c r="H788">
        <v>0.7000000178813931</v>
      </c>
      <c r="I788">
        <v>0</v>
      </c>
      <c r="J788">
        <v>0</v>
      </c>
      <c r="K788">
        <v>112.9032286905473</v>
      </c>
    </row>
    <row r="789" spans="1:14">
      <c r="A789" s="1" t="s">
        <v>801</v>
      </c>
      <c r="B789">
        <f>HYPERLINK("https://www.suredividend.com/sure-analysis-research-database/","Infinera Corp.")</f>
        <v>0</v>
      </c>
      <c r="C789" t="s">
        <v>1818</v>
      </c>
      <c r="D789">
        <v>4.02</v>
      </c>
      <c r="E789">
        <v>0</v>
      </c>
      <c r="F789" t="s">
        <v>1812</v>
      </c>
      <c r="G789" t="s">
        <v>1812</v>
      </c>
      <c r="H789">
        <v>0</v>
      </c>
      <c r="I789">
        <v>906.974519</v>
      </c>
      <c r="J789" t="s">
        <v>1812</v>
      </c>
      <c r="K789">
        <v>-0</v>
      </c>
      <c r="L789">
        <v>1.560660762525284</v>
      </c>
      <c r="M789">
        <v>7.8</v>
      </c>
      <c r="N789">
        <v>3.99</v>
      </c>
    </row>
    <row r="790" spans="1:14">
      <c r="A790" s="1" t="s">
        <v>802</v>
      </c>
      <c r="B790">
        <f>HYPERLINK("https://www.suredividend.com/sure-analysis-research-database/","Inogen Inc")</f>
        <v>0</v>
      </c>
      <c r="C790" t="s">
        <v>1817</v>
      </c>
      <c r="D790">
        <v>7.63</v>
      </c>
      <c r="E790">
        <v>0</v>
      </c>
      <c r="F790" t="s">
        <v>1812</v>
      </c>
      <c r="G790" t="s">
        <v>1812</v>
      </c>
      <c r="H790">
        <v>0</v>
      </c>
      <c r="I790">
        <v>176.416107</v>
      </c>
      <c r="J790" t="s">
        <v>1812</v>
      </c>
      <c r="K790">
        <v>-0</v>
      </c>
      <c r="L790">
        <v>1.271445276150247</v>
      </c>
      <c r="M790">
        <v>32.01</v>
      </c>
      <c r="N790">
        <v>7.41</v>
      </c>
    </row>
    <row r="791" spans="1:14">
      <c r="A791" s="1" t="s">
        <v>803</v>
      </c>
      <c r="B791">
        <f>HYPERLINK("https://www.suredividend.com/sure-analysis-research-database/","Summit Hotel Properties Inc")</f>
        <v>0</v>
      </c>
      <c r="C791" t="s">
        <v>1814</v>
      </c>
      <c r="D791">
        <v>5.79</v>
      </c>
      <c r="E791">
        <v>0.030804954036201</v>
      </c>
      <c r="F791" t="s">
        <v>1812</v>
      </c>
      <c r="G791" t="s">
        <v>1812</v>
      </c>
      <c r="H791">
        <v>0.178360683869606</v>
      </c>
      <c r="I791">
        <v>622.869313</v>
      </c>
      <c r="J791" t="s">
        <v>1812</v>
      </c>
      <c r="K791" t="s">
        <v>1812</v>
      </c>
      <c r="L791">
        <v>1.340073751724825</v>
      </c>
      <c r="M791">
        <v>8.92</v>
      </c>
      <c r="N791">
        <v>5.46</v>
      </c>
    </row>
    <row r="792" spans="1:14">
      <c r="A792" s="1" t="s">
        <v>804</v>
      </c>
      <c r="B792">
        <f>HYPERLINK("https://www.suredividend.com/sure-analysis-research-database/","InnovAge Holding Corp")</f>
        <v>0</v>
      </c>
      <c r="C792" t="s">
        <v>1812</v>
      </c>
      <c r="D792">
        <v>7.22</v>
      </c>
      <c r="E792">
        <v>0</v>
      </c>
      <c r="F792" t="s">
        <v>1812</v>
      </c>
      <c r="G792" t="s">
        <v>1812</v>
      </c>
      <c r="H792">
        <v>0</v>
      </c>
      <c r="I792">
        <v>979.3942060000001</v>
      </c>
      <c r="J792">
        <v>0</v>
      </c>
      <c r="K792" t="s">
        <v>1812</v>
      </c>
      <c r="L792">
        <v>1.099448069782654</v>
      </c>
      <c r="M792">
        <v>8.15</v>
      </c>
      <c r="N792">
        <v>3.39</v>
      </c>
    </row>
    <row r="793" spans="1:14">
      <c r="A793" s="1" t="s">
        <v>805</v>
      </c>
      <c r="B793">
        <f>HYPERLINK("https://www.suredividend.com/sure-analysis-research-database/","Inovio Pharmaceuticals Inc")</f>
        <v>0</v>
      </c>
      <c r="C793" t="s">
        <v>1817</v>
      </c>
      <c r="D793">
        <v>0.4717</v>
      </c>
      <c r="E793">
        <v>0</v>
      </c>
      <c r="F793" t="s">
        <v>1812</v>
      </c>
      <c r="G793" t="s">
        <v>1812</v>
      </c>
      <c r="H793">
        <v>0</v>
      </c>
      <c r="I793">
        <v>123.934511</v>
      </c>
      <c r="J793" t="s">
        <v>1812</v>
      </c>
      <c r="K793">
        <v>-0</v>
      </c>
      <c r="L793">
        <v>2.016026476810759</v>
      </c>
      <c r="M793">
        <v>2.82</v>
      </c>
      <c r="N793">
        <v>0.3825</v>
      </c>
    </row>
    <row r="794" spans="1:14">
      <c r="A794" s="1" t="s">
        <v>806</v>
      </c>
      <c r="B794">
        <f>HYPERLINK("https://www.suredividend.com/sure-analysis-research-database/","Inspired Entertainment Inc")</f>
        <v>0</v>
      </c>
      <c r="C794" t="s">
        <v>1821</v>
      </c>
      <c r="D794">
        <v>12.92</v>
      </c>
      <c r="E794">
        <v>0</v>
      </c>
      <c r="F794" t="s">
        <v>1812</v>
      </c>
      <c r="G794" t="s">
        <v>1812</v>
      </c>
      <c r="H794">
        <v>0</v>
      </c>
      <c r="I794">
        <v>339.374188</v>
      </c>
      <c r="J794">
        <v>0</v>
      </c>
      <c r="K794" t="s">
        <v>1812</v>
      </c>
      <c r="L794">
        <v>1.050556861273705</v>
      </c>
      <c r="M794">
        <v>16.44</v>
      </c>
      <c r="N794">
        <v>8.630000000000001</v>
      </c>
    </row>
    <row r="795" spans="1:14">
      <c r="A795" s="1" t="s">
        <v>807</v>
      </c>
      <c r="B795">
        <f>HYPERLINK("https://www.suredividend.com/sure-analysis-research-database/","Inseego Corp")</f>
        <v>0</v>
      </c>
      <c r="C795" t="s">
        <v>1818</v>
      </c>
      <c r="D795">
        <v>0.87</v>
      </c>
      <c r="E795">
        <v>0</v>
      </c>
      <c r="F795" t="s">
        <v>1812</v>
      </c>
      <c r="G795" t="s">
        <v>1812</v>
      </c>
      <c r="H795">
        <v>0</v>
      </c>
      <c r="I795">
        <v>95.702111</v>
      </c>
      <c r="J795" t="s">
        <v>1812</v>
      </c>
      <c r="K795">
        <v>-0</v>
      </c>
      <c r="L795">
        <v>2.086093263377469</v>
      </c>
      <c r="M795">
        <v>3.22</v>
      </c>
      <c r="N795">
        <v>0.47</v>
      </c>
    </row>
    <row r="796" spans="1:14">
      <c r="A796" s="1" t="s">
        <v>808</v>
      </c>
      <c r="B796">
        <f>HYPERLINK("https://www.suredividend.com/sure-analysis-research-database/","Insmed Inc")</f>
        <v>0</v>
      </c>
      <c r="C796" t="s">
        <v>1817</v>
      </c>
      <c r="D796">
        <v>22.15</v>
      </c>
      <c r="E796">
        <v>0</v>
      </c>
      <c r="F796" t="s">
        <v>1812</v>
      </c>
      <c r="G796" t="s">
        <v>1812</v>
      </c>
      <c r="H796">
        <v>0</v>
      </c>
      <c r="I796">
        <v>3021.986498</v>
      </c>
      <c r="J796" t="s">
        <v>1812</v>
      </c>
      <c r="K796">
        <v>-0</v>
      </c>
      <c r="L796">
        <v>1.023100246486151</v>
      </c>
      <c r="M796">
        <v>28.94</v>
      </c>
      <c r="N796">
        <v>16.04</v>
      </c>
    </row>
    <row r="797" spans="1:14">
      <c r="A797" s="1" t="s">
        <v>809</v>
      </c>
      <c r="B797">
        <f>HYPERLINK("https://www.suredividend.com/sure-analysis-research-database/","Inspire Medical Systems Inc")</f>
        <v>0</v>
      </c>
      <c r="C797" t="s">
        <v>1817</v>
      </c>
      <c r="D797">
        <v>284.23</v>
      </c>
      <c r="E797">
        <v>0</v>
      </c>
      <c r="F797" t="s">
        <v>1812</v>
      </c>
      <c r="G797" t="s">
        <v>1812</v>
      </c>
      <c r="H797">
        <v>0</v>
      </c>
      <c r="I797">
        <v>8242.67</v>
      </c>
      <c r="J797" t="s">
        <v>1812</v>
      </c>
      <c r="K797">
        <v>-0</v>
      </c>
      <c r="L797">
        <v>1.14135234699347</v>
      </c>
      <c r="M797">
        <v>330</v>
      </c>
      <c r="N797">
        <v>159.62</v>
      </c>
    </row>
    <row r="798" spans="1:14">
      <c r="A798" s="1" t="s">
        <v>810</v>
      </c>
      <c r="B798">
        <f>HYPERLINK("https://www.suredividend.com/sure-analysis-research-database/","Instructure Holdings Inc")</f>
        <v>0</v>
      </c>
      <c r="C798" t="s">
        <v>1812</v>
      </c>
      <c r="D798">
        <v>26.93</v>
      </c>
      <c r="E798">
        <v>0</v>
      </c>
      <c r="F798" t="s">
        <v>1812</v>
      </c>
      <c r="G798" t="s">
        <v>1812</v>
      </c>
      <c r="H798">
        <v>0</v>
      </c>
      <c r="I798">
        <v>3863.876705</v>
      </c>
      <c r="J798">
        <v>0</v>
      </c>
      <c r="K798" t="s">
        <v>1812</v>
      </c>
      <c r="L798">
        <v>0.537942015038832</v>
      </c>
      <c r="M798">
        <v>31.47</v>
      </c>
      <c r="N798">
        <v>20.33</v>
      </c>
    </row>
    <row r="799" spans="1:14">
      <c r="A799" s="1" t="s">
        <v>811</v>
      </c>
      <c r="B799">
        <f>HYPERLINK("https://www.suredividend.com/sure-analysis-research-database/","International Seaways Inc")</f>
        <v>0</v>
      </c>
      <c r="C799" t="s">
        <v>1813</v>
      </c>
      <c r="D799">
        <v>43.6</v>
      </c>
      <c r="E799">
        <v>0.08638510171895</v>
      </c>
      <c r="F799" t="s">
        <v>1812</v>
      </c>
      <c r="G799" t="s">
        <v>1812</v>
      </c>
      <c r="H799">
        <v>3.766390434946245</v>
      </c>
      <c r="I799">
        <v>2146.425558</v>
      </c>
      <c r="J799">
        <v>3.742514377577264</v>
      </c>
      <c r="K799">
        <v>0.3275122117344561</v>
      </c>
      <c r="L799">
        <v>0.257672956695295</v>
      </c>
      <c r="M799">
        <v>50.92</v>
      </c>
      <c r="N799">
        <v>22.55</v>
      </c>
    </row>
    <row r="800" spans="1:14">
      <c r="A800" s="1" t="s">
        <v>812</v>
      </c>
      <c r="B800">
        <f>HYPERLINK("https://www.suredividend.com/sure-analysis-research-database/","World Fuel Services Corp.")</f>
        <v>0</v>
      </c>
      <c r="C800" t="s">
        <v>1822</v>
      </c>
      <c r="D800">
        <v>24.26</v>
      </c>
      <c r="E800">
        <v>0.017219436597124</v>
      </c>
      <c r="F800" t="s">
        <v>1812</v>
      </c>
      <c r="G800" t="s">
        <v>1812</v>
      </c>
      <c r="H800">
        <v>0.417743531846234</v>
      </c>
      <c r="I800">
        <v>1507.252718</v>
      </c>
      <c r="J800">
        <v>13.62796309276673</v>
      </c>
      <c r="K800">
        <v>0.2360132948283808</v>
      </c>
      <c r="L800">
        <v>1.058186140350976</v>
      </c>
      <c r="M800">
        <v>30.48</v>
      </c>
      <c r="N800">
        <v>18.98</v>
      </c>
    </row>
    <row r="801" spans="1:14">
      <c r="A801" s="1" t="s">
        <v>813</v>
      </c>
      <c r="B801">
        <f>HYPERLINK("https://www.suredividend.com/sure-analysis-research-database/","Intapp Inc")</f>
        <v>0</v>
      </c>
      <c r="C801" t="s">
        <v>1812</v>
      </c>
      <c r="D801">
        <v>37.14</v>
      </c>
      <c r="E801">
        <v>0</v>
      </c>
      <c r="F801" t="s">
        <v>1812</v>
      </c>
      <c r="G801" t="s">
        <v>1812</v>
      </c>
      <c r="H801">
        <v>0</v>
      </c>
      <c r="I801">
        <v>2428.978804</v>
      </c>
      <c r="J801">
        <v>0</v>
      </c>
      <c r="K801" t="s">
        <v>1812</v>
      </c>
      <c r="L801">
        <v>0.930335173401278</v>
      </c>
      <c r="M801">
        <v>50.46</v>
      </c>
      <c r="N801">
        <v>13.54</v>
      </c>
    </row>
    <row r="802" spans="1:14">
      <c r="A802" s="1" t="s">
        <v>814</v>
      </c>
      <c r="B802">
        <f>HYPERLINK("https://www.suredividend.com/sure-analysis-research-database/","Innoviva Inc")</f>
        <v>0</v>
      </c>
      <c r="C802" t="s">
        <v>1817</v>
      </c>
      <c r="D802">
        <v>13.18</v>
      </c>
      <c r="E802">
        <v>0</v>
      </c>
      <c r="F802" t="s">
        <v>1812</v>
      </c>
      <c r="G802" t="s">
        <v>1812</v>
      </c>
      <c r="H802">
        <v>0</v>
      </c>
      <c r="I802">
        <v>857.991904</v>
      </c>
      <c r="J802">
        <v>3.682163242394201</v>
      </c>
      <c r="K802">
        <v>0</v>
      </c>
      <c r="M802">
        <v>14.87</v>
      </c>
      <c r="N802">
        <v>10.64</v>
      </c>
    </row>
    <row r="803" spans="1:14">
      <c r="A803" s="1" t="s">
        <v>815</v>
      </c>
      <c r="B803">
        <f>HYPERLINK("https://www.suredividend.com/sure-analysis-research-database/","Identiv Inc")</f>
        <v>0</v>
      </c>
      <c r="C803" t="s">
        <v>1818</v>
      </c>
      <c r="D803">
        <v>7.34</v>
      </c>
      <c r="E803">
        <v>0</v>
      </c>
      <c r="F803" t="s">
        <v>1812</v>
      </c>
      <c r="G803" t="s">
        <v>1812</v>
      </c>
      <c r="H803">
        <v>0</v>
      </c>
      <c r="I803">
        <v>168.631267</v>
      </c>
      <c r="J803" t="s">
        <v>1812</v>
      </c>
      <c r="K803">
        <v>-0</v>
      </c>
      <c r="L803">
        <v>1.545380375027244</v>
      </c>
      <c r="M803">
        <v>16.98</v>
      </c>
      <c r="N803">
        <v>5.07</v>
      </c>
    </row>
    <row r="804" spans="1:14">
      <c r="A804" s="1" t="s">
        <v>816</v>
      </c>
      <c r="B804">
        <f>HYPERLINK("https://www.suredividend.com/sure-analysis-research-database/","IonQ Inc")</f>
        <v>0</v>
      </c>
      <c r="C804" t="s">
        <v>1812</v>
      </c>
      <c r="D804">
        <v>18.29</v>
      </c>
      <c r="E804">
        <v>0</v>
      </c>
      <c r="F804" t="s">
        <v>1812</v>
      </c>
      <c r="G804" t="s">
        <v>1812</v>
      </c>
      <c r="H804">
        <v>0</v>
      </c>
      <c r="I804">
        <v>3676.807973</v>
      </c>
      <c r="J804" t="s">
        <v>1812</v>
      </c>
      <c r="K804">
        <v>-0</v>
      </c>
      <c r="L804">
        <v>2.429904805868976</v>
      </c>
      <c r="M804">
        <v>20.14</v>
      </c>
      <c r="N804">
        <v>3.04</v>
      </c>
    </row>
    <row r="805" spans="1:14">
      <c r="A805" s="1" t="s">
        <v>817</v>
      </c>
      <c r="B805">
        <f>HYPERLINK("https://www.suredividend.com/sure-analysis-research-database/","Innospec Inc")</f>
        <v>0</v>
      </c>
      <c r="C805" t="s">
        <v>1823</v>
      </c>
      <c r="D805">
        <v>107.64</v>
      </c>
      <c r="E805">
        <v>0.012364467980716</v>
      </c>
      <c r="F805" t="s">
        <v>1812</v>
      </c>
      <c r="G805" t="s">
        <v>1812</v>
      </c>
      <c r="H805">
        <v>1.330911333444322</v>
      </c>
      <c r="I805">
        <v>2676.929192</v>
      </c>
      <c r="J805">
        <v>20.63939237902853</v>
      </c>
      <c r="K805">
        <v>0.2564376365017961</v>
      </c>
      <c r="L805">
        <v>0.8869925437146461</v>
      </c>
      <c r="M805">
        <v>114.38</v>
      </c>
      <c r="N805">
        <v>81.48</v>
      </c>
    </row>
    <row r="806" spans="1:14">
      <c r="A806" s="1" t="s">
        <v>818</v>
      </c>
      <c r="B806">
        <f>HYPERLINK("https://www.suredividend.com/sure-analysis-research-database/","Iovance Biotherapeutics Inc")</f>
        <v>0</v>
      </c>
      <c r="C806" t="s">
        <v>1817</v>
      </c>
      <c r="D806">
        <v>7.23</v>
      </c>
      <c r="E806">
        <v>0</v>
      </c>
      <c r="F806" t="s">
        <v>1812</v>
      </c>
      <c r="G806" t="s">
        <v>1812</v>
      </c>
      <c r="H806">
        <v>0</v>
      </c>
      <c r="I806">
        <v>1789.053045</v>
      </c>
      <c r="J806">
        <v>0</v>
      </c>
      <c r="K806" t="s">
        <v>1812</v>
      </c>
      <c r="L806">
        <v>1.276385833135689</v>
      </c>
      <c r="M806">
        <v>13.32</v>
      </c>
      <c r="N806">
        <v>5.28</v>
      </c>
    </row>
    <row r="807" spans="1:14">
      <c r="A807" s="1" t="s">
        <v>819</v>
      </c>
      <c r="B807">
        <f>HYPERLINK("https://www.suredividend.com/sure-analysis-IPAR/","Inter Parfums, Inc.")</f>
        <v>0</v>
      </c>
      <c r="C807" t="s">
        <v>1819</v>
      </c>
      <c r="D807">
        <v>147.98</v>
      </c>
      <c r="E807">
        <v>0.01689417488849845</v>
      </c>
      <c r="F807" t="s">
        <v>1812</v>
      </c>
      <c r="G807" t="s">
        <v>1812</v>
      </c>
      <c r="H807">
        <v>2.227965875674037</v>
      </c>
      <c r="I807">
        <v>4726.975749</v>
      </c>
      <c r="J807">
        <v>33.83468197354482</v>
      </c>
      <c r="K807">
        <v>0.5110013476316598</v>
      </c>
      <c r="L807">
        <v>0.865748169905257</v>
      </c>
      <c r="M807">
        <v>159.7</v>
      </c>
      <c r="N807">
        <v>71.09999999999999</v>
      </c>
    </row>
    <row r="808" spans="1:14">
      <c r="A808" s="1" t="s">
        <v>820</v>
      </c>
      <c r="B808">
        <f>HYPERLINK("https://www.suredividend.com/sure-analysis-research-database/","Intrepid Potash Inc")</f>
        <v>0</v>
      </c>
      <c r="C808" t="s">
        <v>1823</v>
      </c>
      <c r="D808">
        <v>24.99</v>
      </c>
      <c r="E808">
        <v>0</v>
      </c>
      <c r="F808" t="s">
        <v>1812</v>
      </c>
      <c r="G808" t="s">
        <v>1812</v>
      </c>
      <c r="H808">
        <v>0</v>
      </c>
      <c r="I808">
        <v>328.832214</v>
      </c>
      <c r="J808">
        <v>7.258348368355994</v>
      </c>
      <c r="K808">
        <v>0</v>
      </c>
      <c r="L808">
        <v>1.35548513060669</v>
      </c>
      <c r="M808">
        <v>56.66</v>
      </c>
      <c r="N808">
        <v>17.23</v>
      </c>
    </row>
    <row r="809" spans="1:14">
      <c r="A809" s="1" t="s">
        <v>821</v>
      </c>
      <c r="B809">
        <f>HYPERLINK("https://www.suredividend.com/sure-analysis-research-database/","Century Therapeutics Inc")</f>
        <v>0</v>
      </c>
      <c r="C809" t="s">
        <v>1812</v>
      </c>
      <c r="D809">
        <v>3.05</v>
      </c>
      <c r="E809">
        <v>0</v>
      </c>
      <c r="F809" t="s">
        <v>1812</v>
      </c>
      <c r="G809" t="s">
        <v>1812</v>
      </c>
      <c r="H809">
        <v>0</v>
      </c>
      <c r="I809">
        <v>181.721492</v>
      </c>
      <c r="J809">
        <v>0</v>
      </c>
      <c r="K809" t="s">
        <v>1812</v>
      </c>
      <c r="L809">
        <v>1.158182609383171</v>
      </c>
      <c r="M809">
        <v>14</v>
      </c>
      <c r="N809">
        <v>2.81</v>
      </c>
    </row>
    <row r="810" spans="1:14">
      <c r="A810" s="1" t="s">
        <v>822</v>
      </c>
      <c r="B810">
        <f>HYPERLINK("https://www.suredividend.com/sure-analysis-research-database/","Irobot Corp")</f>
        <v>0</v>
      </c>
      <c r="C810" t="s">
        <v>1818</v>
      </c>
      <c r="D810">
        <v>38.72</v>
      </c>
      <c r="E810">
        <v>0</v>
      </c>
      <c r="F810" t="s">
        <v>1812</v>
      </c>
      <c r="G810" t="s">
        <v>1812</v>
      </c>
      <c r="H810">
        <v>0</v>
      </c>
      <c r="I810">
        <v>1068.442468</v>
      </c>
      <c r="J810" t="s">
        <v>1812</v>
      </c>
      <c r="K810">
        <v>-0</v>
      </c>
      <c r="L810">
        <v>0.156965305056924</v>
      </c>
      <c r="M810">
        <v>60.25</v>
      </c>
      <c r="N810">
        <v>31.37</v>
      </c>
    </row>
    <row r="811" spans="1:14">
      <c r="A811" s="1" t="s">
        <v>823</v>
      </c>
      <c r="B811">
        <f>HYPERLINK("https://www.suredividend.com/sure-analysis-research-database/","Iridium Communications Inc")</f>
        <v>0</v>
      </c>
      <c r="C811" t="s">
        <v>1821</v>
      </c>
      <c r="D811">
        <v>50.01</v>
      </c>
      <c r="E811">
        <v>0.005187881091333</v>
      </c>
      <c r="F811" t="s">
        <v>1812</v>
      </c>
      <c r="G811" t="s">
        <v>1812</v>
      </c>
      <c r="H811">
        <v>0.259445933377594</v>
      </c>
      <c r="I811">
        <v>6253.783607</v>
      </c>
      <c r="J811" t="s">
        <v>1812</v>
      </c>
      <c r="K811" t="s">
        <v>1812</v>
      </c>
      <c r="L811">
        <v>0.728344871558485</v>
      </c>
      <c r="M811">
        <v>68.05</v>
      </c>
      <c r="N811">
        <v>42.57</v>
      </c>
    </row>
    <row r="812" spans="1:14">
      <c r="A812" s="1" t="s">
        <v>824</v>
      </c>
      <c r="B812">
        <f>HYPERLINK("https://www.suredividend.com/sure-analysis-research-database/","Iradimed Corp")</f>
        <v>0</v>
      </c>
      <c r="C812" t="s">
        <v>1817</v>
      </c>
      <c r="D812">
        <v>48.2</v>
      </c>
      <c r="E812">
        <v>0.021784231375856</v>
      </c>
      <c r="F812" t="s">
        <v>1812</v>
      </c>
      <c r="G812" t="s">
        <v>1812</v>
      </c>
      <c r="H812">
        <v>1.049999952316284</v>
      </c>
      <c r="I812">
        <v>607.069215</v>
      </c>
      <c r="J812">
        <v>0</v>
      </c>
      <c r="K812" t="s">
        <v>1812</v>
      </c>
      <c r="L812">
        <v>0.746847730550743</v>
      </c>
      <c r="M812">
        <v>51.04</v>
      </c>
      <c r="N812">
        <v>25.23</v>
      </c>
    </row>
    <row r="813" spans="1:14">
      <c r="A813" s="1" t="s">
        <v>825</v>
      </c>
      <c r="B813">
        <f>HYPERLINK("https://www.suredividend.com/sure-analysis-research-database/","IronNet Inc")</f>
        <v>0</v>
      </c>
      <c r="C813" t="s">
        <v>1812</v>
      </c>
      <c r="D813">
        <v>0.1359</v>
      </c>
      <c r="E813">
        <v>0</v>
      </c>
      <c r="F813" t="s">
        <v>1812</v>
      </c>
      <c r="G813" t="s">
        <v>1812</v>
      </c>
      <c r="H813">
        <v>0</v>
      </c>
      <c r="I813">
        <v>15.190281</v>
      </c>
      <c r="J813">
        <v>0</v>
      </c>
      <c r="K813" t="s">
        <v>1812</v>
      </c>
      <c r="L813">
        <v>1.222362452056625</v>
      </c>
      <c r="M813">
        <v>2.73</v>
      </c>
      <c r="N813">
        <v>0.11</v>
      </c>
    </row>
    <row r="814" spans="1:14">
      <c r="A814" s="1" t="s">
        <v>826</v>
      </c>
      <c r="B814">
        <f>HYPERLINK("https://www.suredividend.com/sure-analysis-IRT/","Independence Realty Trust Inc")</f>
        <v>0</v>
      </c>
      <c r="C814" t="s">
        <v>1814</v>
      </c>
      <c r="D814">
        <v>16.54</v>
      </c>
      <c r="E814">
        <v>0.03869407496977026</v>
      </c>
      <c r="F814">
        <v>0.1428571428571428</v>
      </c>
      <c r="G814">
        <v>-0.02328131613882611</v>
      </c>
      <c r="H814">
        <v>0.572642055699171</v>
      </c>
      <c r="I814">
        <v>3716.673396</v>
      </c>
      <c r="J814">
        <v>53.70061690251549</v>
      </c>
      <c r="K814">
        <v>1.8604355285873</v>
      </c>
      <c r="L814">
        <v>1.129403463076413</v>
      </c>
      <c r="M814">
        <v>21.87</v>
      </c>
      <c r="N814">
        <v>14.29</v>
      </c>
    </row>
    <row r="815" spans="1:14">
      <c r="A815" s="1" t="s">
        <v>827</v>
      </c>
      <c r="B815">
        <f>HYPERLINK("https://www.suredividend.com/sure-analysis-research-database/","iRhythm Technologies Inc")</f>
        <v>0</v>
      </c>
      <c r="C815" t="s">
        <v>1817</v>
      </c>
      <c r="D815">
        <v>97.5</v>
      </c>
      <c r="E815">
        <v>0</v>
      </c>
      <c r="F815" t="s">
        <v>1812</v>
      </c>
      <c r="G815" t="s">
        <v>1812</v>
      </c>
      <c r="H815">
        <v>0</v>
      </c>
      <c r="I815">
        <v>2970.898613</v>
      </c>
      <c r="J815" t="s">
        <v>1812</v>
      </c>
      <c r="K815">
        <v>-0</v>
      </c>
      <c r="L815">
        <v>1.224325663962206</v>
      </c>
      <c r="M815">
        <v>164.69</v>
      </c>
      <c r="N815">
        <v>85.73999999999999</v>
      </c>
    </row>
    <row r="816" spans="1:14">
      <c r="A816" s="1" t="s">
        <v>828</v>
      </c>
      <c r="B816">
        <f>HYPERLINK("https://www.suredividend.com/sure-analysis-research-database/","Ironwood Pharmaceuticals Inc")</f>
        <v>0</v>
      </c>
      <c r="C816" t="s">
        <v>1817</v>
      </c>
      <c r="D816">
        <v>11.01</v>
      </c>
      <c r="E816">
        <v>0</v>
      </c>
      <c r="F816" t="s">
        <v>1812</v>
      </c>
      <c r="G816" t="s">
        <v>1812</v>
      </c>
      <c r="H816">
        <v>0</v>
      </c>
      <c r="I816">
        <v>1709.853</v>
      </c>
      <c r="J816">
        <v>9.395932475354163</v>
      </c>
      <c r="K816">
        <v>0</v>
      </c>
      <c r="L816">
        <v>0.643350140343476</v>
      </c>
      <c r="M816">
        <v>12.66</v>
      </c>
      <c r="N816">
        <v>9.73</v>
      </c>
    </row>
    <row r="817" spans="1:14">
      <c r="A817" s="1" t="s">
        <v>829</v>
      </c>
      <c r="B817">
        <f>HYPERLINK("https://www.suredividend.com/sure-analysis-research-database/","IVERIC bio Inc")</f>
        <v>0</v>
      </c>
      <c r="C817" t="s">
        <v>1817</v>
      </c>
      <c r="D817">
        <v>39.95</v>
      </c>
      <c r="E817">
        <v>0</v>
      </c>
      <c r="F817" t="s">
        <v>1812</v>
      </c>
      <c r="G817" t="s">
        <v>1812</v>
      </c>
      <c r="H817">
        <v>0</v>
      </c>
      <c r="I817">
        <v>0</v>
      </c>
      <c r="J817">
        <v>0</v>
      </c>
      <c r="K817" t="s">
        <v>1812</v>
      </c>
    </row>
    <row r="818" spans="1:14">
      <c r="A818" s="1" t="s">
        <v>830</v>
      </c>
      <c r="B818">
        <f>HYPERLINK("https://www.suredividend.com/sure-analysis-research-database/","Inspirato Incorporated")</f>
        <v>0</v>
      </c>
      <c r="C818" t="s">
        <v>1812</v>
      </c>
      <c r="D818">
        <v>1.01</v>
      </c>
      <c r="E818">
        <v>0</v>
      </c>
      <c r="F818" t="s">
        <v>1812</v>
      </c>
      <c r="G818" t="s">
        <v>1812</v>
      </c>
      <c r="H818">
        <v>0</v>
      </c>
      <c r="I818">
        <v>68.01303799999999</v>
      </c>
      <c r="J818">
        <v>0</v>
      </c>
      <c r="K818" t="s">
        <v>1812</v>
      </c>
      <c r="L818">
        <v>1.359917800814132</v>
      </c>
      <c r="M818">
        <v>5.21</v>
      </c>
      <c r="N818">
        <v>0.6900000000000001</v>
      </c>
    </row>
    <row r="819" spans="1:14">
      <c r="A819" s="1" t="s">
        <v>831</v>
      </c>
      <c r="B819">
        <f>HYPERLINK("https://www.suredividend.com/sure-analysis-research-database/","Intra-Cellular Therapies Inc")</f>
        <v>0</v>
      </c>
      <c r="C819" t="s">
        <v>1817</v>
      </c>
      <c r="D819">
        <v>58.89</v>
      </c>
      <c r="E819">
        <v>0</v>
      </c>
      <c r="F819" t="s">
        <v>1812</v>
      </c>
      <c r="G819" t="s">
        <v>1812</v>
      </c>
      <c r="H819">
        <v>0</v>
      </c>
      <c r="I819">
        <v>5649.058643</v>
      </c>
      <c r="J819">
        <v>0</v>
      </c>
      <c r="K819" t="s">
        <v>1812</v>
      </c>
      <c r="L819">
        <v>0.574382460537741</v>
      </c>
      <c r="M819">
        <v>67.05</v>
      </c>
      <c r="N819">
        <v>42.01</v>
      </c>
    </row>
    <row r="820" spans="1:14">
      <c r="A820" s="1" t="s">
        <v>832</v>
      </c>
      <c r="B820">
        <f>HYPERLINK("https://www.suredividend.com/sure-analysis-research-database/","Integer Holdings Corp")</f>
        <v>0</v>
      </c>
      <c r="C820" t="s">
        <v>1817</v>
      </c>
      <c r="D820">
        <v>90.20999999999999</v>
      </c>
      <c r="E820">
        <v>0</v>
      </c>
      <c r="F820" t="s">
        <v>1812</v>
      </c>
      <c r="G820" t="s">
        <v>1812</v>
      </c>
      <c r="H820">
        <v>0</v>
      </c>
      <c r="I820">
        <v>3004.721897</v>
      </c>
      <c r="J820">
        <v>42.19522394045779</v>
      </c>
      <c r="K820">
        <v>0</v>
      </c>
      <c r="L820">
        <v>0.991216726889222</v>
      </c>
      <c r="M820">
        <v>96.17</v>
      </c>
      <c r="N820">
        <v>50.05</v>
      </c>
    </row>
    <row r="821" spans="1:14">
      <c r="A821" s="1" t="s">
        <v>833</v>
      </c>
      <c r="B821">
        <f>HYPERLINK("https://www.suredividend.com/sure-analysis-research-database/","Investors Title Co.")</f>
        <v>0</v>
      </c>
      <c r="C821" t="s">
        <v>1815</v>
      </c>
      <c r="D821">
        <v>154.02</v>
      </c>
      <c r="E821">
        <v>0.011858104819024</v>
      </c>
      <c r="F821">
        <v>0</v>
      </c>
      <c r="G821">
        <v>0.02834672210021361</v>
      </c>
      <c r="H821">
        <v>1.826385304226118</v>
      </c>
      <c r="I821">
        <v>292.271894</v>
      </c>
      <c r="J821">
        <v>0</v>
      </c>
      <c r="K821" t="s">
        <v>1812</v>
      </c>
      <c r="M821">
        <v>166.29</v>
      </c>
      <c r="N821">
        <v>124.17</v>
      </c>
    </row>
    <row r="822" spans="1:14">
      <c r="A822" s="1" t="s">
        <v>834</v>
      </c>
      <c r="B822">
        <f>HYPERLINK("https://www.suredividend.com/sure-analysis-research-database/","ITeos Therapeutics Inc")</f>
        <v>0</v>
      </c>
      <c r="C822" t="s">
        <v>1812</v>
      </c>
      <c r="D822">
        <v>13.46</v>
      </c>
      <c r="E822">
        <v>0</v>
      </c>
      <c r="F822" t="s">
        <v>1812</v>
      </c>
      <c r="G822" t="s">
        <v>1812</v>
      </c>
      <c r="H822">
        <v>0</v>
      </c>
      <c r="I822">
        <v>481.379967</v>
      </c>
      <c r="J822">
        <v>41.79008310790867</v>
      </c>
      <c r="K822">
        <v>0</v>
      </c>
      <c r="L822">
        <v>1.207974787842706</v>
      </c>
      <c r="M822">
        <v>27.52</v>
      </c>
      <c r="N822">
        <v>12.52</v>
      </c>
    </row>
    <row r="823" spans="1:14">
      <c r="A823" s="1" t="s">
        <v>835</v>
      </c>
      <c r="B823">
        <f>HYPERLINK("https://www.suredividend.com/sure-analysis-research-database/","Itron Inc.")</f>
        <v>0</v>
      </c>
      <c r="C823" t="s">
        <v>1818</v>
      </c>
      <c r="D823">
        <v>76.56</v>
      </c>
      <c r="E823">
        <v>0</v>
      </c>
      <c r="F823" t="s">
        <v>1812</v>
      </c>
      <c r="G823" t="s">
        <v>1812</v>
      </c>
      <c r="H823">
        <v>0</v>
      </c>
      <c r="I823">
        <v>3477.570257</v>
      </c>
      <c r="J823" t="s">
        <v>1812</v>
      </c>
      <c r="K823">
        <v>-0</v>
      </c>
      <c r="L823">
        <v>1.343955655389182</v>
      </c>
      <c r="M823">
        <v>79.98999999999999</v>
      </c>
      <c r="N823">
        <v>39.38</v>
      </c>
    </row>
    <row r="824" spans="1:14">
      <c r="A824" s="1" t="s">
        <v>836</v>
      </c>
      <c r="B824">
        <f>HYPERLINK("https://www.suredividend.com/sure-analysis-research-database/","Invesco Mortgage Capital Inc")</f>
        <v>0</v>
      </c>
      <c r="C824" t="s">
        <v>1814</v>
      </c>
      <c r="D824">
        <v>11.31</v>
      </c>
      <c r="E824">
        <v>0.174059158955012</v>
      </c>
      <c r="F824">
        <v>-0.5555555555555556</v>
      </c>
      <c r="G824">
        <v>-0.009710577713137658</v>
      </c>
      <c r="H824">
        <v>1.968609087781192</v>
      </c>
      <c r="I824">
        <v>471.03033</v>
      </c>
      <c r="J824" t="s">
        <v>1812</v>
      </c>
      <c r="K824" t="s">
        <v>1812</v>
      </c>
      <c r="L824">
        <v>1.260671616422118</v>
      </c>
      <c r="M824">
        <v>15.01</v>
      </c>
      <c r="N824">
        <v>8.51</v>
      </c>
    </row>
    <row r="825" spans="1:14">
      <c r="A825" s="1" t="s">
        <v>837</v>
      </c>
      <c r="B825">
        <f>HYPERLINK("https://www.suredividend.com/sure-analysis-research-database/","InvenTrust Properties Corp")</f>
        <v>0</v>
      </c>
      <c r="C825" t="s">
        <v>1812</v>
      </c>
      <c r="D825">
        <v>24.62</v>
      </c>
      <c r="E825">
        <v>0.033710855422311</v>
      </c>
      <c r="F825" t="s">
        <v>1812</v>
      </c>
      <c r="G825" t="s">
        <v>1812</v>
      </c>
      <c r="H825">
        <v>0.8299612604973091</v>
      </c>
      <c r="I825">
        <v>1662.062741</v>
      </c>
      <c r="J825">
        <v>0</v>
      </c>
      <c r="K825" t="s">
        <v>1812</v>
      </c>
      <c r="L825">
        <v>1.030064191375825</v>
      </c>
      <c r="M825">
        <v>29.09</v>
      </c>
      <c r="N825">
        <v>20.25</v>
      </c>
    </row>
    <row r="826" spans="1:14">
      <c r="A826" s="1" t="s">
        <v>838</v>
      </c>
      <c r="B826">
        <f>HYPERLINK("https://www.suredividend.com/sure-analysis-research-database/","Invivyd Inc")</f>
        <v>0</v>
      </c>
      <c r="C826" t="s">
        <v>1812</v>
      </c>
      <c r="D826">
        <v>1.48</v>
      </c>
      <c r="E826">
        <v>0</v>
      </c>
      <c r="F826" t="s">
        <v>1812</v>
      </c>
      <c r="G826" t="s">
        <v>1812</v>
      </c>
      <c r="H826">
        <v>0</v>
      </c>
      <c r="I826">
        <v>162.032866</v>
      </c>
      <c r="J826">
        <v>0</v>
      </c>
      <c r="K826" t="s">
        <v>1812</v>
      </c>
      <c r="L826">
        <v>1.045371217355113</v>
      </c>
      <c r="M826">
        <v>4.9</v>
      </c>
      <c r="N826">
        <v>0.9802000000000001</v>
      </c>
    </row>
    <row r="827" spans="1:14">
      <c r="A827" s="1" t="s">
        <v>839</v>
      </c>
      <c r="B827">
        <f>HYPERLINK("https://www.suredividend.com/sure-analysis-JACK/","Jack In The Box, Inc.")</f>
        <v>0</v>
      </c>
      <c r="C827" t="s">
        <v>1816</v>
      </c>
      <c r="D827">
        <v>94.61</v>
      </c>
      <c r="E827">
        <v>0.01860268470563365</v>
      </c>
      <c r="F827" t="s">
        <v>1812</v>
      </c>
      <c r="G827" t="s">
        <v>1812</v>
      </c>
      <c r="H827">
        <v>1.75227634669309</v>
      </c>
      <c r="I827">
        <v>1948.966</v>
      </c>
      <c r="J827">
        <v>13.12647161830868</v>
      </c>
      <c r="K827">
        <v>0.2489028901552685</v>
      </c>
      <c r="L827">
        <v>0.906486554899349</v>
      </c>
      <c r="M827">
        <v>99.56</v>
      </c>
      <c r="N827">
        <v>65.34</v>
      </c>
    </row>
    <row r="828" spans="1:14">
      <c r="A828" s="1" t="s">
        <v>840</v>
      </c>
      <c r="B828">
        <f>HYPERLINK("https://www.suredividend.com/sure-analysis-research-database/","Janux Therapeutics Inc")</f>
        <v>0</v>
      </c>
      <c r="C828" t="s">
        <v>1812</v>
      </c>
      <c r="D828">
        <v>12.67</v>
      </c>
      <c r="E828">
        <v>0</v>
      </c>
      <c r="F828" t="s">
        <v>1812</v>
      </c>
      <c r="G828" t="s">
        <v>1812</v>
      </c>
      <c r="H828">
        <v>0</v>
      </c>
      <c r="I828">
        <v>530.028101</v>
      </c>
      <c r="J828">
        <v>0</v>
      </c>
      <c r="K828" t="s">
        <v>1812</v>
      </c>
      <c r="L828">
        <v>1.581066570636182</v>
      </c>
      <c r="M828">
        <v>23.64</v>
      </c>
      <c r="N828">
        <v>10</v>
      </c>
    </row>
    <row r="829" spans="1:14">
      <c r="A829" s="1" t="s">
        <v>841</v>
      </c>
      <c r="B829">
        <f>HYPERLINK("https://www.suredividend.com/sure-analysis-research-database/","Janus International Group Inc")</f>
        <v>0</v>
      </c>
      <c r="C829" t="s">
        <v>1812</v>
      </c>
      <c r="D829">
        <v>11.07</v>
      </c>
      <c r="E829">
        <v>0</v>
      </c>
      <c r="F829" t="s">
        <v>1812</v>
      </c>
      <c r="G829" t="s">
        <v>1812</v>
      </c>
      <c r="H829">
        <v>0</v>
      </c>
      <c r="I829">
        <v>1624.457895</v>
      </c>
      <c r="J829">
        <v>0</v>
      </c>
      <c r="K829" t="s">
        <v>1812</v>
      </c>
      <c r="L829">
        <v>1.436520443960247</v>
      </c>
      <c r="M829">
        <v>12.24</v>
      </c>
      <c r="N829">
        <v>7.97</v>
      </c>
    </row>
    <row r="830" spans="1:14">
      <c r="A830" s="1" t="s">
        <v>842</v>
      </c>
      <c r="B830">
        <f>HYPERLINK("https://www.suredividend.com/sure-analysis-research-database/","Sanfilippo (John B.) &amp; Son, Inc")</f>
        <v>0</v>
      </c>
      <c r="C830" t="s">
        <v>1819</v>
      </c>
      <c r="D830">
        <v>108.13</v>
      </c>
      <c r="E830">
        <v>0.006677582596095</v>
      </c>
      <c r="F830" t="s">
        <v>1812</v>
      </c>
      <c r="G830" t="s">
        <v>1812</v>
      </c>
      <c r="H830">
        <v>0.7220470061157731</v>
      </c>
      <c r="I830">
        <v>968.674603</v>
      </c>
      <c r="J830">
        <v>14.76683135735846</v>
      </c>
      <c r="K830">
        <v>0.1280225188148534</v>
      </c>
      <c r="L830">
        <v>0.506019762597221</v>
      </c>
      <c r="M830">
        <v>127.26</v>
      </c>
      <c r="N830">
        <v>66.98999999999999</v>
      </c>
    </row>
    <row r="831" spans="1:14">
      <c r="A831" s="1" t="s">
        <v>843</v>
      </c>
      <c r="B831">
        <f>HYPERLINK("https://www.suredividend.com/sure-analysis-research-database/","John Bean Technologies Corp")</f>
        <v>0</v>
      </c>
      <c r="C831" t="s">
        <v>1813</v>
      </c>
      <c r="D831">
        <v>111.73</v>
      </c>
      <c r="E831">
        <v>0.003574863510986</v>
      </c>
      <c r="F831">
        <v>0</v>
      </c>
      <c r="G831">
        <v>0</v>
      </c>
      <c r="H831">
        <v>0.3994195000824921</v>
      </c>
      <c r="I831">
        <v>3555.288264</v>
      </c>
      <c r="J831">
        <v>27.20189949617444</v>
      </c>
      <c r="K831">
        <v>0.0981374693077376</v>
      </c>
      <c r="L831">
        <v>1.515448236323013</v>
      </c>
      <c r="M831">
        <v>125.88</v>
      </c>
      <c r="N831">
        <v>81.34999999999999</v>
      </c>
    </row>
    <row r="832" spans="1:14">
      <c r="A832" s="1" t="s">
        <v>844</v>
      </c>
      <c r="B832">
        <f>HYPERLINK("https://www.suredividend.com/sure-analysis-research-database/","JELD-WEN Holding Inc.")</f>
        <v>0</v>
      </c>
      <c r="C832" t="s">
        <v>1813</v>
      </c>
      <c r="D832">
        <v>17.71</v>
      </c>
      <c r="E832">
        <v>0</v>
      </c>
      <c r="F832" t="s">
        <v>1812</v>
      </c>
      <c r="G832" t="s">
        <v>1812</v>
      </c>
      <c r="H832">
        <v>0</v>
      </c>
      <c r="I832">
        <v>1504.850596</v>
      </c>
      <c r="J832">
        <v>24.51335900096108</v>
      </c>
      <c r="K832">
        <v>0</v>
      </c>
      <c r="L832">
        <v>1.881596431473612</v>
      </c>
      <c r="M832">
        <v>18.52</v>
      </c>
      <c r="N832">
        <v>8.380000000000001</v>
      </c>
    </row>
    <row r="833" spans="1:14">
      <c r="A833" s="1" t="s">
        <v>845</v>
      </c>
      <c r="B833">
        <f>HYPERLINK("https://www.suredividend.com/sure-analysis-JJSF/","J&amp;J Snack Foods Corp.")</f>
        <v>0</v>
      </c>
      <c r="C833" t="s">
        <v>1819</v>
      </c>
      <c r="D833">
        <v>175.01</v>
      </c>
      <c r="E833">
        <v>0.01599908576652763</v>
      </c>
      <c r="F833">
        <v>0.1058451816745656</v>
      </c>
      <c r="G833">
        <v>0.09238846414037294</v>
      </c>
      <c r="H833">
        <v>2.770947349101228</v>
      </c>
      <c r="I833">
        <v>3372.4427</v>
      </c>
      <c r="J833">
        <v>72.71800030187377</v>
      </c>
      <c r="K833">
        <v>1.149770684274368</v>
      </c>
      <c r="L833">
        <v>0.489352365914887</v>
      </c>
      <c r="M833">
        <v>177.71</v>
      </c>
      <c r="N833">
        <v>125.44</v>
      </c>
    </row>
    <row r="834" spans="1:14">
      <c r="A834" s="1" t="s">
        <v>846</v>
      </c>
      <c r="B834">
        <f>HYPERLINK("https://www.suredividend.com/sure-analysis-research-database/","John Marshall Bancorp Inc")</f>
        <v>0</v>
      </c>
      <c r="C834" t="s">
        <v>1815</v>
      </c>
      <c r="D834">
        <v>19.53</v>
      </c>
      <c r="E834">
        <v>0.011264720881101</v>
      </c>
      <c r="F834" t="s">
        <v>1812</v>
      </c>
      <c r="G834" t="s">
        <v>1812</v>
      </c>
      <c r="H834">
        <v>0.219999998807907</v>
      </c>
      <c r="I834">
        <v>274.906428</v>
      </c>
      <c r="J834">
        <v>0</v>
      </c>
      <c r="K834" t="s">
        <v>1812</v>
      </c>
      <c r="L834">
        <v>0.8735685168992331</v>
      </c>
      <c r="M834">
        <v>29.27</v>
      </c>
      <c r="N834">
        <v>14.84</v>
      </c>
    </row>
    <row r="835" spans="1:14">
      <c r="A835" s="1" t="s">
        <v>847</v>
      </c>
      <c r="B835">
        <f>HYPERLINK("https://www.suredividend.com/sure-analysis-research-database/","JOANN Inc")</f>
        <v>0</v>
      </c>
      <c r="C835" t="s">
        <v>1812</v>
      </c>
      <c r="D835">
        <v>1.23</v>
      </c>
      <c r="E835">
        <v>0.089430893824352</v>
      </c>
      <c r="F835" t="s">
        <v>1812</v>
      </c>
      <c r="G835" t="s">
        <v>1812</v>
      </c>
      <c r="H835">
        <v>0.109999999403953</v>
      </c>
      <c r="I835">
        <v>50.647078</v>
      </c>
      <c r="J835">
        <v>0</v>
      </c>
      <c r="K835" t="s">
        <v>1812</v>
      </c>
      <c r="L835">
        <v>1.479220172509731</v>
      </c>
      <c r="M835">
        <v>11.41</v>
      </c>
      <c r="N835">
        <v>0.79</v>
      </c>
    </row>
    <row r="836" spans="1:14">
      <c r="A836" s="1" t="s">
        <v>848</v>
      </c>
      <c r="B836">
        <f>HYPERLINK("https://www.suredividend.com/sure-analysis-research-database/","Joby Aviation Inc")</f>
        <v>0</v>
      </c>
      <c r="C836" t="s">
        <v>1812</v>
      </c>
      <c r="D836">
        <v>8.24</v>
      </c>
      <c r="E836">
        <v>0</v>
      </c>
      <c r="F836" t="s">
        <v>1812</v>
      </c>
      <c r="G836" t="s">
        <v>1812</v>
      </c>
      <c r="H836">
        <v>0</v>
      </c>
      <c r="I836">
        <v>5199.264504</v>
      </c>
      <c r="J836">
        <v>0</v>
      </c>
      <c r="K836" t="s">
        <v>1812</v>
      </c>
      <c r="L836">
        <v>1.793578704107886</v>
      </c>
      <c r="M836">
        <v>11.98</v>
      </c>
      <c r="N836">
        <v>3.15</v>
      </c>
    </row>
    <row r="837" spans="1:14">
      <c r="A837" s="1" t="s">
        <v>849</v>
      </c>
      <c r="B837">
        <f>HYPERLINK("https://www.suredividend.com/sure-analysis-research-database/","St. Joe Co.")</f>
        <v>0</v>
      </c>
      <c r="C837" t="s">
        <v>1814</v>
      </c>
      <c r="D837">
        <v>60.91</v>
      </c>
      <c r="E837">
        <v>0.006543219394220001</v>
      </c>
      <c r="F837" t="s">
        <v>1812</v>
      </c>
      <c r="G837" t="s">
        <v>1812</v>
      </c>
      <c r="H837">
        <v>0.398547493301959</v>
      </c>
      <c r="I837">
        <v>3555.440956</v>
      </c>
      <c r="J837">
        <v>41.53892206605681</v>
      </c>
      <c r="K837">
        <v>0.2729777351383281</v>
      </c>
      <c r="L837">
        <v>1.091866129217464</v>
      </c>
      <c r="M837">
        <v>65.98999999999999</v>
      </c>
      <c r="N837">
        <v>30.88</v>
      </c>
    </row>
    <row r="838" spans="1:14">
      <c r="A838" s="1" t="s">
        <v>850</v>
      </c>
      <c r="B838">
        <f>HYPERLINK("https://www.suredividend.com/sure-analysis-research-database/","Johnson Outdoors Inc")</f>
        <v>0</v>
      </c>
      <c r="C838" t="s">
        <v>1816</v>
      </c>
      <c r="D838">
        <v>58.4</v>
      </c>
      <c r="E838">
        <v>0.020986325839554</v>
      </c>
      <c r="F838">
        <v>0.03333333333333321</v>
      </c>
      <c r="G838">
        <v>0.172321504725808</v>
      </c>
      <c r="H838">
        <v>1.225601429029957</v>
      </c>
      <c r="I838">
        <v>528.266778</v>
      </c>
      <c r="J838">
        <v>11.9244887835489</v>
      </c>
      <c r="K838">
        <v>0.2811012451903571</v>
      </c>
      <c r="L838">
        <v>1.005507277216194</v>
      </c>
      <c r="M838">
        <v>71.48999999999999</v>
      </c>
      <c r="N838">
        <v>45.37</v>
      </c>
    </row>
    <row r="839" spans="1:14">
      <c r="A839" s="1" t="s">
        <v>851</v>
      </c>
      <c r="B839">
        <f>HYPERLINK("https://www.suredividend.com/sure-analysis-research-database/","James River Group Holdings Ltd")</f>
        <v>0</v>
      </c>
      <c r="C839" t="s">
        <v>1815</v>
      </c>
      <c r="D839">
        <v>17.8</v>
      </c>
      <c r="E839">
        <v>0.011176777108039</v>
      </c>
      <c r="F839">
        <v>0</v>
      </c>
      <c r="G839">
        <v>-0.3011728812284208</v>
      </c>
      <c r="H839">
        <v>0.19894663252311</v>
      </c>
      <c r="I839">
        <v>669.622223</v>
      </c>
      <c r="J839">
        <v>33.68998907224794</v>
      </c>
      <c r="K839">
        <v>0.3774362218233921</v>
      </c>
      <c r="L839">
        <v>0.8421428769775601</v>
      </c>
      <c r="M839">
        <v>26.36</v>
      </c>
      <c r="N839">
        <v>16.74</v>
      </c>
    </row>
    <row r="840" spans="1:14">
      <c r="A840" s="1" t="s">
        <v>852</v>
      </c>
      <c r="B840">
        <f>HYPERLINK("https://www.suredividend.com/sure-analysis-research-database/","Jackson Financial Inc")</f>
        <v>0</v>
      </c>
      <c r="C840" t="s">
        <v>1812</v>
      </c>
      <c r="D840">
        <v>32.27</v>
      </c>
      <c r="E840">
        <v>0.07063168946567801</v>
      </c>
      <c r="F840" t="s">
        <v>1812</v>
      </c>
      <c r="G840" t="s">
        <v>1812</v>
      </c>
      <c r="H840">
        <v>2.279284619057442</v>
      </c>
      <c r="I840">
        <v>2661.972372</v>
      </c>
      <c r="J840">
        <v>0</v>
      </c>
      <c r="K840" t="s">
        <v>1812</v>
      </c>
      <c r="L840">
        <v>1.737763096345144</v>
      </c>
      <c r="M840">
        <v>47.8</v>
      </c>
      <c r="N840">
        <v>25.77</v>
      </c>
    </row>
    <row r="841" spans="1:14">
      <c r="A841" s="1" t="s">
        <v>853</v>
      </c>
      <c r="B841">
        <f>HYPERLINK("https://www.suredividend.com/sure-analysis-research-database/","Joint Corp")</f>
        <v>0</v>
      </c>
      <c r="C841" t="s">
        <v>1817</v>
      </c>
      <c r="D841">
        <v>13.25</v>
      </c>
      <c r="E841">
        <v>0</v>
      </c>
      <c r="F841" t="s">
        <v>1812</v>
      </c>
      <c r="G841" t="s">
        <v>1812</v>
      </c>
      <c r="H841">
        <v>0</v>
      </c>
      <c r="I841">
        <v>194.494736</v>
      </c>
      <c r="J841">
        <v>52.79325574369524</v>
      </c>
      <c r="K841">
        <v>0</v>
      </c>
      <c r="L841">
        <v>1.414863309789068</v>
      </c>
      <c r="M841">
        <v>25.25</v>
      </c>
      <c r="N841">
        <v>12.85</v>
      </c>
    </row>
    <row r="842" spans="1:14">
      <c r="A842" s="1" t="s">
        <v>854</v>
      </c>
      <c r="B842">
        <f>HYPERLINK("https://www.suredividend.com/sure-analysis-research-database/","Kadant, Inc.")</f>
        <v>0</v>
      </c>
      <c r="C842" t="s">
        <v>1813</v>
      </c>
      <c r="D842">
        <v>211.9</v>
      </c>
      <c r="E842">
        <v>0.00518048766566</v>
      </c>
      <c r="F842">
        <v>0.1153846153846152</v>
      </c>
      <c r="G842">
        <v>0.05680549653640732</v>
      </c>
      <c r="H842">
        <v>1.097745336353499</v>
      </c>
      <c r="I842">
        <v>2479.967624</v>
      </c>
      <c r="J842">
        <v>23.00291829126898</v>
      </c>
      <c r="K842">
        <v>0.1190613163073209</v>
      </c>
      <c r="L842">
        <v>1.122129043693115</v>
      </c>
      <c r="M842">
        <v>229.59</v>
      </c>
      <c r="N842">
        <v>153.53</v>
      </c>
    </row>
    <row r="843" spans="1:14">
      <c r="A843" s="1" t="s">
        <v>855</v>
      </c>
      <c r="B843">
        <f>HYPERLINK("https://www.suredividend.com/sure-analysis-KALU/","Kaiser Aluminum Corp")</f>
        <v>0</v>
      </c>
      <c r="C843" t="s">
        <v>1823</v>
      </c>
      <c r="D843">
        <v>79.34999999999999</v>
      </c>
      <c r="E843">
        <v>0.03881537492123504</v>
      </c>
      <c r="F843">
        <v>0</v>
      </c>
      <c r="G843">
        <v>0.06961037572506878</v>
      </c>
      <c r="H843">
        <v>3.014037914860252</v>
      </c>
      <c r="I843">
        <v>1270.644563</v>
      </c>
      <c r="J843">
        <v>123.3635498446602</v>
      </c>
      <c r="K843">
        <v>4.672202627282982</v>
      </c>
      <c r="L843">
        <v>1.566078864007775</v>
      </c>
      <c r="M843">
        <v>93.45</v>
      </c>
      <c r="N843">
        <v>56.17</v>
      </c>
    </row>
    <row r="844" spans="1:14">
      <c r="A844" s="1" t="s">
        <v>856</v>
      </c>
      <c r="B844">
        <f>HYPERLINK("https://www.suredividend.com/sure-analysis-research-database/","KalVista Pharmaceuticals Inc")</f>
        <v>0</v>
      </c>
      <c r="C844" t="s">
        <v>1817</v>
      </c>
      <c r="D844">
        <v>11.07</v>
      </c>
      <c r="E844">
        <v>0</v>
      </c>
      <c r="F844" t="s">
        <v>1812</v>
      </c>
      <c r="G844" t="s">
        <v>1812</v>
      </c>
      <c r="H844">
        <v>0</v>
      </c>
      <c r="I844">
        <v>378.966428</v>
      </c>
      <c r="J844" t="s">
        <v>1812</v>
      </c>
      <c r="K844">
        <v>-0</v>
      </c>
      <c r="L844">
        <v>0.303951435777312</v>
      </c>
      <c r="M844">
        <v>17.06</v>
      </c>
      <c r="N844">
        <v>4.12</v>
      </c>
    </row>
    <row r="845" spans="1:14">
      <c r="A845" s="1" t="s">
        <v>857</v>
      </c>
      <c r="B845">
        <f>HYPERLINK("https://www.suredividend.com/sure-analysis-research-database/","Kaman Corp.")</f>
        <v>0</v>
      </c>
      <c r="C845" t="s">
        <v>1813</v>
      </c>
      <c r="D845">
        <v>22.49</v>
      </c>
      <c r="E845">
        <v>0.035082673858702</v>
      </c>
      <c r="F845">
        <v>0</v>
      </c>
      <c r="G845">
        <v>0</v>
      </c>
      <c r="H845">
        <v>0.7890093350822091</v>
      </c>
      <c r="I845">
        <v>634.657342</v>
      </c>
      <c r="J845" t="s">
        <v>1812</v>
      </c>
      <c r="K845" t="s">
        <v>1812</v>
      </c>
      <c r="L845">
        <v>1.565764415523345</v>
      </c>
      <c r="M845">
        <v>34.1</v>
      </c>
      <c r="N845">
        <v>18.36</v>
      </c>
    </row>
    <row r="846" spans="1:14">
      <c r="A846" s="1" t="s">
        <v>858</v>
      </c>
      <c r="B846">
        <f>HYPERLINK("https://www.suredividend.com/sure-analysis-research-database/","Openlane Inc.")</f>
        <v>0</v>
      </c>
      <c r="C846" t="s">
        <v>1816</v>
      </c>
      <c r="D846">
        <v>14.85</v>
      </c>
      <c r="E846">
        <v>0</v>
      </c>
      <c r="F846" t="s">
        <v>1812</v>
      </c>
      <c r="G846" t="s">
        <v>1812</v>
      </c>
      <c r="H846">
        <v>0</v>
      </c>
      <c r="I846">
        <v>1621.751497</v>
      </c>
      <c r="J846">
        <v>96.5328271875</v>
      </c>
      <c r="K846">
        <v>0</v>
      </c>
      <c r="L846">
        <v>1.26031003958738</v>
      </c>
      <c r="M846">
        <v>17.66</v>
      </c>
      <c r="N846">
        <v>11.15</v>
      </c>
    </row>
    <row r="847" spans="1:14">
      <c r="A847" s="1" t="s">
        <v>859</v>
      </c>
      <c r="B847">
        <f>HYPERLINK("https://www.suredividend.com/sure-analysis-research-database/","KB Home")</f>
        <v>0</v>
      </c>
      <c r="C847" t="s">
        <v>1816</v>
      </c>
      <c r="D847">
        <v>53.24</v>
      </c>
      <c r="E847">
        <v>0.012147948584104</v>
      </c>
      <c r="F847">
        <v>0.3333333333333335</v>
      </c>
      <c r="G847">
        <v>0.5157165665103982</v>
      </c>
      <c r="H847">
        <v>0.646756782617748</v>
      </c>
      <c r="I847">
        <v>4291.671662</v>
      </c>
      <c r="J847">
        <v>5.668529017296148</v>
      </c>
      <c r="K847">
        <v>0.07399963187846087</v>
      </c>
      <c r="L847">
        <v>1.300663562563187</v>
      </c>
      <c r="M847">
        <v>55.17</v>
      </c>
      <c r="N847">
        <v>24.9</v>
      </c>
    </row>
    <row r="848" spans="1:14">
      <c r="A848" s="1" t="s">
        <v>860</v>
      </c>
      <c r="B848">
        <f>HYPERLINK("https://www.suredividend.com/sure-analysis-research-database/","Chinook Therapeutics Inc")</f>
        <v>0</v>
      </c>
      <c r="C848" t="s">
        <v>1812</v>
      </c>
      <c r="D848">
        <v>40.29</v>
      </c>
      <c r="E848">
        <v>0</v>
      </c>
      <c r="F848" t="s">
        <v>1812</v>
      </c>
      <c r="G848" t="s">
        <v>1812</v>
      </c>
      <c r="H848">
        <v>0</v>
      </c>
      <c r="I848">
        <v>2694.972677</v>
      </c>
      <c r="J848">
        <v>0</v>
      </c>
      <c r="K848" t="s">
        <v>1812</v>
      </c>
      <c r="L848">
        <v>1.141285360925487</v>
      </c>
      <c r="M848">
        <v>40.47</v>
      </c>
      <c r="N848">
        <v>18.34</v>
      </c>
    </row>
    <row r="849" spans="1:14">
      <c r="A849" s="1" t="s">
        <v>861</v>
      </c>
      <c r="B849">
        <f>HYPERLINK("https://www.suredividend.com/sure-analysis-research-database/","Kimball Electronics Inc")</f>
        <v>0</v>
      </c>
      <c r="C849" t="s">
        <v>1813</v>
      </c>
      <c r="D849">
        <v>29.35</v>
      </c>
      <c r="E849">
        <v>0</v>
      </c>
      <c r="F849" t="s">
        <v>1812</v>
      </c>
      <c r="G849" t="s">
        <v>1812</v>
      </c>
      <c r="H849">
        <v>0</v>
      </c>
      <c r="I849">
        <v>725.657647</v>
      </c>
      <c r="J849">
        <v>0</v>
      </c>
      <c r="K849" t="s">
        <v>1812</v>
      </c>
      <c r="L849">
        <v>1.143982239411812</v>
      </c>
      <c r="M849">
        <v>30.29</v>
      </c>
      <c r="N849">
        <v>17.1</v>
      </c>
    </row>
    <row r="850" spans="1:14">
      <c r="A850" s="1" t="s">
        <v>862</v>
      </c>
      <c r="B850">
        <f>HYPERLINK("https://www.suredividend.com/sure-analysis-research-database/","Kelly Services, Inc.")</f>
        <v>0</v>
      </c>
      <c r="C850" t="s">
        <v>1813</v>
      </c>
      <c r="D850">
        <v>18.08</v>
      </c>
      <c r="E850">
        <v>0.016438341780843</v>
      </c>
      <c r="F850" t="s">
        <v>1812</v>
      </c>
      <c r="G850" t="s">
        <v>1812</v>
      </c>
      <c r="H850">
        <v>0.297205219397656</v>
      </c>
      <c r="I850">
        <v>651.713255</v>
      </c>
      <c r="J850" t="s">
        <v>1812</v>
      </c>
      <c r="K850" t="s">
        <v>1812</v>
      </c>
      <c r="L850">
        <v>1.084033131462077</v>
      </c>
      <c r="M850">
        <v>22.09</v>
      </c>
      <c r="N850">
        <v>13.19</v>
      </c>
    </row>
    <row r="851" spans="1:14">
      <c r="A851" s="1" t="s">
        <v>863</v>
      </c>
      <c r="B851">
        <f>HYPERLINK("https://www.suredividend.com/sure-analysis-research-database/","Kforce Inc.")</f>
        <v>0</v>
      </c>
      <c r="C851" t="s">
        <v>1813</v>
      </c>
      <c r="D851">
        <v>60.54</v>
      </c>
      <c r="E851">
        <v>0.021532244954819</v>
      </c>
      <c r="F851">
        <v>0.1999999999999997</v>
      </c>
      <c r="G851">
        <v>0.1486983549970351</v>
      </c>
      <c r="H851">
        <v>1.303562109564791</v>
      </c>
      <c r="I851">
        <v>1218.110084</v>
      </c>
      <c r="J851">
        <v>16.8107933193486</v>
      </c>
      <c r="K851">
        <v>0.364123494291841</v>
      </c>
      <c r="L851">
        <v>0.912138541521144</v>
      </c>
      <c r="M851">
        <v>66.73999999999999</v>
      </c>
      <c r="N851">
        <v>48.48</v>
      </c>
    </row>
    <row r="852" spans="1:14">
      <c r="A852" s="1" t="s">
        <v>864</v>
      </c>
      <c r="B852">
        <f>HYPERLINK("https://www.suredividend.com/sure-analysis-research-database/","Korn Ferry")</f>
        <v>0</v>
      </c>
      <c r="C852" t="s">
        <v>1813</v>
      </c>
      <c r="D852">
        <v>52.85</v>
      </c>
      <c r="E852">
        <v>0.011863930867413</v>
      </c>
      <c r="F852">
        <v>0.2</v>
      </c>
      <c r="G852">
        <v>0.1247461131420948</v>
      </c>
      <c r="H852">
        <v>0.627008746342781</v>
      </c>
      <c r="I852">
        <v>2757.764053</v>
      </c>
      <c r="J852">
        <v>13.45835046971612</v>
      </c>
      <c r="K852">
        <v>0.1587363914791851</v>
      </c>
      <c r="L852">
        <v>0.917264963146262</v>
      </c>
      <c r="M852">
        <v>65.81</v>
      </c>
      <c r="N852">
        <v>44.52</v>
      </c>
    </row>
    <row r="853" spans="1:14">
      <c r="A853" s="1" t="s">
        <v>865</v>
      </c>
      <c r="B853">
        <f>HYPERLINK("https://www.suredividend.com/sure-analysis-research-database/","OrthoPediatrics corp")</f>
        <v>0</v>
      </c>
      <c r="C853" t="s">
        <v>1817</v>
      </c>
      <c r="D853">
        <v>39.65</v>
      </c>
      <c r="E853">
        <v>0</v>
      </c>
      <c r="F853" t="s">
        <v>1812</v>
      </c>
      <c r="G853" t="s">
        <v>1812</v>
      </c>
      <c r="H853">
        <v>0</v>
      </c>
      <c r="I853">
        <v>924.923599</v>
      </c>
      <c r="J853">
        <v>925.8494483983984</v>
      </c>
      <c r="K853">
        <v>0</v>
      </c>
      <c r="L853">
        <v>1.287046024552844</v>
      </c>
      <c r="M853">
        <v>60.75</v>
      </c>
      <c r="N853">
        <v>35.67</v>
      </c>
    </row>
    <row r="854" spans="1:14">
      <c r="A854" s="1" t="s">
        <v>866</v>
      </c>
      <c r="B854">
        <f>HYPERLINK("https://www.suredividend.com/sure-analysis-KLIC/","Kulicke &amp; Soffa Industries, Inc.")</f>
        <v>0</v>
      </c>
      <c r="C854" t="s">
        <v>1818</v>
      </c>
      <c r="D854">
        <v>56.47</v>
      </c>
      <c r="E854">
        <v>0.01345847352576589</v>
      </c>
      <c r="F854">
        <v>0.1176470588235294</v>
      </c>
      <c r="G854">
        <v>0.09626227935295417</v>
      </c>
      <c r="H854">
        <v>0.7342867679399631</v>
      </c>
      <c r="I854">
        <v>3195.2249</v>
      </c>
      <c r="J854">
        <v>14.96115944144254</v>
      </c>
      <c r="K854">
        <v>0.2011744569698529</v>
      </c>
      <c r="L854">
        <v>1.420093565570047</v>
      </c>
      <c r="M854">
        <v>60.2</v>
      </c>
      <c r="N854">
        <v>35.43</v>
      </c>
    </row>
    <row r="855" spans="1:14">
      <c r="A855" s="1" t="s">
        <v>867</v>
      </c>
      <c r="B855">
        <f>HYPERLINK("https://www.suredividend.com/sure-analysis-research-database/","Kaleyra Inc")</f>
        <v>0</v>
      </c>
      <c r="C855" t="s">
        <v>1821</v>
      </c>
      <c r="D855">
        <v>6.78</v>
      </c>
      <c r="E855">
        <v>0</v>
      </c>
      <c r="F855" t="s">
        <v>1812</v>
      </c>
      <c r="G855" t="s">
        <v>1812</v>
      </c>
      <c r="H855">
        <v>0</v>
      </c>
      <c r="I855">
        <v>89.48783</v>
      </c>
      <c r="J855">
        <v>0</v>
      </c>
      <c r="K855" t="s">
        <v>1812</v>
      </c>
      <c r="L855">
        <v>1.485907972011468</v>
      </c>
      <c r="M855">
        <v>9.210000000000001</v>
      </c>
      <c r="N855">
        <v>1.57</v>
      </c>
    </row>
    <row r="856" spans="1:14">
      <c r="A856" s="1" t="s">
        <v>868</v>
      </c>
      <c r="B856">
        <f>HYPERLINK("https://www.suredividend.com/sure-analysis-research-database/","Kennametal Inc.")</f>
        <v>0</v>
      </c>
      <c r="C856" t="s">
        <v>1813</v>
      </c>
      <c r="D856">
        <v>27.71</v>
      </c>
      <c r="E856">
        <v>0.028550157006355</v>
      </c>
      <c r="F856">
        <v>0</v>
      </c>
      <c r="G856">
        <v>0</v>
      </c>
      <c r="H856">
        <v>0.791124850646123</v>
      </c>
      <c r="I856">
        <v>2224.43042</v>
      </c>
      <c r="J856">
        <v>17.9765026916705</v>
      </c>
      <c r="K856">
        <v>0.5239237421497503</v>
      </c>
      <c r="L856">
        <v>1.43073142603992</v>
      </c>
      <c r="M856">
        <v>30.6</v>
      </c>
      <c r="N856">
        <v>19.75</v>
      </c>
    </row>
    <row r="857" spans="1:14">
      <c r="A857" s="1" t="s">
        <v>869</v>
      </c>
      <c r="B857">
        <f>HYPERLINK("https://www.suredividend.com/sure-analysis-research-database/","Knowles Corp")</f>
        <v>0</v>
      </c>
      <c r="C857" t="s">
        <v>1818</v>
      </c>
      <c r="D857">
        <v>16.78</v>
      </c>
      <c r="E857">
        <v>0</v>
      </c>
      <c r="F857" t="s">
        <v>1812</v>
      </c>
      <c r="G857" t="s">
        <v>1812</v>
      </c>
      <c r="H857">
        <v>0</v>
      </c>
      <c r="I857">
        <v>1529.398266</v>
      </c>
      <c r="J857" t="s">
        <v>1812</v>
      </c>
      <c r="K857">
        <v>-0</v>
      </c>
      <c r="L857">
        <v>1.06587383047381</v>
      </c>
      <c r="M857">
        <v>20.25</v>
      </c>
      <c r="N857">
        <v>11.57</v>
      </c>
    </row>
    <row r="858" spans="1:14">
      <c r="A858" s="1" t="s">
        <v>870</v>
      </c>
      <c r="B858">
        <f>HYPERLINK("https://www.suredividend.com/sure-analysis-research-database/","Kiniksa Pharmaceuticals Ltd")</f>
        <v>0</v>
      </c>
      <c r="C858" t="s">
        <v>1817</v>
      </c>
      <c r="D858">
        <v>18.8</v>
      </c>
      <c r="E858">
        <v>0</v>
      </c>
      <c r="F858" t="s">
        <v>1812</v>
      </c>
      <c r="G858" t="s">
        <v>1812</v>
      </c>
      <c r="H858">
        <v>0</v>
      </c>
      <c r="I858">
        <v>657.452281</v>
      </c>
      <c r="J858">
        <v>0</v>
      </c>
      <c r="K858" t="s">
        <v>1812</v>
      </c>
      <c r="L858">
        <v>0.628832397203238</v>
      </c>
      <c r="M858">
        <v>20.65</v>
      </c>
      <c r="N858">
        <v>10.14</v>
      </c>
    </row>
    <row r="859" spans="1:14">
      <c r="A859" s="1" t="s">
        <v>871</v>
      </c>
      <c r="B859">
        <f>HYPERLINK("https://www.suredividend.com/sure-analysis-research-database/","Kinsale Capital Group Inc")</f>
        <v>0</v>
      </c>
      <c r="C859" t="s">
        <v>1815</v>
      </c>
      <c r="D859">
        <v>376.77</v>
      </c>
      <c r="E859">
        <v>0.001432783948649</v>
      </c>
      <c r="F859">
        <v>0.07692307692307709</v>
      </c>
      <c r="G859">
        <v>0.1486983549970351</v>
      </c>
      <c r="H859">
        <v>0.539830008332677</v>
      </c>
      <c r="I859">
        <v>8726.812674999999</v>
      </c>
      <c r="J859">
        <v>38.13766333404713</v>
      </c>
      <c r="K859">
        <v>0.05480507698808904</v>
      </c>
      <c r="L859">
        <v>0.8197877568952351</v>
      </c>
      <c r="M859">
        <v>388.87</v>
      </c>
      <c r="N859">
        <v>239.62</v>
      </c>
    </row>
    <row r="860" spans="1:14">
      <c r="A860" s="1" t="s">
        <v>872</v>
      </c>
      <c r="B860">
        <f>HYPERLINK("https://www.suredividend.com/sure-analysis-research-database/","Kinnate Biopharma Inc")</f>
        <v>0</v>
      </c>
      <c r="C860" t="s">
        <v>1812</v>
      </c>
      <c r="D860">
        <v>2.83</v>
      </c>
      <c r="E860">
        <v>0</v>
      </c>
      <c r="F860" t="s">
        <v>1812</v>
      </c>
      <c r="G860" t="s">
        <v>1812</v>
      </c>
      <c r="H860">
        <v>0</v>
      </c>
      <c r="I860">
        <v>131.800441</v>
      </c>
      <c r="J860">
        <v>0</v>
      </c>
      <c r="K860" t="s">
        <v>1812</v>
      </c>
      <c r="L860">
        <v>1.563244150028745</v>
      </c>
      <c r="M860">
        <v>15.86</v>
      </c>
      <c r="N860">
        <v>2.32</v>
      </c>
    </row>
    <row r="861" spans="1:14">
      <c r="A861" s="1" t="s">
        <v>873</v>
      </c>
      <c r="B861">
        <f>HYPERLINK("https://www.suredividend.com/sure-analysis-research-database/","Kinetik Holdings Inc")</f>
        <v>0</v>
      </c>
      <c r="C861" t="s">
        <v>1812</v>
      </c>
      <c r="D861">
        <v>35.8</v>
      </c>
      <c r="E861">
        <v>0.019498397793027</v>
      </c>
      <c r="F861" t="s">
        <v>1812</v>
      </c>
      <c r="G861" t="s">
        <v>1812</v>
      </c>
      <c r="H861">
        <v>0.6980426409903711</v>
      </c>
      <c r="I861">
        <v>1756.248082</v>
      </c>
      <c r="J861">
        <v>0</v>
      </c>
      <c r="K861" t="s">
        <v>1812</v>
      </c>
      <c r="L861">
        <v>0.9913707872731601</v>
      </c>
      <c r="M861">
        <v>36.57</v>
      </c>
      <c r="N861">
        <v>25.76</v>
      </c>
    </row>
    <row r="862" spans="1:14">
      <c r="A862" s="1" t="s">
        <v>874</v>
      </c>
      <c r="B862">
        <f>HYPERLINK("https://www.suredividend.com/sure-analysis-research-database/","Kodiak Sciences Inc")</f>
        <v>0</v>
      </c>
      <c r="C862" t="s">
        <v>1817</v>
      </c>
      <c r="D862">
        <v>3.26</v>
      </c>
      <c r="E862">
        <v>0</v>
      </c>
      <c r="F862" t="s">
        <v>1812</v>
      </c>
      <c r="G862" t="s">
        <v>1812</v>
      </c>
      <c r="H862">
        <v>0</v>
      </c>
      <c r="I862">
        <v>170.681346</v>
      </c>
      <c r="J862">
        <v>0</v>
      </c>
      <c r="K862" t="s">
        <v>1812</v>
      </c>
      <c r="L862">
        <v>1.61237554636248</v>
      </c>
      <c r="M862">
        <v>12.8</v>
      </c>
      <c r="N862">
        <v>2.77</v>
      </c>
    </row>
    <row r="863" spans="1:14">
      <c r="A863" s="1" t="s">
        <v>875</v>
      </c>
      <c r="B863">
        <f>HYPERLINK("https://www.suredividend.com/sure-analysis-research-database/","Eastman Kodak Co.")</f>
        <v>0</v>
      </c>
      <c r="C863" t="s">
        <v>1813</v>
      </c>
      <c r="D863">
        <v>5.15</v>
      </c>
      <c r="E863">
        <v>0</v>
      </c>
      <c r="F863" t="s">
        <v>1812</v>
      </c>
      <c r="G863" t="s">
        <v>1812</v>
      </c>
      <c r="H863">
        <v>0</v>
      </c>
      <c r="I863">
        <v>408.618361</v>
      </c>
      <c r="J863">
        <v>0</v>
      </c>
      <c r="K863" t="s">
        <v>1812</v>
      </c>
      <c r="L863">
        <v>1.530534432626184</v>
      </c>
      <c r="M863">
        <v>7.24</v>
      </c>
      <c r="N863">
        <v>2.78</v>
      </c>
    </row>
    <row r="864" spans="1:14">
      <c r="A864" s="1" t="s">
        <v>876</v>
      </c>
      <c r="B864">
        <f>HYPERLINK("https://www.suredividend.com/sure-analysis-research-database/","Koppers Holdings Inc")</f>
        <v>0</v>
      </c>
      <c r="C864" t="s">
        <v>1823</v>
      </c>
      <c r="D864">
        <v>38.4</v>
      </c>
      <c r="E864">
        <v>0.005714605877038001</v>
      </c>
      <c r="F864" t="s">
        <v>1812</v>
      </c>
      <c r="G864" t="s">
        <v>1812</v>
      </c>
      <c r="H864">
        <v>0.219440865678291</v>
      </c>
      <c r="I864">
        <v>799.785293</v>
      </c>
      <c r="J864">
        <v>11.40920531811698</v>
      </c>
      <c r="K864">
        <v>0.06649723202372455</v>
      </c>
      <c r="L864">
        <v>1.218222712059199</v>
      </c>
      <c r="M864">
        <v>38.72</v>
      </c>
      <c r="N864">
        <v>20</v>
      </c>
    </row>
    <row r="865" spans="1:14">
      <c r="A865" s="1" t="s">
        <v>877</v>
      </c>
      <c r="B865">
        <f>HYPERLINK("https://www.suredividend.com/sure-analysis-research-database/","Kore Group Holdings Inc")</f>
        <v>0</v>
      </c>
      <c r="C865" t="s">
        <v>1812</v>
      </c>
      <c r="D865">
        <v>1.25</v>
      </c>
      <c r="E865">
        <v>0</v>
      </c>
      <c r="F865" t="s">
        <v>1812</v>
      </c>
      <c r="G865" t="s">
        <v>1812</v>
      </c>
      <c r="H865">
        <v>0</v>
      </c>
      <c r="I865">
        <v>95.673526</v>
      </c>
      <c r="J865">
        <v>0</v>
      </c>
      <c r="K865" t="s">
        <v>1812</v>
      </c>
      <c r="L865">
        <v>1.505771647137942</v>
      </c>
      <c r="M865">
        <v>3.7</v>
      </c>
      <c r="N865">
        <v>0.12</v>
      </c>
    </row>
    <row r="866" spans="1:14">
      <c r="A866" s="1" t="s">
        <v>878</v>
      </c>
      <c r="B866">
        <f>HYPERLINK("https://www.suredividend.com/sure-analysis-research-database/","Kosmos Energy Ltd")</f>
        <v>0</v>
      </c>
      <c r="C866" t="s">
        <v>1822</v>
      </c>
      <c r="D866">
        <v>7.21</v>
      </c>
      <c r="E866">
        <v>0</v>
      </c>
      <c r="F866" t="s">
        <v>1812</v>
      </c>
      <c r="G866" t="s">
        <v>1812</v>
      </c>
      <c r="H866">
        <v>0</v>
      </c>
      <c r="I866">
        <v>3316.366374</v>
      </c>
      <c r="J866">
        <v>10.75136605838682</v>
      </c>
      <c r="K866">
        <v>0</v>
      </c>
      <c r="L866">
        <v>1.296225246668539</v>
      </c>
      <c r="M866">
        <v>8.550000000000001</v>
      </c>
      <c r="N866">
        <v>4.64</v>
      </c>
    </row>
    <row r="867" spans="1:14">
      <c r="A867" s="1" t="s">
        <v>879</v>
      </c>
      <c r="B867">
        <f>HYPERLINK("https://www.suredividend.com/sure-analysis-research-database/","Karyopharm Therapeutics Inc")</f>
        <v>0</v>
      </c>
      <c r="C867" t="s">
        <v>1817</v>
      </c>
      <c r="D867">
        <v>1.81</v>
      </c>
      <c r="E867">
        <v>0</v>
      </c>
      <c r="F867" t="s">
        <v>1812</v>
      </c>
      <c r="G867" t="s">
        <v>1812</v>
      </c>
      <c r="H867">
        <v>0</v>
      </c>
      <c r="I867">
        <v>206.981717</v>
      </c>
      <c r="J867">
        <v>0</v>
      </c>
      <c r="K867" t="s">
        <v>1812</v>
      </c>
      <c r="L867">
        <v>1.651810143665067</v>
      </c>
      <c r="M867">
        <v>6.01</v>
      </c>
      <c r="N867">
        <v>1.44</v>
      </c>
    </row>
    <row r="868" spans="1:14">
      <c r="A868" s="1" t="s">
        <v>880</v>
      </c>
      <c r="B868">
        <f>HYPERLINK("https://www.suredividend.com/sure-analysis-KREF/","KKR Real Estate Finance Trust Inc")</f>
        <v>0</v>
      </c>
      <c r="C868" t="s">
        <v>1814</v>
      </c>
      <c r="D868">
        <v>12.22</v>
      </c>
      <c r="E868">
        <v>0.1407528641571195</v>
      </c>
      <c r="F868">
        <v>0</v>
      </c>
      <c r="G868">
        <v>0</v>
      </c>
      <c r="H868">
        <v>1.631794716674796</v>
      </c>
      <c r="I868">
        <v>844.4760649999999</v>
      </c>
      <c r="J868" t="s">
        <v>1812</v>
      </c>
      <c r="K868" t="s">
        <v>1812</v>
      </c>
      <c r="L868">
        <v>1.041801992328592</v>
      </c>
      <c r="M868">
        <v>17.56</v>
      </c>
      <c r="N868">
        <v>9.380000000000001</v>
      </c>
    </row>
    <row r="869" spans="1:14">
      <c r="A869" s="1" t="s">
        <v>881</v>
      </c>
      <c r="B869">
        <f>HYPERLINK("https://www.suredividend.com/sure-analysis-KRG/","Kite Realty Group Trust")</f>
        <v>0</v>
      </c>
      <c r="C869" t="s">
        <v>1814</v>
      </c>
      <c r="D869">
        <v>24</v>
      </c>
      <c r="E869">
        <v>0.04</v>
      </c>
      <c r="F869">
        <v>0.1428571428571428</v>
      </c>
      <c r="G869">
        <v>-0.05443039740052658</v>
      </c>
      <c r="H869">
        <v>0.9249835876467051</v>
      </c>
      <c r="I869">
        <v>5263.822392</v>
      </c>
      <c r="J869">
        <v>550.6666379328382</v>
      </c>
      <c r="K869">
        <v>21.21521990015379</v>
      </c>
      <c r="L869">
        <v>1.069979204331743</v>
      </c>
      <c r="M869">
        <v>24.26</v>
      </c>
      <c r="N869">
        <v>15.69</v>
      </c>
    </row>
    <row r="870" spans="1:14">
      <c r="A870" s="1" t="s">
        <v>882</v>
      </c>
      <c r="B870">
        <f>HYPERLINK("https://www.suredividend.com/sure-analysis-research-database/","Kearny Financial Corp.")</f>
        <v>0</v>
      </c>
      <c r="C870" t="s">
        <v>1815</v>
      </c>
      <c r="D870">
        <v>8.42</v>
      </c>
      <c r="E870">
        <v>0.05063989257053601</v>
      </c>
      <c r="F870">
        <v>0</v>
      </c>
      <c r="G870">
        <v>-0.07219963187095779</v>
      </c>
      <c r="H870">
        <v>0.426387895443919</v>
      </c>
      <c r="I870">
        <v>556.423146</v>
      </c>
      <c r="J870">
        <v>13.85239857050388</v>
      </c>
      <c r="K870">
        <v>0.6976241744828517</v>
      </c>
      <c r="L870">
        <v>0.9099672869111061</v>
      </c>
      <c r="M870">
        <v>11.86</v>
      </c>
      <c r="N870">
        <v>6.58</v>
      </c>
    </row>
    <row r="871" spans="1:14">
      <c r="A871" s="1" t="s">
        <v>883</v>
      </c>
      <c r="B871">
        <f>HYPERLINK("https://www.suredividend.com/sure-analysis-KRO/","Kronos Worldwide, Inc.")</f>
        <v>0</v>
      </c>
      <c r="C871" t="s">
        <v>1823</v>
      </c>
      <c r="D871">
        <v>8.779999999999999</v>
      </c>
      <c r="E871">
        <v>0.08656036446469249</v>
      </c>
      <c r="F871">
        <v>0</v>
      </c>
      <c r="G871">
        <v>0.02249439475955151</v>
      </c>
      <c r="H871">
        <v>0.7375473969802251</v>
      </c>
      <c r="I871">
        <v>1010.207624</v>
      </c>
      <c r="J871">
        <v>31.76753536100629</v>
      </c>
      <c r="K871">
        <v>2.678095123384986</v>
      </c>
      <c r="L871">
        <v>1.120806006853306</v>
      </c>
      <c r="M871">
        <v>15.43</v>
      </c>
      <c r="N871">
        <v>7.59</v>
      </c>
    </row>
    <row r="872" spans="1:14">
      <c r="A872" s="1" t="s">
        <v>884</v>
      </c>
      <c r="B872">
        <f>HYPERLINK("https://www.suredividend.com/sure-analysis-research-database/","Kronos Bio Inc")</f>
        <v>0</v>
      </c>
      <c r="C872" t="s">
        <v>1812</v>
      </c>
      <c r="D872">
        <v>1.72</v>
      </c>
      <c r="E872">
        <v>0</v>
      </c>
      <c r="F872" t="s">
        <v>1812</v>
      </c>
      <c r="G872" t="s">
        <v>1812</v>
      </c>
      <c r="H872">
        <v>0</v>
      </c>
      <c r="I872">
        <v>99.124398</v>
      </c>
      <c r="J872">
        <v>0</v>
      </c>
      <c r="K872" t="s">
        <v>1812</v>
      </c>
      <c r="L872">
        <v>2.176645927670761</v>
      </c>
      <c r="M872">
        <v>5.74</v>
      </c>
      <c r="N872">
        <v>1.2</v>
      </c>
    </row>
    <row r="873" spans="1:14">
      <c r="A873" s="1" t="s">
        <v>885</v>
      </c>
      <c r="B873">
        <f>HYPERLINK("https://www.suredividend.com/sure-analysis-research-database/","Keros Therapeutics Inc")</f>
        <v>0</v>
      </c>
      <c r="C873" t="s">
        <v>1817</v>
      </c>
      <c r="D873">
        <v>40.26</v>
      </c>
      <c r="E873">
        <v>0</v>
      </c>
      <c r="F873" t="s">
        <v>1812</v>
      </c>
      <c r="G873" t="s">
        <v>1812</v>
      </c>
      <c r="H873">
        <v>0</v>
      </c>
      <c r="I873">
        <v>1191.058805</v>
      </c>
      <c r="J873">
        <v>0</v>
      </c>
      <c r="K873" t="s">
        <v>1812</v>
      </c>
      <c r="L873">
        <v>1.216210038460444</v>
      </c>
      <c r="M873">
        <v>59.96</v>
      </c>
      <c r="N873">
        <v>32.18</v>
      </c>
    </row>
    <row r="874" spans="1:14">
      <c r="A874" s="1" t="s">
        <v>886</v>
      </c>
      <c r="B874">
        <f>HYPERLINK("https://www.suredividend.com/sure-analysis-research-database/","Karat Packaging Inc")</f>
        <v>0</v>
      </c>
      <c r="C874" t="s">
        <v>1812</v>
      </c>
      <c r="D874">
        <v>19.71</v>
      </c>
      <c r="E874">
        <v>0</v>
      </c>
      <c r="F874" t="s">
        <v>1812</v>
      </c>
      <c r="G874" t="s">
        <v>1812</v>
      </c>
      <c r="H874">
        <v>0</v>
      </c>
      <c r="I874">
        <v>391.981777</v>
      </c>
      <c r="J874">
        <v>0</v>
      </c>
      <c r="K874" t="s">
        <v>1812</v>
      </c>
      <c r="L874">
        <v>1.064643264544648</v>
      </c>
      <c r="M874">
        <v>20.41</v>
      </c>
      <c r="N874">
        <v>11.93</v>
      </c>
    </row>
    <row r="875" spans="1:14">
      <c r="A875" s="1" t="s">
        <v>887</v>
      </c>
      <c r="B875">
        <f>HYPERLINK("https://www.suredividend.com/sure-analysis-research-database/","Karuna Therapeutics Inc")</f>
        <v>0</v>
      </c>
      <c r="C875" t="s">
        <v>1817</v>
      </c>
      <c r="D875">
        <v>186.79</v>
      </c>
      <c r="E875">
        <v>0</v>
      </c>
      <c r="F875" t="s">
        <v>1812</v>
      </c>
      <c r="G875" t="s">
        <v>1812</v>
      </c>
      <c r="H875">
        <v>0</v>
      </c>
      <c r="I875">
        <v>7030.231294</v>
      </c>
      <c r="J875">
        <v>0</v>
      </c>
      <c r="K875" t="s">
        <v>1812</v>
      </c>
      <c r="L875">
        <v>0.949273024117222</v>
      </c>
      <c r="M875">
        <v>278.25</v>
      </c>
      <c r="N875">
        <v>131.64</v>
      </c>
    </row>
    <row r="876" spans="1:14">
      <c r="A876" s="1" t="s">
        <v>888</v>
      </c>
      <c r="B876">
        <f>HYPERLINK("https://www.suredividend.com/sure-analysis-research-database/","Kura Sushi USA Inc")</f>
        <v>0</v>
      </c>
      <c r="C876" t="s">
        <v>1816</v>
      </c>
      <c r="D876">
        <v>93.75</v>
      </c>
      <c r="E876">
        <v>0</v>
      </c>
      <c r="F876" t="s">
        <v>1812</v>
      </c>
      <c r="G876" t="s">
        <v>1812</v>
      </c>
      <c r="H876">
        <v>0</v>
      </c>
      <c r="I876">
        <v>947.517375</v>
      </c>
      <c r="J876">
        <v>0</v>
      </c>
      <c r="K876" t="s">
        <v>1812</v>
      </c>
      <c r="L876">
        <v>1.133334760475129</v>
      </c>
      <c r="M876">
        <v>110</v>
      </c>
      <c r="N876">
        <v>37.97</v>
      </c>
    </row>
    <row r="877" spans="1:14">
      <c r="A877" s="1" t="s">
        <v>889</v>
      </c>
      <c r="B877">
        <f>HYPERLINK("https://www.suredividend.com/sure-analysis-research-database/","Krystal Biotech Inc")</f>
        <v>0</v>
      </c>
      <c r="C877" t="s">
        <v>1817</v>
      </c>
      <c r="D877">
        <v>124.58</v>
      </c>
      <c r="E877">
        <v>0</v>
      </c>
      <c r="F877" t="s">
        <v>1812</v>
      </c>
      <c r="G877" t="s">
        <v>1812</v>
      </c>
      <c r="H877">
        <v>0</v>
      </c>
      <c r="I877">
        <v>3480.34985</v>
      </c>
      <c r="J877">
        <v>0</v>
      </c>
      <c r="K877" t="s">
        <v>1812</v>
      </c>
      <c r="L877">
        <v>0.8791926797570341</v>
      </c>
      <c r="M877">
        <v>131.8</v>
      </c>
      <c r="N877">
        <v>61.11</v>
      </c>
    </row>
    <row r="878" spans="1:14">
      <c r="A878" s="1" t="s">
        <v>890</v>
      </c>
      <c r="B878">
        <f>HYPERLINK("https://www.suredividend.com/sure-analysis-KTB/","Kontoor Brands Inc")</f>
        <v>0</v>
      </c>
      <c r="C878" t="s">
        <v>1816</v>
      </c>
      <c r="D878">
        <v>47.82</v>
      </c>
      <c r="E878">
        <v>0.04015056461731493</v>
      </c>
      <c r="F878" t="s">
        <v>1812</v>
      </c>
      <c r="G878" t="s">
        <v>1812</v>
      </c>
      <c r="H878">
        <v>1.870481130673928</v>
      </c>
      <c r="I878">
        <v>2681.674492</v>
      </c>
      <c r="J878">
        <v>11.61003594118946</v>
      </c>
      <c r="K878">
        <v>0.4595776733842575</v>
      </c>
      <c r="L878">
        <v>1.18263095801848</v>
      </c>
      <c r="M878">
        <v>52.74</v>
      </c>
      <c r="N878">
        <v>30.48</v>
      </c>
    </row>
    <row r="879" spans="1:14">
      <c r="A879" s="1" t="s">
        <v>891</v>
      </c>
      <c r="B879">
        <f>HYPERLINK("https://www.suredividend.com/sure-analysis-research-database/","Kratos Defense &amp; Security Solutions Inc")</f>
        <v>0</v>
      </c>
      <c r="C879" t="s">
        <v>1813</v>
      </c>
      <c r="D879">
        <v>14.43</v>
      </c>
      <c r="E879">
        <v>0</v>
      </c>
      <c r="F879" t="s">
        <v>1812</v>
      </c>
      <c r="G879" t="s">
        <v>1812</v>
      </c>
      <c r="H879">
        <v>0</v>
      </c>
      <c r="I879">
        <v>1841.313267</v>
      </c>
      <c r="J879" t="s">
        <v>1812</v>
      </c>
      <c r="K879">
        <v>-0</v>
      </c>
      <c r="L879">
        <v>1.25524862848347</v>
      </c>
      <c r="M879">
        <v>16.23</v>
      </c>
      <c r="N879">
        <v>8.9</v>
      </c>
    </row>
    <row r="880" spans="1:14">
      <c r="A880" s="1" t="s">
        <v>892</v>
      </c>
      <c r="B880">
        <f>HYPERLINK("https://www.suredividend.com/sure-analysis-research-database/","Kura Oncology Inc")</f>
        <v>0</v>
      </c>
      <c r="C880" t="s">
        <v>1817</v>
      </c>
      <c r="D880">
        <v>10.54</v>
      </c>
      <c r="E880">
        <v>0</v>
      </c>
      <c r="F880" t="s">
        <v>1812</v>
      </c>
      <c r="G880" t="s">
        <v>1812</v>
      </c>
      <c r="H880">
        <v>0</v>
      </c>
      <c r="I880">
        <v>721.342591</v>
      </c>
      <c r="J880">
        <v>0</v>
      </c>
      <c r="K880" t="s">
        <v>1812</v>
      </c>
      <c r="L880">
        <v>0.8088257950277521</v>
      </c>
      <c r="M880">
        <v>17.49</v>
      </c>
      <c r="N880">
        <v>9.49</v>
      </c>
    </row>
    <row r="881" spans="1:14">
      <c r="A881" s="1" t="s">
        <v>893</v>
      </c>
      <c r="B881">
        <f>HYPERLINK("https://www.suredividend.com/sure-analysis-research-database/","Kennedy-Wilson Holdings Inc")</f>
        <v>0</v>
      </c>
      <c r="C881" t="s">
        <v>1814</v>
      </c>
      <c r="D881">
        <v>16.45</v>
      </c>
      <c r="E881">
        <v>0.057066740045977</v>
      </c>
      <c r="F881">
        <v>0</v>
      </c>
      <c r="G881">
        <v>0.04783168830275741</v>
      </c>
      <c r="H881">
        <v>0.9387478737563331</v>
      </c>
      <c r="I881">
        <v>2292.979269</v>
      </c>
      <c r="J881" t="s">
        <v>1812</v>
      </c>
      <c r="K881" t="s">
        <v>1812</v>
      </c>
      <c r="L881">
        <v>1.208193829935667</v>
      </c>
      <c r="M881">
        <v>19.64</v>
      </c>
      <c r="N881">
        <v>13.35</v>
      </c>
    </row>
    <row r="882" spans="1:14">
      <c r="A882" s="1" t="s">
        <v>894</v>
      </c>
      <c r="B882">
        <f>HYPERLINK("https://www.suredividend.com/sure-analysis-KWR/","Quaker Houghton")</f>
        <v>0</v>
      </c>
      <c r="C882" t="s">
        <v>1823</v>
      </c>
      <c r="D882">
        <v>186.39</v>
      </c>
      <c r="E882">
        <v>0.009764472342936854</v>
      </c>
      <c r="F882">
        <v>0.04819277108433728</v>
      </c>
      <c r="G882">
        <v>0.0328981666657211</v>
      </c>
      <c r="H882">
        <v>1.734220829833017</v>
      </c>
      <c r="I882">
        <v>3354.468286</v>
      </c>
      <c r="J882">
        <v>384.7308505103797</v>
      </c>
      <c r="K882">
        <v>3.55810592907882</v>
      </c>
      <c r="L882">
        <v>1.635700576188521</v>
      </c>
      <c r="M882">
        <v>215.49</v>
      </c>
      <c r="N882">
        <v>127.8</v>
      </c>
    </row>
    <row r="883" spans="1:14">
      <c r="A883" s="1" t="s">
        <v>895</v>
      </c>
      <c r="B883">
        <f>HYPERLINK("https://www.suredividend.com/sure-analysis-research-database/","Kymera Therapeutics Inc")</f>
        <v>0</v>
      </c>
      <c r="C883" t="s">
        <v>1812</v>
      </c>
      <c r="D883">
        <v>23.88</v>
      </c>
      <c r="E883">
        <v>0</v>
      </c>
      <c r="F883" t="s">
        <v>1812</v>
      </c>
      <c r="G883" t="s">
        <v>1812</v>
      </c>
      <c r="H883">
        <v>0</v>
      </c>
      <c r="I883">
        <v>1320.749667</v>
      </c>
      <c r="J883" t="s">
        <v>1812</v>
      </c>
      <c r="K883">
        <v>-0</v>
      </c>
      <c r="L883">
        <v>1.681071504418978</v>
      </c>
      <c r="M883">
        <v>39.85</v>
      </c>
      <c r="N883">
        <v>18.84</v>
      </c>
    </row>
    <row r="884" spans="1:14">
      <c r="A884" s="1" t="s">
        <v>896</v>
      </c>
      <c r="B884">
        <f>HYPERLINK("https://www.suredividend.com/sure-analysis-research-database/","Kezar Life Sciences Inc")</f>
        <v>0</v>
      </c>
      <c r="C884" t="s">
        <v>1817</v>
      </c>
      <c r="D884">
        <v>2.15</v>
      </c>
      <c r="E884">
        <v>0</v>
      </c>
      <c r="F884" t="s">
        <v>1812</v>
      </c>
      <c r="G884" t="s">
        <v>1812</v>
      </c>
      <c r="H884">
        <v>0</v>
      </c>
      <c r="I884">
        <v>155.675512</v>
      </c>
      <c r="J884">
        <v>0</v>
      </c>
      <c r="K884" t="s">
        <v>1812</v>
      </c>
      <c r="L884">
        <v>1.073966129629703</v>
      </c>
      <c r="M884">
        <v>10.81</v>
      </c>
      <c r="N884">
        <v>2.13</v>
      </c>
    </row>
    <row r="885" spans="1:14">
      <c r="A885" s="1" t="s">
        <v>897</v>
      </c>
      <c r="B885">
        <f>HYPERLINK("https://www.suredividend.com/sure-analysis-LADR/","Ladder Capital Corp")</f>
        <v>0</v>
      </c>
      <c r="C885" t="s">
        <v>1814</v>
      </c>
      <c r="D885">
        <v>10.78</v>
      </c>
      <c r="E885">
        <v>0.08534322820037106</v>
      </c>
      <c r="F885">
        <v>0.04545454545454541</v>
      </c>
      <c r="G885">
        <v>0</v>
      </c>
      <c r="H885">
        <v>1.108987101563449</v>
      </c>
      <c r="I885">
        <v>1368.322141</v>
      </c>
      <c r="J885">
        <v>9.864767290567231</v>
      </c>
      <c r="K885">
        <v>0.9990874788859899</v>
      </c>
      <c r="L885">
        <v>1.025476114434184</v>
      </c>
      <c r="M885">
        <v>11.77</v>
      </c>
      <c r="N885">
        <v>8.09</v>
      </c>
    </row>
    <row r="886" spans="1:14">
      <c r="A886" s="1" t="s">
        <v>898</v>
      </c>
      <c r="B886">
        <f>HYPERLINK("https://www.suredividend.com/sure-analysis-LANC/","Lancaster Colony Corp.")</f>
        <v>0</v>
      </c>
      <c r="C886" t="s">
        <v>1819</v>
      </c>
      <c r="D886">
        <v>193.39</v>
      </c>
      <c r="E886">
        <v>0.01758105382905011</v>
      </c>
      <c r="F886">
        <v>0.0625</v>
      </c>
      <c r="G886">
        <v>0.07214502590085092</v>
      </c>
      <c r="H886">
        <v>3.318280639077712</v>
      </c>
      <c r="I886">
        <v>5322.47958</v>
      </c>
      <c r="J886">
        <v>40.66127503857966</v>
      </c>
      <c r="K886">
        <v>0.6971177813188472</v>
      </c>
      <c r="L886">
        <v>0.390469831746649</v>
      </c>
      <c r="M886">
        <v>218.79</v>
      </c>
      <c r="N886">
        <v>131.06</v>
      </c>
    </row>
    <row r="887" spans="1:14">
      <c r="A887" s="1" t="s">
        <v>899</v>
      </c>
      <c r="B887">
        <f>HYPERLINK("https://www.suredividend.com/sure-analysis-LAND/","Gladstone Land Corp")</f>
        <v>0</v>
      </c>
      <c r="C887" t="s">
        <v>1814</v>
      </c>
      <c r="D887">
        <v>16.58</v>
      </c>
      <c r="E887">
        <v>0.03317249698431846</v>
      </c>
      <c r="F887">
        <v>0.006535947712418277</v>
      </c>
      <c r="G887">
        <v>0.004386133297704875</v>
      </c>
      <c r="H887">
        <v>0.5413529172128051</v>
      </c>
      <c r="I887">
        <v>592.137822</v>
      </c>
      <c r="J887">
        <v>0</v>
      </c>
      <c r="K887" t="s">
        <v>1812</v>
      </c>
      <c r="L887">
        <v>1.008375572157292</v>
      </c>
      <c r="M887">
        <v>25.77</v>
      </c>
      <c r="N887">
        <v>14.78</v>
      </c>
    </row>
    <row r="888" spans="1:14">
      <c r="A888" s="1" t="s">
        <v>900</v>
      </c>
      <c r="B888">
        <f>HYPERLINK("https://www.suredividend.com/sure-analysis-research-database/","nLIGHT Inc")</f>
        <v>0</v>
      </c>
      <c r="C888" t="s">
        <v>1818</v>
      </c>
      <c r="D888">
        <v>13.51</v>
      </c>
      <c r="E888">
        <v>0</v>
      </c>
      <c r="F888" t="s">
        <v>1812</v>
      </c>
      <c r="G888" t="s">
        <v>1812</v>
      </c>
      <c r="H888">
        <v>0</v>
      </c>
      <c r="I888">
        <v>619.4424299999999</v>
      </c>
      <c r="J888">
        <v>0</v>
      </c>
      <c r="K888" t="s">
        <v>1812</v>
      </c>
      <c r="L888">
        <v>1.76656430280982</v>
      </c>
      <c r="M888">
        <v>15.91</v>
      </c>
      <c r="N888">
        <v>8.220000000000001</v>
      </c>
    </row>
    <row r="889" spans="1:14">
      <c r="A889" s="1" t="s">
        <v>901</v>
      </c>
      <c r="B889">
        <f>HYPERLINK("https://www.suredividend.com/sure-analysis-research-database/","Laureate Education Inc")</f>
        <v>0</v>
      </c>
      <c r="C889" t="s">
        <v>1819</v>
      </c>
      <c r="D889">
        <v>13.22</v>
      </c>
      <c r="E889">
        <v>0</v>
      </c>
      <c r="F889" t="s">
        <v>1812</v>
      </c>
      <c r="G889" t="s">
        <v>1812</v>
      </c>
      <c r="H889">
        <v>0</v>
      </c>
      <c r="I889">
        <v>2077.834424</v>
      </c>
      <c r="J889">
        <v>23.83466308246441</v>
      </c>
      <c r="K889">
        <v>0</v>
      </c>
      <c r="L889">
        <v>0.64840412886731</v>
      </c>
      <c r="M889">
        <v>13.32</v>
      </c>
      <c r="N889">
        <v>9.220000000000001</v>
      </c>
    </row>
    <row r="890" spans="1:14">
      <c r="A890" s="1" t="s">
        <v>902</v>
      </c>
      <c r="B890">
        <f>HYPERLINK("https://www.suredividend.com/sure-analysis-research-database/","CS Disco Inc")</f>
        <v>0</v>
      </c>
      <c r="C890" t="s">
        <v>1812</v>
      </c>
      <c r="D890">
        <v>9.15</v>
      </c>
      <c r="E890">
        <v>0</v>
      </c>
      <c r="F890" t="s">
        <v>1812</v>
      </c>
      <c r="G890" t="s">
        <v>1812</v>
      </c>
      <c r="H890">
        <v>0</v>
      </c>
      <c r="I890">
        <v>545.807492</v>
      </c>
      <c r="J890">
        <v>0</v>
      </c>
      <c r="K890" t="s">
        <v>1812</v>
      </c>
      <c r="L890">
        <v>1.903037384288228</v>
      </c>
      <c r="M890">
        <v>29.99</v>
      </c>
      <c r="N890">
        <v>5.27</v>
      </c>
    </row>
    <row r="891" spans="1:14">
      <c r="A891" s="1" t="s">
        <v>903</v>
      </c>
      <c r="B891">
        <f>HYPERLINK("https://www.suredividend.com/sure-analysis-research-database/","Luminar Technologies Inc")</f>
        <v>0</v>
      </c>
      <c r="C891" t="s">
        <v>1812</v>
      </c>
      <c r="D891">
        <v>7.33</v>
      </c>
      <c r="E891">
        <v>0</v>
      </c>
      <c r="F891" t="s">
        <v>1812</v>
      </c>
      <c r="G891" t="s">
        <v>1812</v>
      </c>
      <c r="H891">
        <v>0</v>
      </c>
      <c r="I891">
        <v>2056.56399</v>
      </c>
      <c r="J891" t="s">
        <v>1812</v>
      </c>
      <c r="K891">
        <v>-0</v>
      </c>
      <c r="L891">
        <v>2.484168764404069</v>
      </c>
      <c r="M891">
        <v>11.35</v>
      </c>
      <c r="N891">
        <v>3.91</v>
      </c>
    </row>
    <row r="892" spans="1:14">
      <c r="A892" s="1" t="s">
        <v>904</v>
      </c>
      <c r="B892">
        <f>HYPERLINK("https://www.suredividend.com/sure-analysis-research-database/","Lakeland Bancorp, Inc.")</f>
        <v>0</v>
      </c>
      <c r="C892" t="s">
        <v>1815</v>
      </c>
      <c r="D892">
        <v>14.99</v>
      </c>
      <c r="E892">
        <v>0.03780269274909601</v>
      </c>
      <c r="F892" t="s">
        <v>1812</v>
      </c>
      <c r="G892" t="s">
        <v>1812</v>
      </c>
      <c r="H892">
        <v>0.566662364308958</v>
      </c>
      <c r="I892">
        <v>974.6344800000001</v>
      </c>
      <c r="J892">
        <v>8.862166454986042</v>
      </c>
      <c r="K892">
        <v>0.3353031741473124</v>
      </c>
      <c r="L892">
        <v>0.965233348963322</v>
      </c>
      <c r="M892">
        <v>19.55</v>
      </c>
      <c r="N892">
        <v>11.61</v>
      </c>
    </row>
    <row r="893" spans="1:14">
      <c r="A893" s="1" t="s">
        <v>905</v>
      </c>
      <c r="B893">
        <f>HYPERLINK("https://www.suredividend.com/sure-analysis-research-database/","Luther Burbank Corp")</f>
        <v>0</v>
      </c>
      <c r="C893" t="s">
        <v>1815</v>
      </c>
      <c r="D893">
        <v>10.23</v>
      </c>
      <c r="E893">
        <v>0.011730205016401</v>
      </c>
      <c r="F893" t="s">
        <v>1812</v>
      </c>
      <c r="G893" t="s">
        <v>1812</v>
      </c>
      <c r="H893">
        <v>0.119999997317791</v>
      </c>
      <c r="I893">
        <v>522.015192</v>
      </c>
      <c r="J893">
        <v>0</v>
      </c>
      <c r="K893" t="s">
        <v>1812</v>
      </c>
      <c r="L893">
        <v>1.012343368943404</v>
      </c>
      <c r="M893">
        <v>13.69</v>
      </c>
      <c r="N893">
        <v>7.82</v>
      </c>
    </row>
    <row r="894" spans="1:14">
      <c r="A894" s="1" t="s">
        <v>906</v>
      </c>
      <c r="B894">
        <f>HYPERLINK("https://www.suredividend.com/sure-analysis-research-database/","Liberty Energy Inc")</f>
        <v>0</v>
      </c>
      <c r="C894" t="s">
        <v>1822</v>
      </c>
      <c r="D894">
        <v>16.59</v>
      </c>
      <c r="E894">
        <v>0.009032414498262</v>
      </c>
      <c r="F894" t="s">
        <v>1812</v>
      </c>
      <c r="G894" t="s">
        <v>1812</v>
      </c>
      <c r="H894">
        <v>0.149847756526168</v>
      </c>
      <c r="I894">
        <v>2826.823619</v>
      </c>
      <c r="J894">
        <v>4.595355295538634</v>
      </c>
      <c r="K894">
        <v>0.04513486642354459</v>
      </c>
      <c r="L894">
        <v>1.179224320653655</v>
      </c>
      <c r="M894">
        <v>18.24</v>
      </c>
      <c r="N894">
        <v>11.18</v>
      </c>
    </row>
    <row r="895" spans="1:14">
      <c r="A895" s="1" t="s">
        <v>907</v>
      </c>
      <c r="B895">
        <f>HYPERLINK("https://www.suredividend.com/sure-analysis-research-database/","LendingClub Corp")</f>
        <v>0</v>
      </c>
      <c r="C895" t="s">
        <v>1815</v>
      </c>
      <c r="D895">
        <v>7.59</v>
      </c>
      <c r="E895">
        <v>0</v>
      </c>
      <c r="F895" t="s">
        <v>1812</v>
      </c>
      <c r="G895" t="s">
        <v>1812</v>
      </c>
      <c r="H895">
        <v>0</v>
      </c>
      <c r="I895">
        <v>824.988371</v>
      </c>
      <c r="J895">
        <v>9.10935097222989</v>
      </c>
      <c r="K895">
        <v>0</v>
      </c>
      <c r="L895">
        <v>1.906056104598669</v>
      </c>
      <c r="M895">
        <v>15.79</v>
      </c>
      <c r="N895">
        <v>6.31</v>
      </c>
    </row>
    <row r="896" spans="1:14">
      <c r="A896" s="1" t="s">
        <v>908</v>
      </c>
      <c r="B896">
        <f>HYPERLINK("https://www.suredividend.com/sure-analysis-research-database/","LCI Industries")</f>
        <v>0</v>
      </c>
      <c r="C896" t="s">
        <v>1816</v>
      </c>
      <c r="D896">
        <v>133.32</v>
      </c>
      <c r="E896">
        <v>0.031046684513173</v>
      </c>
      <c r="F896">
        <v>0</v>
      </c>
      <c r="G896">
        <v>0.1184269147201447</v>
      </c>
      <c r="H896">
        <v>4.139143979296287</v>
      </c>
      <c r="I896">
        <v>3372.785354</v>
      </c>
      <c r="J896">
        <v>16.36861255605381</v>
      </c>
      <c r="K896">
        <v>0.5116370802591208</v>
      </c>
      <c r="L896">
        <v>1.257537169876813</v>
      </c>
      <c r="M896">
        <v>137.07</v>
      </c>
      <c r="N896">
        <v>86.66</v>
      </c>
    </row>
    <row r="897" spans="1:14">
      <c r="A897" s="1" t="s">
        <v>909</v>
      </c>
      <c r="B897">
        <f>HYPERLINK("https://www.suredividend.com/sure-analysis-research-database/","Lifetime Brands, Inc.")</f>
        <v>0</v>
      </c>
      <c r="C897" t="s">
        <v>1816</v>
      </c>
      <c r="D897">
        <v>5.49</v>
      </c>
      <c r="E897">
        <v>0.030442741488363</v>
      </c>
      <c r="F897">
        <v>0</v>
      </c>
      <c r="G897">
        <v>0</v>
      </c>
      <c r="H897">
        <v>0.167130650771113</v>
      </c>
      <c r="I897">
        <v>119.096338</v>
      </c>
      <c r="J897" t="s">
        <v>1812</v>
      </c>
      <c r="K897" t="s">
        <v>1812</v>
      </c>
      <c r="L897">
        <v>0.9167268871535591</v>
      </c>
      <c r="M897">
        <v>9.960000000000001</v>
      </c>
      <c r="N897">
        <v>4.24</v>
      </c>
    </row>
    <row r="898" spans="1:14">
      <c r="A898" s="1" t="s">
        <v>910</v>
      </c>
      <c r="B898">
        <f>HYPERLINK("https://www.suredividend.com/sure-analysis-research-database/","Lands` End, Inc.")</f>
        <v>0</v>
      </c>
      <c r="C898" t="s">
        <v>1816</v>
      </c>
      <c r="D898">
        <v>9.380000000000001</v>
      </c>
      <c r="E898">
        <v>0</v>
      </c>
      <c r="F898" t="s">
        <v>1812</v>
      </c>
      <c r="G898" t="s">
        <v>1812</v>
      </c>
      <c r="H898">
        <v>0</v>
      </c>
      <c r="I898">
        <v>304.475391</v>
      </c>
      <c r="J898">
        <v>0</v>
      </c>
      <c r="K898" t="s">
        <v>1812</v>
      </c>
      <c r="L898">
        <v>1.601316161049435</v>
      </c>
      <c r="M898">
        <v>18.15</v>
      </c>
      <c r="N898">
        <v>6.2</v>
      </c>
    </row>
    <row r="899" spans="1:14">
      <c r="A899" s="1" t="s">
        <v>911</v>
      </c>
      <c r="B899">
        <f>HYPERLINK("https://www.suredividend.com/sure-analysis-research-database/","Legacy Housing Corp")</f>
        <v>0</v>
      </c>
      <c r="C899" t="s">
        <v>1816</v>
      </c>
      <c r="D899">
        <v>22.48</v>
      </c>
      <c r="E899">
        <v>0</v>
      </c>
      <c r="F899" t="s">
        <v>1812</v>
      </c>
      <c r="G899" t="s">
        <v>1812</v>
      </c>
      <c r="H899">
        <v>0</v>
      </c>
      <c r="I899">
        <v>548.067436</v>
      </c>
      <c r="J899">
        <v>0</v>
      </c>
      <c r="K899" t="s">
        <v>1812</v>
      </c>
      <c r="L899">
        <v>0.8925083412805821</v>
      </c>
      <c r="M899">
        <v>25.3</v>
      </c>
      <c r="N899">
        <v>15.82</v>
      </c>
    </row>
    <row r="900" spans="1:14">
      <c r="A900" s="1" t="s">
        <v>912</v>
      </c>
      <c r="B900">
        <f>HYPERLINK("https://www.suredividend.com/sure-analysis-research-database/","Centrus Energy Corp")</f>
        <v>0</v>
      </c>
      <c r="C900" t="s">
        <v>1822</v>
      </c>
      <c r="D900">
        <v>35.03</v>
      </c>
      <c r="E900">
        <v>0</v>
      </c>
      <c r="F900" t="s">
        <v>1812</v>
      </c>
      <c r="G900" t="s">
        <v>1812</v>
      </c>
      <c r="H900">
        <v>0</v>
      </c>
      <c r="I900">
        <v>517.106485</v>
      </c>
      <c r="J900">
        <v>8.869751021269296</v>
      </c>
      <c r="K900">
        <v>0</v>
      </c>
      <c r="L900">
        <v>1.941210540137462</v>
      </c>
      <c r="M900">
        <v>55.59</v>
      </c>
      <c r="N900">
        <v>24.88</v>
      </c>
    </row>
    <row r="901" spans="1:14">
      <c r="A901" s="1" t="s">
        <v>913</v>
      </c>
      <c r="B901">
        <f>HYPERLINK("https://www.suredividend.com/sure-analysis-research-database/","Lifecore Biomedical Inc")</f>
        <v>0</v>
      </c>
      <c r="C901" t="s">
        <v>1812</v>
      </c>
      <c r="D901">
        <v>10.31</v>
      </c>
      <c r="E901">
        <v>0</v>
      </c>
      <c r="F901" t="s">
        <v>1812</v>
      </c>
      <c r="G901" t="s">
        <v>1812</v>
      </c>
      <c r="H901">
        <v>0</v>
      </c>
      <c r="I901">
        <v>312.621562</v>
      </c>
      <c r="J901" t="s">
        <v>1812</v>
      </c>
      <c r="K901">
        <v>-0</v>
      </c>
      <c r="M901">
        <v>11.96</v>
      </c>
      <c r="N901">
        <v>1.8</v>
      </c>
    </row>
    <row r="902" spans="1:14">
      <c r="A902" s="1" t="s">
        <v>914</v>
      </c>
      <c r="B902">
        <f>HYPERLINK("https://www.suredividend.com/sure-analysis-research-database/","LifeStance Health Group Inc")</f>
        <v>0</v>
      </c>
      <c r="C902" t="s">
        <v>1812</v>
      </c>
      <c r="D902">
        <v>9.19</v>
      </c>
      <c r="E902">
        <v>0</v>
      </c>
      <c r="F902" t="s">
        <v>1812</v>
      </c>
      <c r="G902" t="s">
        <v>1812</v>
      </c>
      <c r="H902">
        <v>0</v>
      </c>
      <c r="I902">
        <v>3462.550634</v>
      </c>
      <c r="J902">
        <v>0</v>
      </c>
      <c r="K902" t="s">
        <v>1812</v>
      </c>
      <c r="L902">
        <v>1.631575720421783</v>
      </c>
      <c r="M902">
        <v>10.5</v>
      </c>
      <c r="N902">
        <v>4.22</v>
      </c>
    </row>
    <row r="903" spans="1:14">
      <c r="A903" s="1" t="s">
        <v>915</v>
      </c>
      <c r="B903">
        <f>HYPERLINK("https://www.suredividend.com/sure-analysis-research-database/","Lions Gate Entertainment Corp.")</f>
        <v>0</v>
      </c>
      <c r="C903" t="s">
        <v>1812</v>
      </c>
      <c r="D903">
        <v>9.35</v>
      </c>
      <c r="E903">
        <v>0</v>
      </c>
      <c r="F903" t="s">
        <v>1812</v>
      </c>
      <c r="G903" t="s">
        <v>1812</v>
      </c>
      <c r="H903">
        <v>0</v>
      </c>
      <c r="I903">
        <v>2049.355591</v>
      </c>
      <c r="J903">
        <v>0</v>
      </c>
      <c r="K903" t="s">
        <v>1812</v>
      </c>
      <c r="L903">
        <v>0.807271672905977</v>
      </c>
    </row>
    <row r="904" spans="1:14">
      <c r="A904" s="1" t="s">
        <v>916</v>
      </c>
      <c r="B904">
        <f>HYPERLINK("https://www.suredividend.com/sure-analysis-research-database/","Lions Gate Entertainment Corp.")</f>
        <v>0</v>
      </c>
      <c r="C904" t="s">
        <v>1812</v>
      </c>
      <c r="D904">
        <v>8.92</v>
      </c>
      <c r="E904">
        <v>0</v>
      </c>
      <c r="F904" t="s">
        <v>1812</v>
      </c>
      <c r="G904" t="s">
        <v>1812</v>
      </c>
      <c r="H904">
        <v>0</v>
      </c>
      <c r="I904">
        <v>2049.355591</v>
      </c>
      <c r="J904">
        <v>0</v>
      </c>
      <c r="K904" t="s">
        <v>1812</v>
      </c>
      <c r="L904">
        <v>0.8090199593175621</v>
      </c>
    </row>
    <row r="905" spans="1:14">
      <c r="A905" s="1" t="s">
        <v>917</v>
      </c>
      <c r="B905">
        <f>HYPERLINK("https://www.suredividend.com/sure-analysis-research-database/","LGI Homes Inc")</f>
        <v>0</v>
      </c>
      <c r="C905" t="s">
        <v>1816</v>
      </c>
      <c r="D905">
        <v>130.33</v>
      </c>
      <c r="E905">
        <v>0</v>
      </c>
      <c r="F905" t="s">
        <v>1812</v>
      </c>
      <c r="G905" t="s">
        <v>1812</v>
      </c>
      <c r="H905">
        <v>0</v>
      </c>
      <c r="I905">
        <v>3068.755524</v>
      </c>
      <c r="J905">
        <v>11.16548547181482</v>
      </c>
      <c r="K905">
        <v>0</v>
      </c>
      <c r="L905">
        <v>1.625678250782698</v>
      </c>
      <c r="M905">
        <v>141.91</v>
      </c>
      <c r="N905">
        <v>74.61</v>
      </c>
    </row>
    <row r="906" spans="1:14">
      <c r="A906" s="1" t="s">
        <v>918</v>
      </c>
      <c r="B906">
        <f>HYPERLINK("https://www.suredividend.com/sure-analysis-research-database/","Ligand Pharmaceuticals, Inc.")</f>
        <v>0</v>
      </c>
      <c r="C906" t="s">
        <v>1817</v>
      </c>
      <c r="D906">
        <v>66.45</v>
      </c>
      <c r="E906">
        <v>0</v>
      </c>
      <c r="F906" t="s">
        <v>1812</v>
      </c>
      <c r="G906" t="s">
        <v>1812</v>
      </c>
      <c r="H906">
        <v>0</v>
      </c>
      <c r="I906">
        <v>1147.760748</v>
      </c>
      <c r="J906">
        <v>47.87722638593417</v>
      </c>
      <c r="K906">
        <v>0</v>
      </c>
      <c r="M906">
        <v>109</v>
      </c>
      <c r="N906">
        <v>60.12</v>
      </c>
    </row>
    <row r="907" spans="1:14">
      <c r="A907" s="1" t="s">
        <v>919</v>
      </c>
      <c r="B907">
        <f>HYPERLINK("https://www.suredividend.com/sure-analysis-research-database/","Li-Cycle Holdings Corp")</f>
        <v>0</v>
      </c>
      <c r="C907" t="s">
        <v>1812</v>
      </c>
      <c r="D907">
        <v>5.86</v>
      </c>
      <c r="E907">
        <v>0</v>
      </c>
      <c r="F907" t="s">
        <v>1812</v>
      </c>
      <c r="G907" t="s">
        <v>1812</v>
      </c>
      <c r="H907">
        <v>0</v>
      </c>
      <c r="I907">
        <v>1034.309016</v>
      </c>
      <c r="J907">
        <v>0</v>
      </c>
      <c r="K907" t="s">
        <v>1812</v>
      </c>
      <c r="L907">
        <v>1.614181565806658</v>
      </c>
      <c r="M907">
        <v>8.15</v>
      </c>
      <c r="N907">
        <v>4.3</v>
      </c>
    </row>
    <row r="908" spans="1:14">
      <c r="A908" s="1" t="s">
        <v>920</v>
      </c>
      <c r="B908">
        <f>HYPERLINK("https://www.suredividend.com/sure-analysis-research-database/","AEye Inc")</f>
        <v>0</v>
      </c>
      <c r="C908" t="s">
        <v>1812</v>
      </c>
      <c r="D908">
        <v>0.472</v>
      </c>
      <c r="E908">
        <v>0</v>
      </c>
      <c r="F908" t="s">
        <v>1812</v>
      </c>
      <c r="G908" t="s">
        <v>1812</v>
      </c>
      <c r="H908">
        <v>0</v>
      </c>
      <c r="I908">
        <v>83.493021</v>
      </c>
      <c r="J908">
        <v>0</v>
      </c>
      <c r="K908" t="s">
        <v>1812</v>
      </c>
      <c r="L908">
        <v>1.510589357546233</v>
      </c>
      <c r="M908">
        <v>2.96</v>
      </c>
      <c r="N908">
        <v>0.159</v>
      </c>
    </row>
    <row r="909" spans="1:14">
      <c r="A909" s="1" t="s">
        <v>921</v>
      </c>
      <c r="B909">
        <f>HYPERLINK("https://www.suredividend.com/sure-analysis-research-database/","Liberty Latin America Ltd")</f>
        <v>0</v>
      </c>
      <c r="C909" t="s">
        <v>1821</v>
      </c>
      <c r="D909">
        <v>8.23</v>
      </c>
      <c r="E909">
        <v>0</v>
      </c>
      <c r="F909" t="s">
        <v>1812</v>
      </c>
      <c r="G909" t="s">
        <v>1812</v>
      </c>
      <c r="H909">
        <v>0</v>
      </c>
      <c r="I909">
        <v>1727.45444</v>
      </c>
      <c r="J909">
        <v>0</v>
      </c>
      <c r="K909" t="s">
        <v>1812</v>
      </c>
      <c r="L909">
        <v>1.298033321298745</v>
      </c>
      <c r="M909">
        <v>10.01</v>
      </c>
      <c r="N909">
        <v>5.9</v>
      </c>
    </row>
    <row r="910" spans="1:14">
      <c r="A910" s="1" t="s">
        <v>922</v>
      </c>
      <c r="B910">
        <f>HYPERLINK("https://www.suredividend.com/sure-analysis-research-database/","Liberty Latin America Ltd")</f>
        <v>0</v>
      </c>
      <c r="C910" t="s">
        <v>1821</v>
      </c>
      <c r="D910">
        <v>8.140000000000001</v>
      </c>
      <c r="E910">
        <v>0</v>
      </c>
      <c r="F910" t="s">
        <v>1812</v>
      </c>
      <c r="G910" t="s">
        <v>1812</v>
      </c>
      <c r="H910">
        <v>0</v>
      </c>
      <c r="I910">
        <v>1727.45444</v>
      </c>
      <c r="J910">
        <v>0</v>
      </c>
      <c r="K910" t="s">
        <v>1812</v>
      </c>
      <c r="L910">
        <v>1.326698975270982</v>
      </c>
      <c r="M910">
        <v>9.98</v>
      </c>
      <c r="N910">
        <v>5.88</v>
      </c>
    </row>
    <row r="911" spans="1:14">
      <c r="A911" s="1" t="s">
        <v>923</v>
      </c>
      <c r="B911">
        <f>HYPERLINK("https://www.suredividend.com/sure-analysis-research-database/","Lindblad Expeditions Holdings Inc")</f>
        <v>0</v>
      </c>
      <c r="C911" t="s">
        <v>1816</v>
      </c>
      <c r="D911">
        <v>10.33</v>
      </c>
      <c r="E911">
        <v>0</v>
      </c>
      <c r="F911" t="s">
        <v>1812</v>
      </c>
      <c r="G911" t="s">
        <v>1812</v>
      </c>
      <c r="H911">
        <v>0</v>
      </c>
      <c r="I911">
        <v>550.889314</v>
      </c>
      <c r="J911">
        <v>0</v>
      </c>
      <c r="K911" t="s">
        <v>1812</v>
      </c>
      <c r="L911">
        <v>1.782824327885991</v>
      </c>
      <c r="M911">
        <v>12.46</v>
      </c>
      <c r="N911">
        <v>5.91</v>
      </c>
    </row>
    <row r="912" spans="1:14">
      <c r="A912" s="1" t="s">
        <v>924</v>
      </c>
      <c r="B912">
        <f>HYPERLINK("https://www.suredividend.com/sure-analysis-research-database/","LivaNova PLC")</f>
        <v>0</v>
      </c>
      <c r="C912" t="s">
        <v>1817</v>
      </c>
      <c r="D912">
        <v>56.85</v>
      </c>
      <c r="E912">
        <v>0</v>
      </c>
      <c r="F912" t="s">
        <v>1812</v>
      </c>
      <c r="G912" t="s">
        <v>1812</v>
      </c>
      <c r="H912">
        <v>0</v>
      </c>
      <c r="I912">
        <v>3063.247186</v>
      </c>
      <c r="J912" t="s">
        <v>1812</v>
      </c>
      <c r="K912">
        <v>-0</v>
      </c>
      <c r="L912">
        <v>0.7550132314454491</v>
      </c>
      <c r="M912">
        <v>66.73</v>
      </c>
      <c r="N912">
        <v>40.26</v>
      </c>
    </row>
    <row r="913" spans="1:14">
      <c r="A913" s="1" t="s">
        <v>925</v>
      </c>
      <c r="B913">
        <f>HYPERLINK("https://www.suredividend.com/sure-analysis-research-database/","Lakeland Financial Corp.")</f>
        <v>0</v>
      </c>
      <c r="C913" t="s">
        <v>1815</v>
      </c>
      <c r="D913">
        <v>55.48</v>
      </c>
      <c r="E913">
        <v>0.031395873223869</v>
      </c>
      <c r="F913">
        <v>0.1499999999999999</v>
      </c>
      <c r="G913">
        <v>0.1208742617958329</v>
      </c>
      <c r="H913">
        <v>1.741843046460264</v>
      </c>
      <c r="I913">
        <v>1411.034768</v>
      </c>
      <c r="J913">
        <v>13.50880078312734</v>
      </c>
      <c r="K913">
        <v>0.4290253809015429</v>
      </c>
      <c r="L913">
        <v>0.6990849480829381</v>
      </c>
      <c r="M913">
        <v>80.34</v>
      </c>
      <c r="N913">
        <v>42.33</v>
      </c>
    </row>
    <row r="914" spans="1:14">
      <c r="A914" s="1" t="s">
        <v>926</v>
      </c>
      <c r="B914">
        <f>HYPERLINK("https://www.suredividend.com/sure-analysis-research-database/","LL Flooring Holdings Inc")</f>
        <v>0</v>
      </c>
      <c r="C914" t="s">
        <v>1816</v>
      </c>
      <c r="D914">
        <v>3.82</v>
      </c>
      <c r="E914">
        <v>0</v>
      </c>
      <c r="F914" t="s">
        <v>1812</v>
      </c>
      <c r="G914" t="s">
        <v>1812</v>
      </c>
      <c r="H914">
        <v>0</v>
      </c>
      <c r="I914">
        <v>116.494705</v>
      </c>
      <c r="J914" t="s">
        <v>1812</v>
      </c>
      <c r="K914">
        <v>-0</v>
      </c>
      <c r="L914">
        <v>1.400338222186093</v>
      </c>
      <c r="M914">
        <v>11</v>
      </c>
      <c r="N914">
        <v>2.75</v>
      </c>
    </row>
    <row r="915" spans="1:14">
      <c r="A915" s="1" t="s">
        <v>927</v>
      </c>
      <c r="B915">
        <f>HYPERLINK("https://www.suredividend.com/sure-analysis-research-database/","Terran Orbital Corp")</f>
        <v>0</v>
      </c>
      <c r="C915" t="s">
        <v>1812</v>
      </c>
      <c r="D915">
        <v>1.36</v>
      </c>
      <c r="E915">
        <v>0</v>
      </c>
      <c r="F915" t="s">
        <v>1812</v>
      </c>
      <c r="G915" t="s">
        <v>1812</v>
      </c>
      <c r="H915">
        <v>0</v>
      </c>
      <c r="I915">
        <v>197.266847</v>
      </c>
      <c r="J915">
        <v>0</v>
      </c>
      <c r="K915" t="s">
        <v>1812</v>
      </c>
      <c r="L915">
        <v>1.371381035947201</v>
      </c>
      <c r="M915">
        <v>4.68</v>
      </c>
      <c r="N915">
        <v>1.11</v>
      </c>
    </row>
    <row r="916" spans="1:14">
      <c r="A916" s="1" t="s">
        <v>928</v>
      </c>
      <c r="B916">
        <f>HYPERLINK("https://www.suredividend.com/sure-analysis-research-database/","Lemaitre Vascular Inc")</f>
        <v>0</v>
      </c>
      <c r="C916" t="s">
        <v>1817</v>
      </c>
      <c r="D916">
        <v>57.22</v>
      </c>
      <c r="E916">
        <v>0.009214765850720001</v>
      </c>
      <c r="F916">
        <v>0.1200000000000001</v>
      </c>
      <c r="G916">
        <v>0.1486983549970351</v>
      </c>
      <c r="H916">
        <v>0.5272689019782251</v>
      </c>
      <c r="I916">
        <v>1270.284</v>
      </c>
      <c r="J916">
        <v>61.55073166004458</v>
      </c>
      <c r="K916">
        <v>0.567505006972581</v>
      </c>
      <c r="L916">
        <v>0.560255982146423</v>
      </c>
      <c r="M916">
        <v>68.67</v>
      </c>
      <c r="N916">
        <v>41.37</v>
      </c>
    </row>
    <row r="917" spans="1:14">
      <c r="A917" s="1" t="s">
        <v>929</v>
      </c>
      <c r="B917">
        <f>HYPERLINK("https://www.suredividend.com/sure-analysis-research-database/","Lemonade Inc")</f>
        <v>0</v>
      </c>
      <c r="C917" t="s">
        <v>1812</v>
      </c>
      <c r="D917">
        <v>17.31</v>
      </c>
      <c r="E917">
        <v>0</v>
      </c>
      <c r="F917" t="s">
        <v>1812</v>
      </c>
      <c r="G917" t="s">
        <v>1812</v>
      </c>
      <c r="H917">
        <v>0</v>
      </c>
      <c r="I917">
        <v>1202.884692</v>
      </c>
      <c r="J917" t="s">
        <v>1812</v>
      </c>
      <c r="K917">
        <v>-0</v>
      </c>
      <c r="L917">
        <v>2.139150457154629</v>
      </c>
      <c r="M917">
        <v>32.97</v>
      </c>
      <c r="N917">
        <v>10.29</v>
      </c>
    </row>
    <row r="918" spans="1:14">
      <c r="A918" s="1" t="s">
        <v>930</v>
      </c>
      <c r="B918">
        <f>HYPERLINK("https://www.suredividend.com/sure-analysis-LNN/","Lindsay Corporation")</f>
        <v>0</v>
      </c>
      <c r="C918" t="s">
        <v>1813</v>
      </c>
      <c r="D918">
        <v>129.95</v>
      </c>
      <c r="E918">
        <v>0.01077337437475952</v>
      </c>
      <c r="F918" t="s">
        <v>1812</v>
      </c>
      <c r="G918" t="s">
        <v>1812</v>
      </c>
      <c r="H918">
        <v>1.354964357014106</v>
      </c>
      <c r="I918">
        <v>1430.612403</v>
      </c>
      <c r="J918">
        <v>20.12707554622321</v>
      </c>
      <c r="K918">
        <v>0.2107254054454286</v>
      </c>
      <c r="L918">
        <v>0.869024433333311</v>
      </c>
      <c r="M918">
        <v>182.17</v>
      </c>
      <c r="N918">
        <v>110.43</v>
      </c>
    </row>
    <row r="919" spans="1:14">
      <c r="A919" s="1" t="s">
        <v>931</v>
      </c>
      <c r="B919">
        <f>HYPERLINK("https://www.suredividend.com/sure-analysis-research-database/","Lantheus Holdings Inc")</f>
        <v>0</v>
      </c>
      <c r="C919" t="s">
        <v>1817</v>
      </c>
      <c r="D919">
        <v>73.06</v>
      </c>
      <c r="E919">
        <v>0</v>
      </c>
      <c r="F919" t="s">
        <v>1812</v>
      </c>
      <c r="G919" t="s">
        <v>1812</v>
      </c>
      <c r="H919">
        <v>0</v>
      </c>
      <c r="I919">
        <v>4992.400943</v>
      </c>
      <c r="J919" t="s">
        <v>1812</v>
      </c>
      <c r="K919">
        <v>-0</v>
      </c>
      <c r="L919">
        <v>1.160017511404907</v>
      </c>
      <c r="M919">
        <v>100.85</v>
      </c>
      <c r="N919">
        <v>47.46</v>
      </c>
    </row>
    <row r="920" spans="1:14">
      <c r="A920" s="1" t="s">
        <v>932</v>
      </c>
      <c r="B920">
        <f>HYPERLINK("https://www.suredividend.com/sure-analysis-research-database/","Light &amp; Wonder Inc")</f>
        <v>0</v>
      </c>
      <c r="C920" t="s">
        <v>1812</v>
      </c>
      <c r="D920">
        <v>69.61</v>
      </c>
      <c r="E920">
        <v>0</v>
      </c>
      <c r="F920" t="s">
        <v>1812</v>
      </c>
      <c r="G920" t="s">
        <v>1812</v>
      </c>
      <c r="H920">
        <v>0</v>
      </c>
      <c r="I920">
        <v>6342.753982</v>
      </c>
      <c r="J920">
        <v>1.727800049553255</v>
      </c>
      <c r="K920">
        <v>0</v>
      </c>
      <c r="L920">
        <v>1.454855676020593</v>
      </c>
      <c r="M920">
        <v>71.86</v>
      </c>
      <c r="N920">
        <v>40.1</v>
      </c>
    </row>
    <row r="921" spans="1:14">
      <c r="A921" s="1" t="s">
        <v>933</v>
      </c>
      <c r="B921">
        <f>HYPERLINK("https://www.suredividend.com/sure-analysis-research-database/","Live Oak Bancshares Inc")</f>
        <v>0</v>
      </c>
      <c r="C921" t="s">
        <v>1815</v>
      </c>
      <c r="D921">
        <v>37.09</v>
      </c>
      <c r="E921">
        <v>0.00161343384931</v>
      </c>
      <c r="F921">
        <v>0</v>
      </c>
      <c r="G921">
        <v>0</v>
      </c>
      <c r="H921">
        <v>0.059842261470931</v>
      </c>
      <c r="I921">
        <v>1643.594651</v>
      </c>
      <c r="J921">
        <v>11.56670901447603</v>
      </c>
      <c r="K921">
        <v>0.01887768500660284</v>
      </c>
      <c r="L921">
        <v>1.670637415084546</v>
      </c>
      <c r="M921">
        <v>43.55</v>
      </c>
      <c r="N921">
        <v>17.28</v>
      </c>
    </row>
    <row r="922" spans="1:14">
      <c r="A922" s="1" t="s">
        <v>934</v>
      </c>
      <c r="B922">
        <f>HYPERLINK("https://www.suredividend.com/sure-analysis-research-database/","Local Bounti Corp")</f>
        <v>0</v>
      </c>
      <c r="C922" t="s">
        <v>1812</v>
      </c>
      <c r="D922">
        <v>5.04</v>
      </c>
      <c r="E922">
        <v>0</v>
      </c>
      <c r="F922" t="s">
        <v>1812</v>
      </c>
      <c r="G922" t="s">
        <v>1812</v>
      </c>
      <c r="H922">
        <v>0</v>
      </c>
      <c r="I922">
        <v>40.934426</v>
      </c>
      <c r="J922">
        <v>0</v>
      </c>
      <c r="K922" t="s">
        <v>1812</v>
      </c>
      <c r="M922">
        <v>62.66</v>
      </c>
      <c r="N922">
        <v>2.5</v>
      </c>
    </row>
    <row r="923" spans="1:14">
      <c r="A923" s="1" t="s">
        <v>935</v>
      </c>
      <c r="B923">
        <f>HYPERLINK("https://www.suredividend.com/sure-analysis-research-database/","El Pollo Loco Holdings Inc")</f>
        <v>0</v>
      </c>
      <c r="C923" t="s">
        <v>1816</v>
      </c>
      <c r="D923">
        <v>10.08</v>
      </c>
      <c r="E923">
        <v>0</v>
      </c>
      <c r="F923" t="s">
        <v>1812</v>
      </c>
      <c r="G923" t="s">
        <v>1812</v>
      </c>
      <c r="H923">
        <v>0</v>
      </c>
      <c r="I923">
        <v>363.134298</v>
      </c>
      <c r="J923">
        <v>15.38443900355872</v>
      </c>
      <c r="K923">
        <v>0</v>
      </c>
      <c r="L923">
        <v>0.9256386190846051</v>
      </c>
      <c r="M923">
        <v>13</v>
      </c>
      <c r="N923">
        <v>7.06</v>
      </c>
    </row>
    <row r="924" spans="1:14">
      <c r="A924" s="1" t="s">
        <v>936</v>
      </c>
      <c r="B924">
        <f>HYPERLINK("https://www.suredividend.com/sure-analysis-research-database/","Lovesac Company")</f>
        <v>0</v>
      </c>
      <c r="C924" t="s">
        <v>1816</v>
      </c>
      <c r="D924">
        <v>27.87</v>
      </c>
      <c r="E924">
        <v>0</v>
      </c>
      <c r="F924" t="s">
        <v>1812</v>
      </c>
      <c r="G924" t="s">
        <v>1812</v>
      </c>
      <c r="H924">
        <v>0</v>
      </c>
      <c r="I924">
        <v>424.097456</v>
      </c>
      <c r="J924">
        <v>0</v>
      </c>
      <c r="K924" t="s">
        <v>1812</v>
      </c>
      <c r="L924">
        <v>1.81601988302982</v>
      </c>
      <c r="M924">
        <v>39.81</v>
      </c>
      <c r="N924">
        <v>17.6</v>
      </c>
    </row>
    <row r="925" spans="1:14">
      <c r="A925" s="1" t="s">
        <v>937</v>
      </c>
      <c r="B925">
        <f>HYPERLINK("https://www.suredividend.com/sure-analysis-research-database/","Dorian LPG Ltd")</f>
        <v>0</v>
      </c>
      <c r="C925" t="s">
        <v>1822</v>
      </c>
      <c r="D925">
        <v>27.95</v>
      </c>
      <c r="E925">
        <v>0</v>
      </c>
      <c r="F925" t="s">
        <v>1812</v>
      </c>
      <c r="G925" t="s">
        <v>1812</v>
      </c>
      <c r="H925">
        <v>0</v>
      </c>
      <c r="I925">
        <v>1128.964282</v>
      </c>
      <c r="J925">
        <v>6.546848485185881</v>
      </c>
      <c r="K925">
        <v>0</v>
      </c>
      <c r="L925">
        <v>0.862361684509488</v>
      </c>
      <c r="M925">
        <v>30.09</v>
      </c>
      <c r="N925">
        <v>11.18</v>
      </c>
    </row>
    <row r="926" spans="1:14">
      <c r="A926" s="1" t="s">
        <v>938</v>
      </c>
      <c r="B926">
        <f>HYPERLINK("https://www.suredividend.com/sure-analysis-research-database/","Open Lending Corp")</f>
        <v>0</v>
      </c>
      <c r="C926" t="s">
        <v>1812</v>
      </c>
      <c r="D926">
        <v>10.56</v>
      </c>
      <c r="E926">
        <v>0</v>
      </c>
      <c r="F926" t="s">
        <v>1812</v>
      </c>
      <c r="G926" t="s">
        <v>1812</v>
      </c>
      <c r="H926">
        <v>0</v>
      </c>
      <c r="I926">
        <v>1274.10624</v>
      </c>
      <c r="J926">
        <v>0</v>
      </c>
      <c r="K926" t="s">
        <v>1812</v>
      </c>
      <c r="L926">
        <v>1.981268870261817</v>
      </c>
      <c r="M926">
        <v>11.99</v>
      </c>
      <c r="N926">
        <v>5.35</v>
      </c>
    </row>
    <row r="927" spans="1:14">
      <c r="A927" s="1" t="s">
        <v>939</v>
      </c>
      <c r="B927">
        <f>HYPERLINK("https://www.suredividend.com/sure-analysis-research-database/","Liveperson Inc")</f>
        <v>0</v>
      </c>
      <c r="C927" t="s">
        <v>1818</v>
      </c>
      <c r="D927">
        <v>4.05</v>
      </c>
      <c r="E927">
        <v>0</v>
      </c>
      <c r="F927" t="s">
        <v>1812</v>
      </c>
      <c r="G927" t="s">
        <v>1812</v>
      </c>
      <c r="H927">
        <v>0</v>
      </c>
      <c r="I927">
        <v>319.806521</v>
      </c>
      <c r="J927" t="s">
        <v>1812</v>
      </c>
      <c r="K927">
        <v>-0</v>
      </c>
      <c r="L927">
        <v>2.351058080170538</v>
      </c>
      <c r="M927">
        <v>18.17</v>
      </c>
      <c r="N927">
        <v>3.19</v>
      </c>
    </row>
    <row r="928" spans="1:14">
      <c r="A928" s="1" t="s">
        <v>940</v>
      </c>
      <c r="B928">
        <f>HYPERLINK("https://www.suredividend.com/sure-analysis-research-database/","Liquidia Corp")</f>
        <v>0</v>
      </c>
      <c r="C928" t="s">
        <v>1817</v>
      </c>
      <c r="D928">
        <v>7.895</v>
      </c>
      <c r="E928">
        <v>0</v>
      </c>
      <c r="F928" t="s">
        <v>1812</v>
      </c>
      <c r="G928" t="s">
        <v>1812</v>
      </c>
      <c r="H928">
        <v>0</v>
      </c>
      <c r="I928">
        <v>510.945049</v>
      </c>
      <c r="J928">
        <v>0</v>
      </c>
      <c r="K928" t="s">
        <v>1812</v>
      </c>
      <c r="L928">
        <v>0.7665343395141221</v>
      </c>
      <c r="M928">
        <v>9.949999999999999</v>
      </c>
      <c r="N928">
        <v>4.06</v>
      </c>
    </row>
    <row r="929" spans="1:14">
      <c r="A929" s="1" t="s">
        <v>941</v>
      </c>
      <c r="B929">
        <f>HYPERLINK("https://www.suredividend.com/sure-analysis-research-database/","Liquidity Services Inc")</f>
        <v>0</v>
      </c>
      <c r="C929" t="s">
        <v>1816</v>
      </c>
      <c r="D929">
        <v>18.29</v>
      </c>
      <c r="E929">
        <v>0</v>
      </c>
      <c r="F929" t="s">
        <v>1812</v>
      </c>
      <c r="G929" t="s">
        <v>1812</v>
      </c>
      <c r="H929">
        <v>0</v>
      </c>
      <c r="I929">
        <v>561.126098</v>
      </c>
      <c r="J929">
        <v>17.02239103173158</v>
      </c>
      <c r="K929">
        <v>0</v>
      </c>
      <c r="L929">
        <v>0.9357905300522451</v>
      </c>
      <c r="M929">
        <v>20.48</v>
      </c>
      <c r="N929">
        <v>11.97</v>
      </c>
    </row>
    <row r="930" spans="1:14">
      <c r="A930" s="1" t="s">
        <v>942</v>
      </c>
      <c r="B930">
        <f>HYPERLINK("https://www.suredividend.com/sure-analysis-research-database/","Stride Inc")</f>
        <v>0</v>
      </c>
      <c r="C930" t="s">
        <v>1819</v>
      </c>
      <c r="D930">
        <v>39.13</v>
      </c>
      <c r="E930">
        <v>0</v>
      </c>
      <c r="F930" t="s">
        <v>1812</v>
      </c>
      <c r="G930" t="s">
        <v>1812</v>
      </c>
      <c r="H930">
        <v>0</v>
      </c>
      <c r="I930">
        <v>1684.084023</v>
      </c>
      <c r="J930">
        <v>15.09238717148362</v>
      </c>
      <c r="K930">
        <v>0</v>
      </c>
      <c r="L930">
        <v>0.316470788009502</v>
      </c>
      <c r="M930">
        <v>47.35</v>
      </c>
      <c r="N930">
        <v>30.66</v>
      </c>
    </row>
    <row r="931" spans="1:14">
      <c r="A931" s="1" t="s">
        <v>943</v>
      </c>
      <c r="B931">
        <f>HYPERLINK("https://www.suredividend.com/sure-analysis-research-database/","Landsea Homes Corporation")</f>
        <v>0</v>
      </c>
      <c r="C931" t="s">
        <v>1812</v>
      </c>
      <c r="D931">
        <v>11.11</v>
      </c>
      <c r="E931">
        <v>0</v>
      </c>
      <c r="F931" t="s">
        <v>1812</v>
      </c>
      <c r="G931" t="s">
        <v>1812</v>
      </c>
      <c r="H931">
        <v>0</v>
      </c>
      <c r="I931">
        <v>442.470015</v>
      </c>
      <c r="J931">
        <v>0</v>
      </c>
      <c r="K931" t="s">
        <v>1812</v>
      </c>
      <c r="L931">
        <v>0.9995197752875931</v>
      </c>
      <c r="M931">
        <v>11.47</v>
      </c>
      <c r="N931">
        <v>4.48</v>
      </c>
    </row>
    <row r="932" spans="1:14">
      <c r="A932" s="1" t="s">
        <v>944</v>
      </c>
      <c r="B932">
        <f>HYPERLINK("https://www.suredividend.com/sure-analysis-LTC/","LTC Properties, Inc.")</f>
        <v>0</v>
      </c>
      <c r="C932" t="s">
        <v>1814</v>
      </c>
      <c r="D932">
        <v>33.68</v>
      </c>
      <c r="E932">
        <v>0.0676959619952494</v>
      </c>
      <c r="F932">
        <v>0</v>
      </c>
      <c r="G932">
        <v>0</v>
      </c>
      <c r="H932">
        <v>2.213132570733745</v>
      </c>
      <c r="I932">
        <v>1394.64478</v>
      </c>
      <c r="J932">
        <v>19.90615007265098</v>
      </c>
      <c r="K932">
        <v>1.294229573528506</v>
      </c>
      <c r="L932">
        <v>0.479057703353617</v>
      </c>
      <c r="M932">
        <v>42.93</v>
      </c>
      <c r="N932">
        <v>30.53</v>
      </c>
    </row>
    <row r="933" spans="1:14">
      <c r="A933" s="1" t="s">
        <v>945</v>
      </c>
      <c r="B933">
        <f>HYPERLINK("https://www.suredividend.com/sure-analysis-research-database/","Latch Inc")</f>
        <v>0</v>
      </c>
      <c r="C933" t="s">
        <v>1812</v>
      </c>
      <c r="D933">
        <v>0.9292</v>
      </c>
      <c r="E933">
        <v>0</v>
      </c>
      <c r="F933" t="s">
        <v>1812</v>
      </c>
      <c r="G933" t="s">
        <v>1812</v>
      </c>
      <c r="H933">
        <v>0</v>
      </c>
      <c r="I933">
        <v>134.566516</v>
      </c>
      <c r="J933">
        <v>0</v>
      </c>
      <c r="K933" t="s">
        <v>1812</v>
      </c>
      <c r="L933">
        <v>1.858208991002566</v>
      </c>
      <c r="M933">
        <v>2.39</v>
      </c>
      <c r="N933">
        <v>0.4851</v>
      </c>
    </row>
    <row r="934" spans="1:14">
      <c r="A934" s="1" t="s">
        <v>946</v>
      </c>
      <c r="B934">
        <f>HYPERLINK("https://www.suredividend.com/sure-analysis-research-database/","Life Time Group Holdings Inc")</f>
        <v>0</v>
      </c>
      <c r="C934" t="s">
        <v>1812</v>
      </c>
      <c r="D934">
        <v>17.13</v>
      </c>
      <c r="E934">
        <v>0</v>
      </c>
      <c r="F934" t="s">
        <v>1812</v>
      </c>
      <c r="G934" t="s">
        <v>1812</v>
      </c>
      <c r="H934">
        <v>0</v>
      </c>
      <c r="I934">
        <v>3359.252253</v>
      </c>
      <c r="J934">
        <v>0</v>
      </c>
      <c r="K934" t="s">
        <v>1812</v>
      </c>
      <c r="L934">
        <v>1.499830532503262</v>
      </c>
      <c r="M934">
        <v>22.41</v>
      </c>
      <c r="N934">
        <v>8.75</v>
      </c>
    </row>
    <row r="935" spans="1:14">
      <c r="A935" s="1" t="s">
        <v>947</v>
      </c>
      <c r="B935">
        <f>HYPERLINK("https://www.suredividend.com/sure-analysis-research-database/","Livent Corp")</f>
        <v>0</v>
      </c>
      <c r="C935" t="s">
        <v>1823</v>
      </c>
      <c r="D935">
        <v>22.91</v>
      </c>
      <c r="E935">
        <v>0</v>
      </c>
      <c r="F935" t="s">
        <v>1812</v>
      </c>
      <c r="G935" t="s">
        <v>1812</v>
      </c>
      <c r="H935">
        <v>0</v>
      </c>
      <c r="I935">
        <v>4114.87195</v>
      </c>
      <c r="J935">
        <v>12.27953431838257</v>
      </c>
      <c r="K935">
        <v>0</v>
      </c>
      <c r="L935">
        <v>1.490935242652042</v>
      </c>
      <c r="M935">
        <v>36.38</v>
      </c>
      <c r="N935">
        <v>18.26</v>
      </c>
    </row>
    <row r="936" spans="1:14">
      <c r="A936" s="1" t="s">
        <v>948</v>
      </c>
      <c r="B936">
        <f>HYPERLINK("https://www.suredividend.com/sure-analysis-research-database/","Pulmonx Corp")</f>
        <v>0</v>
      </c>
      <c r="C936" t="s">
        <v>1812</v>
      </c>
      <c r="D936">
        <v>13.25</v>
      </c>
      <c r="E936">
        <v>0</v>
      </c>
      <c r="F936" t="s">
        <v>1812</v>
      </c>
      <c r="G936" t="s">
        <v>1812</v>
      </c>
      <c r="H936">
        <v>0</v>
      </c>
      <c r="I936">
        <v>500.1621</v>
      </c>
      <c r="J936" t="s">
        <v>1812</v>
      </c>
      <c r="K936">
        <v>-0</v>
      </c>
      <c r="L936">
        <v>1.533426745519636</v>
      </c>
      <c r="M936">
        <v>24.49</v>
      </c>
      <c r="N936">
        <v>4.07</v>
      </c>
    </row>
    <row r="937" spans="1:14">
      <c r="A937" s="1" t="s">
        <v>949</v>
      </c>
      <c r="B937">
        <f>HYPERLINK("https://www.suredividend.com/sure-analysis-research-database/","Lulus Fashion Lounge Holdings Inc")</f>
        <v>0</v>
      </c>
      <c r="C937" t="s">
        <v>1812</v>
      </c>
      <c r="D937">
        <v>2.43</v>
      </c>
      <c r="E937">
        <v>0</v>
      </c>
      <c r="F937" t="s">
        <v>1812</v>
      </c>
      <c r="G937" t="s">
        <v>1812</v>
      </c>
      <c r="H937">
        <v>0</v>
      </c>
      <c r="I937">
        <v>96.562613</v>
      </c>
      <c r="J937">
        <v>0</v>
      </c>
      <c r="K937" t="s">
        <v>1812</v>
      </c>
      <c r="L937">
        <v>1.491892976766011</v>
      </c>
      <c r="M937">
        <v>8.16</v>
      </c>
      <c r="N937">
        <v>1.9</v>
      </c>
    </row>
    <row r="938" spans="1:14">
      <c r="A938" s="1" t="s">
        <v>950</v>
      </c>
      <c r="B938">
        <f>HYPERLINK("https://www.suredividend.com/sure-analysis-research-database/","LiveVox Holdings Inc")</f>
        <v>0</v>
      </c>
      <c r="C938" t="s">
        <v>1812</v>
      </c>
      <c r="D938">
        <v>3</v>
      </c>
      <c r="E938">
        <v>0</v>
      </c>
      <c r="F938" t="s">
        <v>1812</v>
      </c>
      <c r="G938" t="s">
        <v>1812</v>
      </c>
      <c r="H938">
        <v>0</v>
      </c>
      <c r="I938">
        <v>278.815947</v>
      </c>
      <c r="J938">
        <v>0</v>
      </c>
      <c r="K938" t="s">
        <v>1812</v>
      </c>
      <c r="L938">
        <v>0.6875029469240921</v>
      </c>
      <c r="M938">
        <v>3.41</v>
      </c>
      <c r="N938">
        <v>1.7</v>
      </c>
    </row>
    <row r="939" spans="1:14">
      <c r="A939" s="1" t="s">
        <v>951</v>
      </c>
      <c r="B939">
        <f>HYPERLINK("https://www.suredividend.com/sure-analysis-research-database/","Lightwave Logic Inc")</f>
        <v>0</v>
      </c>
      <c r="C939" t="s">
        <v>1823</v>
      </c>
      <c r="D939">
        <v>6.39</v>
      </c>
      <c r="E939">
        <v>0</v>
      </c>
      <c r="F939" t="s">
        <v>1812</v>
      </c>
      <c r="G939" t="s">
        <v>1812</v>
      </c>
      <c r="H939">
        <v>0</v>
      </c>
      <c r="I939">
        <v>731.085951</v>
      </c>
      <c r="J939">
        <v>0</v>
      </c>
      <c r="K939" t="s">
        <v>1812</v>
      </c>
      <c r="L939">
        <v>2.530784864443308</v>
      </c>
      <c r="M939">
        <v>12.43</v>
      </c>
      <c r="N939">
        <v>3.88</v>
      </c>
    </row>
    <row r="940" spans="1:14">
      <c r="A940" s="1" t="s">
        <v>952</v>
      </c>
      <c r="B940">
        <f>HYPERLINK("https://www.suredividend.com/sure-analysis-research-database/","Luxfer Holdings PLC")</f>
        <v>0</v>
      </c>
      <c r="C940" t="s">
        <v>1813</v>
      </c>
      <c r="D940">
        <v>12.11</v>
      </c>
      <c r="E940">
        <v>0.04236017841692501</v>
      </c>
      <c r="F940">
        <v>0</v>
      </c>
      <c r="G940">
        <v>0.007874988517892145</v>
      </c>
      <c r="H940">
        <v>0.5129817606289611</v>
      </c>
      <c r="I940">
        <v>326.029562</v>
      </c>
      <c r="J940">
        <v>0</v>
      </c>
      <c r="K940" t="s">
        <v>1812</v>
      </c>
      <c r="L940">
        <v>0.934197681662787</v>
      </c>
      <c r="M940">
        <v>17.51</v>
      </c>
      <c r="N940">
        <v>12.09</v>
      </c>
    </row>
    <row r="941" spans="1:14">
      <c r="A941" s="1" t="s">
        <v>953</v>
      </c>
      <c r="B941">
        <f>HYPERLINK("https://www.suredividend.com/sure-analysis-LXP/","LXP Industrial Trust")</f>
        <v>0</v>
      </c>
      <c r="C941" t="s">
        <v>1814</v>
      </c>
      <c r="D941">
        <v>9.9</v>
      </c>
      <c r="E941">
        <v>0.0505050505050505</v>
      </c>
      <c r="F941">
        <v>0.04166666666666674</v>
      </c>
      <c r="G941">
        <v>-0.06772866465473071</v>
      </c>
      <c r="H941">
        <v>0.485783414945795</v>
      </c>
      <c r="I941">
        <v>2896.548089</v>
      </c>
      <c r="J941">
        <v>26.85968182956231</v>
      </c>
      <c r="K941">
        <v>1.316843087410667</v>
      </c>
      <c r="L941">
        <v>0.9477372887302411</v>
      </c>
      <c r="M941">
        <v>11.62</v>
      </c>
      <c r="N941">
        <v>8.369999999999999</v>
      </c>
    </row>
    <row r="942" spans="1:14">
      <c r="A942" s="1" t="s">
        <v>954</v>
      </c>
      <c r="B942">
        <f>HYPERLINK("https://www.suredividend.com/sure-analysis-research-database/","Lexicon Pharmaceuticals Inc")</f>
        <v>0</v>
      </c>
      <c r="C942" t="s">
        <v>1817</v>
      </c>
      <c r="D942">
        <v>1.92</v>
      </c>
      <c r="E942">
        <v>0</v>
      </c>
      <c r="F942" t="s">
        <v>1812</v>
      </c>
      <c r="G942" t="s">
        <v>1812</v>
      </c>
      <c r="H942">
        <v>0</v>
      </c>
      <c r="I942">
        <v>363.958692</v>
      </c>
      <c r="J942" t="s">
        <v>1812</v>
      </c>
      <c r="K942">
        <v>-0</v>
      </c>
      <c r="L942">
        <v>1.783987022358822</v>
      </c>
      <c r="M942">
        <v>3.79</v>
      </c>
      <c r="N942">
        <v>1.71</v>
      </c>
    </row>
    <row r="943" spans="1:14">
      <c r="A943" s="1" t="s">
        <v>955</v>
      </c>
      <c r="B943">
        <f>HYPERLINK("https://www.suredividend.com/sure-analysis-research-database/","LSB Industries, Inc.")</f>
        <v>0</v>
      </c>
      <c r="C943" t="s">
        <v>1823</v>
      </c>
      <c r="D943">
        <v>10.9</v>
      </c>
      <c r="E943">
        <v>0</v>
      </c>
      <c r="F943" t="s">
        <v>1812</v>
      </c>
      <c r="G943" t="s">
        <v>1812</v>
      </c>
      <c r="H943">
        <v>0</v>
      </c>
      <c r="I943">
        <v>810.353262</v>
      </c>
      <c r="J943">
        <v>7.422312758980747</v>
      </c>
      <c r="K943">
        <v>0</v>
      </c>
      <c r="L943">
        <v>0.9888645379406321</v>
      </c>
      <c r="M943">
        <v>18.47</v>
      </c>
      <c r="N943">
        <v>8.15</v>
      </c>
    </row>
    <row r="944" spans="1:14">
      <c r="A944" s="1" t="s">
        <v>956</v>
      </c>
      <c r="B944">
        <f>HYPERLINK("https://www.suredividend.com/sure-analysis-research-database/","Lyell Immunopharma Inc")</f>
        <v>0</v>
      </c>
      <c r="C944" t="s">
        <v>1812</v>
      </c>
      <c r="D944">
        <v>2.65</v>
      </c>
      <c r="E944">
        <v>0</v>
      </c>
      <c r="F944" t="s">
        <v>1812</v>
      </c>
      <c r="G944" t="s">
        <v>1812</v>
      </c>
      <c r="H944">
        <v>0</v>
      </c>
      <c r="I944">
        <v>656.737167</v>
      </c>
      <c r="J944">
        <v>0</v>
      </c>
      <c r="K944" t="s">
        <v>1812</v>
      </c>
      <c r="L944">
        <v>1.969954959820212</v>
      </c>
      <c r="M944">
        <v>8.74</v>
      </c>
      <c r="N944">
        <v>1.77</v>
      </c>
    </row>
    <row r="945" spans="1:14">
      <c r="A945" s="1" t="s">
        <v>957</v>
      </c>
      <c r="B945">
        <f>HYPERLINK("https://www.suredividend.com/sure-analysis-research-database/","LegalZoom.com Inc.")</f>
        <v>0</v>
      </c>
      <c r="C945" t="s">
        <v>1812</v>
      </c>
      <c r="D945">
        <v>15.51</v>
      </c>
      <c r="E945">
        <v>0</v>
      </c>
      <c r="F945" t="s">
        <v>1812</v>
      </c>
      <c r="G945" t="s">
        <v>1812</v>
      </c>
      <c r="H945">
        <v>0</v>
      </c>
      <c r="I945">
        <v>2964.236116</v>
      </c>
      <c r="J945">
        <v>0</v>
      </c>
      <c r="K945" t="s">
        <v>1812</v>
      </c>
      <c r="L945">
        <v>1.902392198111774</v>
      </c>
      <c r="M945">
        <v>15.68</v>
      </c>
      <c r="N945">
        <v>6.89</v>
      </c>
    </row>
    <row r="946" spans="1:14">
      <c r="A946" s="1" t="s">
        <v>958</v>
      </c>
      <c r="B946">
        <f>HYPERLINK("https://www.suredividend.com/sure-analysis-research-database/","La-Z-Boy Inc.")</f>
        <v>0</v>
      </c>
      <c r="C946" t="s">
        <v>1816</v>
      </c>
      <c r="D946">
        <v>33.41</v>
      </c>
      <c r="E946">
        <v>0.021033935601079</v>
      </c>
      <c r="F946" t="s">
        <v>1812</v>
      </c>
      <c r="G946" t="s">
        <v>1812</v>
      </c>
      <c r="H946">
        <v>0.70274378843208</v>
      </c>
      <c r="I946">
        <v>1447.241751</v>
      </c>
      <c r="J946">
        <v>9.605756856448783</v>
      </c>
      <c r="K946">
        <v>0.2019378702391035</v>
      </c>
      <c r="L946">
        <v>1.215905642468776</v>
      </c>
      <c r="M946">
        <v>33.61</v>
      </c>
      <c r="N946">
        <v>21.49</v>
      </c>
    </row>
    <row r="947" spans="1:14">
      <c r="A947" s="1" t="s">
        <v>959</v>
      </c>
      <c r="B947">
        <f>HYPERLINK("https://www.suredividend.com/sure-analysis-MAC/","Macerich Co.")</f>
        <v>0</v>
      </c>
      <c r="C947" t="s">
        <v>1814</v>
      </c>
      <c r="D947">
        <v>12.59</v>
      </c>
      <c r="E947">
        <v>0.05401111993645751</v>
      </c>
      <c r="F947">
        <v>0.1333333333333335</v>
      </c>
      <c r="G947">
        <v>-0.2548504554670274</v>
      </c>
      <c r="H947">
        <v>0.6453084590721071</v>
      </c>
      <c r="I947">
        <v>2708.048694</v>
      </c>
      <c r="J947" t="s">
        <v>1812</v>
      </c>
      <c r="K947" t="s">
        <v>1812</v>
      </c>
      <c r="L947">
        <v>1.438050134079235</v>
      </c>
      <c r="M947">
        <v>14.07</v>
      </c>
      <c r="N947">
        <v>7.08</v>
      </c>
    </row>
    <row r="948" spans="1:14">
      <c r="A948" s="1" t="s">
        <v>960</v>
      </c>
      <c r="B948">
        <f>HYPERLINK("https://www.suredividend.com/sure-analysis-research-database/","WM Technology Inc")</f>
        <v>0</v>
      </c>
      <c r="C948" t="s">
        <v>1812</v>
      </c>
      <c r="D948">
        <v>1.1</v>
      </c>
      <c r="E948">
        <v>0</v>
      </c>
      <c r="F948" t="s">
        <v>1812</v>
      </c>
      <c r="G948" t="s">
        <v>1812</v>
      </c>
      <c r="H948">
        <v>0</v>
      </c>
      <c r="I948">
        <v>101.830813</v>
      </c>
      <c r="J948">
        <v>0</v>
      </c>
      <c r="K948" t="s">
        <v>1812</v>
      </c>
      <c r="L948">
        <v>1.850046551245599</v>
      </c>
      <c r="M948">
        <v>3.62</v>
      </c>
      <c r="N948">
        <v>0.596</v>
      </c>
    </row>
    <row r="949" spans="1:14">
      <c r="A949" s="1" t="s">
        <v>961</v>
      </c>
      <c r="B949">
        <f>HYPERLINK("https://www.suredividend.com/sure-analysis-research-database/","Marathon Digital Holdings Inc")</f>
        <v>0</v>
      </c>
      <c r="C949" t="s">
        <v>1815</v>
      </c>
      <c r="D949">
        <v>16.56</v>
      </c>
      <c r="E949">
        <v>0</v>
      </c>
      <c r="F949" t="s">
        <v>1812</v>
      </c>
      <c r="G949" t="s">
        <v>1812</v>
      </c>
      <c r="H949">
        <v>0</v>
      </c>
      <c r="I949">
        <v>2814.684553</v>
      </c>
      <c r="J949">
        <v>0</v>
      </c>
      <c r="K949" t="s">
        <v>1812</v>
      </c>
      <c r="L949">
        <v>2.977181095465317</v>
      </c>
      <c r="M949">
        <v>19.88</v>
      </c>
      <c r="N949">
        <v>3.11</v>
      </c>
    </row>
    <row r="950" spans="1:14">
      <c r="A950" s="1" t="s">
        <v>962</v>
      </c>
      <c r="B950">
        <f>HYPERLINK("https://www.suredividend.com/sure-analysis-research-database/","908 Devices Inc")</f>
        <v>0</v>
      </c>
      <c r="C950" t="s">
        <v>1812</v>
      </c>
      <c r="D950">
        <v>6.31</v>
      </c>
      <c r="E950">
        <v>0</v>
      </c>
      <c r="F950" t="s">
        <v>1812</v>
      </c>
      <c r="G950" t="s">
        <v>1812</v>
      </c>
      <c r="H950">
        <v>0</v>
      </c>
      <c r="I950">
        <v>202.938895</v>
      </c>
      <c r="J950">
        <v>0</v>
      </c>
      <c r="K950" t="s">
        <v>1812</v>
      </c>
      <c r="L950">
        <v>1.911794317458558</v>
      </c>
      <c r="M950">
        <v>26</v>
      </c>
      <c r="N950">
        <v>5.69</v>
      </c>
    </row>
    <row r="951" spans="1:14">
      <c r="A951" s="1" t="s">
        <v>963</v>
      </c>
      <c r="B951">
        <f>HYPERLINK("https://www.suredividend.com/sure-analysis-research-database/","Mativ Holdings Inc")</f>
        <v>0</v>
      </c>
      <c r="C951" t="s">
        <v>1812</v>
      </c>
      <c r="D951">
        <v>17.91</v>
      </c>
      <c r="E951">
        <v>0.086627042059017</v>
      </c>
      <c r="F951" t="s">
        <v>1812</v>
      </c>
      <c r="G951" t="s">
        <v>1812</v>
      </c>
      <c r="H951">
        <v>1.551490323277005</v>
      </c>
      <c r="I951">
        <v>982.225593</v>
      </c>
      <c r="J951" t="s">
        <v>1812</v>
      </c>
      <c r="K951" t="s">
        <v>1812</v>
      </c>
      <c r="L951">
        <v>0.897682040697753</v>
      </c>
      <c r="M951">
        <v>27.86</v>
      </c>
      <c r="N951">
        <v>13.92</v>
      </c>
    </row>
    <row r="952" spans="1:14">
      <c r="A952" s="1" t="s">
        <v>964</v>
      </c>
      <c r="B952">
        <f>HYPERLINK("https://www.suredividend.com/sure-analysis-MATW/","Matthews International Corp.")</f>
        <v>0</v>
      </c>
      <c r="C952" t="s">
        <v>1813</v>
      </c>
      <c r="D952">
        <v>45.45</v>
      </c>
      <c r="E952">
        <v>0.02024202420242024</v>
      </c>
      <c r="F952">
        <v>0.04545454545454541</v>
      </c>
      <c r="G952">
        <v>0.02834672210021361</v>
      </c>
      <c r="H952">
        <v>0.8989153725484951</v>
      </c>
      <c r="I952">
        <v>1384.755238</v>
      </c>
      <c r="J952" t="s">
        <v>1812</v>
      </c>
      <c r="K952" t="s">
        <v>1812</v>
      </c>
      <c r="L952">
        <v>0.7698270414355171</v>
      </c>
      <c r="M952">
        <v>48.86</v>
      </c>
      <c r="N952">
        <v>21.71</v>
      </c>
    </row>
    <row r="953" spans="1:14">
      <c r="A953" s="1" t="s">
        <v>965</v>
      </c>
      <c r="B953">
        <f>HYPERLINK("https://www.suredividend.com/sure-analysis-research-database/","Matson Inc")</f>
        <v>0</v>
      </c>
      <c r="C953" t="s">
        <v>1813</v>
      </c>
      <c r="D953">
        <v>96.02</v>
      </c>
      <c r="E953">
        <v>0.012940342191523</v>
      </c>
      <c r="F953">
        <v>0.032258064516129</v>
      </c>
      <c r="G953">
        <v>0.087892885777757</v>
      </c>
      <c r="H953">
        <v>1.242531657230113</v>
      </c>
      <c r="I953">
        <v>3388.458326</v>
      </c>
      <c r="J953">
        <v>4.466137242361935</v>
      </c>
      <c r="K953">
        <v>0.06234478962519383</v>
      </c>
      <c r="L953">
        <v>1.27215530227104</v>
      </c>
      <c r="M953">
        <v>96.31</v>
      </c>
      <c r="N953">
        <v>56.05</v>
      </c>
    </row>
    <row r="954" spans="1:14">
      <c r="A954" s="1" t="s">
        <v>966</v>
      </c>
      <c r="B954">
        <f>HYPERLINK("https://www.suredividend.com/sure-analysis-research-database/","MediaAlpha Inc")</f>
        <v>0</v>
      </c>
      <c r="C954" t="s">
        <v>1812</v>
      </c>
      <c r="D954">
        <v>9.41</v>
      </c>
      <c r="E954">
        <v>0</v>
      </c>
      <c r="F954" t="s">
        <v>1812</v>
      </c>
      <c r="G954" t="s">
        <v>1812</v>
      </c>
      <c r="H954">
        <v>0</v>
      </c>
      <c r="I954">
        <v>431.361956</v>
      </c>
      <c r="J954">
        <v>0</v>
      </c>
      <c r="K954" t="s">
        <v>1812</v>
      </c>
      <c r="L954">
        <v>1.425358063651411</v>
      </c>
      <c r="M954">
        <v>17.01</v>
      </c>
      <c r="N954">
        <v>5.08</v>
      </c>
    </row>
    <row r="955" spans="1:14">
      <c r="A955" s="1" t="s">
        <v>967</v>
      </c>
      <c r="B955">
        <f>HYPERLINK("https://www.suredividend.com/sure-analysis-research-database/","MBIA Inc.")</f>
        <v>0</v>
      </c>
      <c r="C955" t="s">
        <v>1815</v>
      </c>
      <c r="D955">
        <v>8.470000000000001</v>
      </c>
      <c r="E955">
        <v>0</v>
      </c>
      <c r="F955" t="s">
        <v>1812</v>
      </c>
      <c r="G955" t="s">
        <v>1812</v>
      </c>
      <c r="H955">
        <v>0</v>
      </c>
      <c r="I955">
        <v>439.888967</v>
      </c>
      <c r="J955" t="s">
        <v>1812</v>
      </c>
      <c r="K955">
        <v>-0</v>
      </c>
      <c r="L955">
        <v>1.112797117206429</v>
      </c>
      <c r="M955">
        <v>14</v>
      </c>
      <c r="N955">
        <v>7.33</v>
      </c>
    </row>
    <row r="956" spans="1:14">
      <c r="A956" s="1" t="s">
        <v>968</v>
      </c>
      <c r="B956">
        <f>HYPERLINK("https://www.suredividend.com/sure-analysis-research-database/","Merchants Bancorp")</f>
        <v>0</v>
      </c>
      <c r="C956" t="s">
        <v>1815</v>
      </c>
      <c r="D956">
        <v>31.13</v>
      </c>
      <c r="E956">
        <v>0.009575238395494</v>
      </c>
      <c r="F956">
        <v>0.1428571428571428</v>
      </c>
      <c r="G956">
        <v>0.05922384104881218</v>
      </c>
      <c r="H956">
        <v>0.298077171251738</v>
      </c>
      <c r="I956">
        <v>1345.862528</v>
      </c>
      <c r="J956">
        <v>0</v>
      </c>
      <c r="K956" t="s">
        <v>1812</v>
      </c>
      <c r="L956">
        <v>0.9415550868279491</v>
      </c>
      <c r="M956">
        <v>33.59</v>
      </c>
      <c r="N956">
        <v>21.37</v>
      </c>
    </row>
    <row r="957" spans="1:14">
      <c r="A957" s="1" t="s">
        <v>969</v>
      </c>
      <c r="B957">
        <f>HYPERLINK("https://www.suredividend.com/sure-analysis-research-database/","Malibu Boats Inc")</f>
        <v>0</v>
      </c>
      <c r="C957" t="s">
        <v>1816</v>
      </c>
      <c r="D957">
        <v>55.73</v>
      </c>
      <c r="E957">
        <v>0</v>
      </c>
      <c r="F957" t="s">
        <v>1812</v>
      </c>
      <c r="G957" t="s">
        <v>1812</v>
      </c>
      <c r="H957">
        <v>0</v>
      </c>
      <c r="I957">
        <v>1148.038</v>
      </c>
      <c r="J957">
        <v>6.759049054470951</v>
      </c>
      <c r="K957">
        <v>0</v>
      </c>
      <c r="L957">
        <v>1.106850501382132</v>
      </c>
      <c r="M957">
        <v>70.87</v>
      </c>
      <c r="N957">
        <v>46.3</v>
      </c>
    </row>
    <row r="958" spans="1:14">
      <c r="A958" s="1" t="s">
        <v>970</v>
      </c>
      <c r="B958">
        <f>HYPERLINK("https://www.suredividend.com/sure-analysis-research-database/","Mercantile Bank Corp.")</f>
        <v>0</v>
      </c>
      <c r="C958" t="s">
        <v>1815</v>
      </c>
      <c r="D958">
        <v>35.58</v>
      </c>
      <c r="E958">
        <v>0.035611968827025</v>
      </c>
      <c r="F958">
        <v>0.06451612903225823</v>
      </c>
      <c r="G958">
        <v>0.06576275663547437</v>
      </c>
      <c r="H958">
        <v>1.267073850865567</v>
      </c>
      <c r="I958">
        <v>569.258225</v>
      </c>
      <c r="J958">
        <v>8.069434049755474</v>
      </c>
      <c r="K958">
        <v>0.2853769934381907</v>
      </c>
      <c r="L958">
        <v>0.9021344155002781</v>
      </c>
      <c r="M958">
        <v>35.86</v>
      </c>
      <c r="N958">
        <v>23.29</v>
      </c>
    </row>
    <row r="959" spans="1:14">
      <c r="A959" s="1" t="s">
        <v>971</v>
      </c>
      <c r="B959">
        <f>HYPERLINK("https://www.suredividend.com/sure-analysis-research-database/","Moelis &amp; Co")</f>
        <v>0</v>
      </c>
      <c r="C959" t="s">
        <v>1815</v>
      </c>
      <c r="D959">
        <v>48.41</v>
      </c>
      <c r="E959">
        <v>0.04812675397246501</v>
      </c>
      <c r="F959">
        <v>0</v>
      </c>
      <c r="G959">
        <v>-0.043647500209963</v>
      </c>
      <c r="H959">
        <v>2.329816159807069</v>
      </c>
      <c r="I959">
        <v>3222.822409</v>
      </c>
      <c r="J959">
        <v>86.26629216119274</v>
      </c>
      <c r="K959">
        <v>4.387601054250601</v>
      </c>
      <c r="L959">
        <v>1.393393011333313</v>
      </c>
      <c r="M959">
        <v>52.5</v>
      </c>
      <c r="N959">
        <v>31.22</v>
      </c>
    </row>
    <row r="960" spans="1:14">
      <c r="A960" s="1" t="s">
        <v>972</v>
      </c>
      <c r="B960">
        <f>HYPERLINK("https://www.suredividend.com/sure-analysis-research-database/","Metropolitan Bank Holding Corp")</f>
        <v>0</v>
      </c>
      <c r="C960" t="s">
        <v>1815</v>
      </c>
      <c r="D960">
        <v>47.43</v>
      </c>
      <c r="E960">
        <v>0</v>
      </c>
      <c r="F960" t="s">
        <v>1812</v>
      </c>
      <c r="G960" t="s">
        <v>1812</v>
      </c>
      <c r="H960">
        <v>0</v>
      </c>
      <c r="I960">
        <v>531.750726</v>
      </c>
      <c r="J960">
        <v>0</v>
      </c>
      <c r="K960" t="s">
        <v>1812</v>
      </c>
      <c r="L960">
        <v>1.635773222174633</v>
      </c>
      <c r="M960">
        <v>80.37</v>
      </c>
      <c r="N960">
        <v>13.98</v>
      </c>
    </row>
    <row r="961" spans="1:14">
      <c r="A961" s="1" t="s">
        <v>973</v>
      </c>
      <c r="B961">
        <f>HYPERLINK("https://www.suredividend.com/sure-analysis-research-database/","Macatawa Bank Corp.")</f>
        <v>0</v>
      </c>
      <c r="C961" t="s">
        <v>1815</v>
      </c>
      <c r="D961">
        <v>9.68</v>
      </c>
      <c r="E961">
        <v>0.032417746935105</v>
      </c>
      <c r="F961">
        <v>0</v>
      </c>
      <c r="G961">
        <v>0.05922384104881218</v>
      </c>
      <c r="H961">
        <v>0.313803790331823</v>
      </c>
      <c r="I961">
        <v>331.941594</v>
      </c>
      <c r="J961">
        <v>7.462883476696868</v>
      </c>
      <c r="K961">
        <v>0.2413875310244792</v>
      </c>
      <c r="L961">
        <v>0.5399722584590331</v>
      </c>
      <c r="M961">
        <v>11.45</v>
      </c>
      <c r="N961">
        <v>6.83</v>
      </c>
    </row>
    <row r="962" spans="1:14">
      <c r="A962" s="1" t="s">
        <v>974</v>
      </c>
      <c r="B962">
        <f>HYPERLINK("https://www.suredividend.com/sure-analysis-research-database/","MetroCity Bankshares Inc")</f>
        <v>0</v>
      </c>
      <c r="C962" t="s">
        <v>1815</v>
      </c>
      <c r="D962">
        <v>21.4</v>
      </c>
      <c r="E962">
        <v>0.031438680205308</v>
      </c>
      <c r="F962">
        <v>0.2</v>
      </c>
      <c r="G962">
        <v>-0.0208516376390232</v>
      </c>
      <c r="H962">
        <v>0.672787756393604</v>
      </c>
      <c r="I962">
        <v>538.074645</v>
      </c>
      <c r="J962">
        <v>0</v>
      </c>
      <c r="K962" t="s">
        <v>1812</v>
      </c>
      <c r="L962">
        <v>1.031641660283372</v>
      </c>
      <c r="M962">
        <v>23.18</v>
      </c>
      <c r="N962">
        <v>12.88</v>
      </c>
    </row>
    <row r="963" spans="1:14">
      <c r="A963" s="1" t="s">
        <v>975</v>
      </c>
      <c r="B963">
        <f>HYPERLINK("https://www.suredividend.com/sure-analysis-research-database/","MasterCraft Boat Holdings Inc")</f>
        <v>0</v>
      </c>
      <c r="C963" t="s">
        <v>1816</v>
      </c>
      <c r="D963">
        <v>28.19</v>
      </c>
      <c r="E963">
        <v>0</v>
      </c>
      <c r="F963" t="s">
        <v>1812</v>
      </c>
      <c r="G963" t="s">
        <v>1812</v>
      </c>
      <c r="H963">
        <v>0</v>
      </c>
      <c r="I963">
        <v>493.191577</v>
      </c>
      <c r="J963">
        <v>8.539818131493282</v>
      </c>
      <c r="K963">
        <v>0</v>
      </c>
      <c r="L963">
        <v>1.064168108294259</v>
      </c>
      <c r="M963">
        <v>35.29</v>
      </c>
      <c r="N963">
        <v>18.49</v>
      </c>
    </row>
    <row r="964" spans="1:14">
      <c r="A964" s="1" t="s">
        <v>976</v>
      </c>
      <c r="B964">
        <f>HYPERLINK("https://www.suredividend.com/sure-analysis-research-database/","Seres Therapeutics Inc")</f>
        <v>0</v>
      </c>
      <c r="C964" t="s">
        <v>1817</v>
      </c>
      <c r="D964">
        <v>5.07</v>
      </c>
      <c r="E964">
        <v>0</v>
      </c>
      <c r="F964" t="s">
        <v>1812</v>
      </c>
      <c r="G964" t="s">
        <v>1812</v>
      </c>
      <c r="H964">
        <v>0</v>
      </c>
      <c r="I964">
        <v>648.460052</v>
      </c>
      <c r="J964" t="s">
        <v>1812</v>
      </c>
      <c r="K964">
        <v>-0</v>
      </c>
      <c r="L964">
        <v>1.094925245916283</v>
      </c>
      <c r="M964">
        <v>9.49</v>
      </c>
      <c r="N964">
        <v>4.29</v>
      </c>
    </row>
    <row r="965" spans="1:14">
      <c r="A965" s="1" t="s">
        <v>977</v>
      </c>
      <c r="B965">
        <f>HYPERLINK("https://www.suredividend.com/sure-analysis-research-database/","Monarch Casino &amp; Resort, Inc.")</f>
        <v>0</v>
      </c>
      <c r="C965" t="s">
        <v>1816</v>
      </c>
      <c r="D965">
        <v>68.51000000000001</v>
      </c>
      <c r="E965">
        <v>0.004378922958997</v>
      </c>
      <c r="F965" t="s">
        <v>1812</v>
      </c>
      <c r="G965" t="s">
        <v>1812</v>
      </c>
      <c r="H965">
        <v>0.300000011920928</v>
      </c>
      <c r="I965">
        <v>1310.937069</v>
      </c>
      <c r="J965">
        <v>15.0628749381255</v>
      </c>
      <c r="K965">
        <v>0.06756757025246125</v>
      </c>
      <c r="L965">
        <v>0.879258008431215</v>
      </c>
      <c r="M965">
        <v>79.48</v>
      </c>
      <c r="N965">
        <v>50.3</v>
      </c>
    </row>
    <row r="966" spans="1:14">
      <c r="A966" s="1" t="s">
        <v>978</v>
      </c>
      <c r="B966">
        <f>HYPERLINK("https://www.suredividend.com/sure-analysis-research-database/","Marcus Corp.")</f>
        <v>0</v>
      </c>
      <c r="C966" t="s">
        <v>1821</v>
      </c>
      <c r="D966">
        <v>16.26</v>
      </c>
      <c r="E966">
        <v>0.012240404129833</v>
      </c>
      <c r="F966" t="s">
        <v>1812</v>
      </c>
      <c r="G966" t="s">
        <v>1812</v>
      </c>
      <c r="H966">
        <v>0.199028971151087</v>
      </c>
      <c r="I966">
        <v>399.906733</v>
      </c>
      <c r="J966" t="s">
        <v>1812</v>
      </c>
      <c r="K966" t="s">
        <v>1812</v>
      </c>
      <c r="L966">
        <v>0.6738614908626741</v>
      </c>
      <c r="M966">
        <v>18</v>
      </c>
      <c r="N966">
        <v>13.51</v>
      </c>
    </row>
    <row r="967" spans="1:14">
      <c r="A967" s="1" t="s">
        <v>979</v>
      </c>
      <c r="B967">
        <f>HYPERLINK("https://www.suredividend.com/sure-analysis-MCY/","Mercury General Corp.")</f>
        <v>0</v>
      </c>
      <c r="C967" t="s">
        <v>1815</v>
      </c>
      <c r="D967">
        <v>31.05</v>
      </c>
      <c r="E967">
        <v>0.04090177133655395</v>
      </c>
      <c r="F967">
        <v>-0.5</v>
      </c>
      <c r="G967">
        <v>-0.1266813345136043</v>
      </c>
      <c r="H967">
        <v>1.250358462721858</v>
      </c>
      <c r="I967">
        <v>1719.273493</v>
      </c>
      <c r="J967" t="s">
        <v>1812</v>
      </c>
      <c r="K967" t="s">
        <v>1812</v>
      </c>
      <c r="L967">
        <v>0.633700070838047</v>
      </c>
      <c r="M967">
        <v>38.63</v>
      </c>
      <c r="N967">
        <v>25.87</v>
      </c>
    </row>
    <row r="968" spans="1:14">
      <c r="A968" s="1" t="s">
        <v>980</v>
      </c>
      <c r="B968">
        <f>HYPERLINK("https://www.suredividend.com/sure-analysis-research-database/","Pediatrix Medical Group Inc")</f>
        <v>0</v>
      </c>
      <c r="C968" t="s">
        <v>1817</v>
      </c>
      <c r="D968">
        <v>14.73</v>
      </c>
      <c r="E968">
        <v>0</v>
      </c>
      <c r="F968" t="s">
        <v>1812</v>
      </c>
      <c r="G968" t="s">
        <v>1812</v>
      </c>
      <c r="H968">
        <v>0</v>
      </c>
      <c r="I968">
        <v>1233.7848</v>
      </c>
      <c r="J968">
        <v>12.12815224763833</v>
      </c>
      <c r="K968">
        <v>0</v>
      </c>
      <c r="L968">
        <v>1.114606684602775</v>
      </c>
      <c r="M968">
        <v>21.67</v>
      </c>
      <c r="N968">
        <v>12.84</v>
      </c>
    </row>
    <row r="969" spans="1:14">
      <c r="A969" s="1" t="s">
        <v>981</v>
      </c>
      <c r="B969">
        <f>HYPERLINK("https://www.suredividend.com/sure-analysis-MDC/","M.D.C. Holdings, Inc.")</f>
        <v>0</v>
      </c>
      <c r="C969" t="s">
        <v>1816</v>
      </c>
      <c r="D969">
        <v>49.66</v>
      </c>
      <c r="E969">
        <v>0.04430124848973017</v>
      </c>
      <c r="F969">
        <v>0</v>
      </c>
      <c r="G969">
        <v>0.1075663432482898</v>
      </c>
      <c r="H969">
        <v>1.9610885603531</v>
      </c>
      <c r="I969">
        <v>3701.975962</v>
      </c>
      <c r="J969">
        <v>9.341158800983072</v>
      </c>
      <c r="K969">
        <v>0.3651934004381937</v>
      </c>
      <c r="L969">
        <v>1.27535054550572</v>
      </c>
      <c r="M969">
        <v>51.81</v>
      </c>
      <c r="N969">
        <v>25.93</v>
      </c>
    </row>
    <row r="970" spans="1:14">
      <c r="A970" s="1" t="s">
        <v>982</v>
      </c>
      <c r="B970">
        <f>HYPERLINK("https://www.suredividend.com/sure-analysis-research-database/","Madrigal Pharmaceuticals Inc")</f>
        <v>0</v>
      </c>
      <c r="C970" t="s">
        <v>1817</v>
      </c>
      <c r="D970">
        <v>193.27</v>
      </c>
      <c r="E970">
        <v>0</v>
      </c>
      <c r="F970" t="s">
        <v>1812</v>
      </c>
      <c r="G970" t="s">
        <v>1812</v>
      </c>
      <c r="H970">
        <v>0</v>
      </c>
      <c r="I970">
        <v>3534.748466</v>
      </c>
      <c r="J970">
        <v>0</v>
      </c>
      <c r="K970" t="s">
        <v>1812</v>
      </c>
      <c r="L970">
        <v>0.259502000010037</v>
      </c>
      <c r="M970">
        <v>322.67</v>
      </c>
      <c r="N970">
        <v>57.21</v>
      </c>
    </row>
    <row r="971" spans="1:14">
      <c r="A971" s="1" t="s">
        <v>983</v>
      </c>
      <c r="B971">
        <f>HYPERLINK("https://www.suredividend.com/sure-analysis-research-database/","Veradigm Inc")</f>
        <v>0</v>
      </c>
      <c r="C971" t="s">
        <v>1817</v>
      </c>
      <c r="D971">
        <v>13.37</v>
      </c>
      <c r="E971">
        <v>0</v>
      </c>
      <c r="F971" t="s">
        <v>1812</v>
      </c>
      <c r="G971" t="s">
        <v>1812</v>
      </c>
      <c r="H971">
        <v>0</v>
      </c>
      <c r="I971">
        <v>1460.803205</v>
      </c>
      <c r="J971">
        <v>24.0921464049873</v>
      </c>
      <c r="K971">
        <v>0</v>
      </c>
      <c r="L971">
        <v>0.8967034916807191</v>
      </c>
      <c r="M971">
        <v>19.77</v>
      </c>
      <c r="N971">
        <v>11.3</v>
      </c>
    </row>
    <row r="972" spans="1:14">
      <c r="A972" s="1" t="s">
        <v>984</v>
      </c>
      <c r="B972">
        <f>HYPERLINK("https://www.suredividend.com/sure-analysis-research-database/","Mimedx Group Inc")</f>
        <v>0</v>
      </c>
      <c r="C972" t="s">
        <v>1817</v>
      </c>
      <c r="D972">
        <v>7.75</v>
      </c>
      <c r="E972">
        <v>0</v>
      </c>
      <c r="F972" t="s">
        <v>1812</v>
      </c>
      <c r="G972" t="s">
        <v>1812</v>
      </c>
      <c r="H972">
        <v>0</v>
      </c>
      <c r="I972">
        <v>895.909595</v>
      </c>
      <c r="J972" t="s">
        <v>1812</v>
      </c>
      <c r="K972">
        <v>-0</v>
      </c>
      <c r="L972">
        <v>1.408267595235632</v>
      </c>
      <c r="M972">
        <v>8.6</v>
      </c>
      <c r="N972">
        <v>2.43</v>
      </c>
    </row>
    <row r="973" spans="1:14">
      <c r="A973" s="1" t="s">
        <v>985</v>
      </c>
      <c r="B973">
        <f>HYPERLINK("https://www.suredividend.com/sure-analysis-research-database/","23andMe Holding Co")</f>
        <v>0</v>
      </c>
      <c r="C973" t="s">
        <v>1812</v>
      </c>
      <c r="D973">
        <v>1.72</v>
      </c>
      <c r="E973">
        <v>0</v>
      </c>
      <c r="F973" t="s">
        <v>1812</v>
      </c>
      <c r="G973" t="s">
        <v>1812</v>
      </c>
      <c r="H973">
        <v>0</v>
      </c>
      <c r="I973">
        <v>522.8003660000001</v>
      </c>
      <c r="J973" t="s">
        <v>1812</v>
      </c>
      <c r="K973">
        <v>-0</v>
      </c>
      <c r="L973">
        <v>2.161321468423585</v>
      </c>
      <c r="M973">
        <v>6.31</v>
      </c>
      <c r="N973">
        <v>1.57</v>
      </c>
    </row>
    <row r="974" spans="1:14">
      <c r="A974" s="1" t="s">
        <v>986</v>
      </c>
      <c r="B974">
        <f>HYPERLINK("https://www.suredividend.com/sure-analysis-MED/","Medifast Inc")</f>
        <v>0</v>
      </c>
      <c r="C974" t="s">
        <v>1816</v>
      </c>
      <c r="D974">
        <v>100.34</v>
      </c>
      <c r="E974">
        <v>0.06577636037472592</v>
      </c>
      <c r="F974">
        <v>0.006097560975609539</v>
      </c>
      <c r="G974">
        <v>0.2801136878222739</v>
      </c>
      <c r="H974">
        <v>6.411125083310146</v>
      </c>
      <c r="I974">
        <v>1092.420946</v>
      </c>
      <c r="J974">
        <v>7.706401506966245</v>
      </c>
      <c r="K974">
        <v>0.5016529799147219</v>
      </c>
      <c r="L974">
        <v>1.097967473760599</v>
      </c>
      <c r="M974">
        <v>137.5</v>
      </c>
      <c r="N974">
        <v>76.22</v>
      </c>
    </row>
    <row r="975" spans="1:14">
      <c r="A975" s="1" t="s">
        <v>987</v>
      </c>
      <c r="B975">
        <f>HYPERLINK("https://www.suredividend.com/sure-analysis-research-database/","Medpace Holdings Inc")</f>
        <v>0</v>
      </c>
      <c r="C975" t="s">
        <v>1817</v>
      </c>
      <c r="D975">
        <v>258.04</v>
      </c>
      <c r="E975">
        <v>0</v>
      </c>
      <c r="F975" t="s">
        <v>1812</v>
      </c>
      <c r="G975" t="s">
        <v>1812</v>
      </c>
      <c r="H975">
        <v>0</v>
      </c>
      <c r="I975">
        <v>7886.417945</v>
      </c>
      <c r="J975">
        <v>29.37443131462796</v>
      </c>
      <c r="K975">
        <v>0</v>
      </c>
      <c r="L975">
        <v>1.318557407278248</v>
      </c>
      <c r="M975">
        <v>264.19</v>
      </c>
      <c r="N975">
        <v>141.3</v>
      </c>
    </row>
    <row r="976" spans="1:14">
      <c r="A976" s="1" t="s">
        <v>988</v>
      </c>
      <c r="B976">
        <f>HYPERLINK("https://www.suredividend.com/sure-analysis-research-database/","Montrose Environmental Group Inc")</f>
        <v>0</v>
      </c>
      <c r="C976" t="s">
        <v>1812</v>
      </c>
      <c r="D976">
        <v>37.03</v>
      </c>
      <c r="E976">
        <v>0</v>
      </c>
      <c r="F976" t="s">
        <v>1812</v>
      </c>
      <c r="G976" t="s">
        <v>1812</v>
      </c>
      <c r="H976">
        <v>0</v>
      </c>
      <c r="I976">
        <v>1113.795561</v>
      </c>
      <c r="J976">
        <v>0</v>
      </c>
      <c r="K976" t="s">
        <v>1812</v>
      </c>
      <c r="L976">
        <v>1.808962057741782</v>
      </c>
      <c r="M976">
        <v>55</v>
      </c>
      <c r="N976">
        <v>28.64</v>
      </c>
    </row>
    <row r="977" spans="1:14">
      <c r="A977" s="1" t="s">
        <v>989</v>
      </c>
      <c r="B977">
        <f>HYPERLINK("https://www.suredividend.com/sure-analysis-research-database/","Methode Electronics, Inc.")</f>
        <v>0</v>
      </c>
      <c r="C977" t="s">
        <v>1818</v>
      </c>
      <c r="D977">
        <v>33.15</v>
      </c>
      <c r="E977">
        <v>0.020992085055029</v>
      </c>
      <c r="F977">
        <v>0</v>
      </c>
      <c r="G977">
        <v>0.04941452284458392</v>
      </c>
      <c r="H977">
        <v>0.6958876195742161</v>
      </c>
      <c r="I977">
        <v>1193.773501</v>
      </c>
      <c r="J977">
        <v>15.48344359338521</v>
      </c>
      <c r="K977">
        <v>0.3313750569401029</v>
      </c>
      <c r="L977">
        <v>1.010915456537063</v>
      </c>
      <c r="M977">
        <v>51</v>
      </c>
      <c r="N977">
        <v>31.99</v>
      </c>
    </row>
    <row r="978" spans="1:14">
      <c r="A978" s="1" t="s">
        <v>990</v>
      </c>
      <c r="B978">
        <f>HYPERLINK("https://www.suredividend.com/sure-analysis-research-database/","Ramaco Resources Inc")</f>
        <v>0</v>
      </c>
      <c r="C978" t="s">
        <v>1823</v>
      </c>
      <c r="D978">
        <v>8.904999999999999</v>
      </c>
      <c r="E978">
        <v>0</v>
      </c>
      <c r="F978" t="s">
        <v>1812</v>
      </c>
      <c r="G978" t="s">
        <v>1812</v>
      </c>
      <c r="H978">
        <v>0</v>
      </c>
      <c r="I978">
        <v>0</v>
      </c>
      <c r="J978">
        <v>0</v>
      </c>
      <c r="K978" t="s">
        <v>1812</v>
      </c>
      <c r="L978">
        <v>0.264120488066143</v>
      </c>
      <c r="M978">
        <v>9.42</v>
      </c>
      <c r="N978">
        <v>7.57</v>
      </c>
    </row>
    <row r="979" spans="1:14">
      <c r="A979" s="1" t="s">
        <v>991</v>
      </c>
      <c r="B979">
        <f>HYPERLINK("https://www.suredividend.com/sure-analysis-research-database/","MFA Financial Inc")</f>
        <v>0</v>
      </c>
      <c r="C979" t="s">
        <v>1814</v>
      </c>
      <c r="D979">
        <v>10.49</v>
      </c>
      <c r="E979">
        <v>0.13478685989921</v>
      </c>
      <c r="F979" t="s">
        <v>1812</v>
      </c>
      <c r="G979" t="s">
        <v>1812</v>
      </c>
      <c r="H979">
        <v>1.413914160342713</v>
      </c>
      <c r="I979">
        <v>1069.060625</v>
      </c>
      <c r="J979" t="s">
        <v>1812</v>
      </c>
      <c r="K979" t="s">
        <v>1812</v>
      </c>
      <c r="L979">
        <v>1.288775528893126</v>
      </c>
      <c r="M979">
        <v>11.85</v>
      </c>
      <c r="N979">
        <v>6.46</v>
      </c>
    </row>
    <row r="980" spans="1:14">
      <c r="A980" s="1" t="s">
        <v>992</v>
      </c>
      <c r="B980">
        <f>HYPERLINK("https://www.suredividend.com/sure-analysis-MGEE/","MGE Energy, Inc.")</f>
        <v>0</v>
      </c>
      <c r="C980" t="s">
        <v>1820</v>
      </c>
      <c r="D980">
        <v>78.87</v>
      </c>
      <c r="E980">
        <v>0.0206669202485102</v>
      </c>
      <c r="F980">
        <v>0.05161290322580658</v>
      </c>
      <c r="G980">
        <v>0.03841455588022602</v>
      </c>
      <c r="H980">
        <v>1.609375758004066</v>
      </c>
      <c r="I980">
        <v>2852.204992</v>
      </c>
      <c r="J980">
        <v>28.33644619641349</v>
      </c>
      <c r="K980">
        <v>0.5789121431669302</v>
      </c>
      <c r="L980">
        <v>0.6963276698284171</v>
      </c>
      <c r="M980">
        <v>83.88</v>
      </c>
      <c r="N980">
        <v>60.28</v>
      </c>
    </row>
    <row r="981" spans="1:14">
      <c r="A981" s="1" t="s">
        <v>993</v>
      </c>
      <c r="B981">
        <f>HYPERLINK("https://www.suredividend.com/sure-analysis-research-database/","Magnite Inc")</f>
        <v>0</v>
      </c>
      <c r="C981" t="s">
        <v>1812</v>
      </c>
      <c r="D981">
        <v>14.79</v>
      </c>
      <c r="E981">
        <v>0</v>
      </c>
      <c r="F981" t="s">
        <v>1812</v>
      </c>
      <c r="G981" t="s">
        <v>1812</v>
      </c>
      <c r="H981">
        <v>0</v>
      </c>
      <c r="I981">
        <v>2005.147328</v>
      </c>
      <c r="J981" t="s">
        <v>1812</v>
      </c>
      <c r="K981">
        <v>-0</v>
      </c>
      <c r="L981">
        <v>2.93567659441886</v>
      </c>
      <c r="M981">
        <v>15.73</v>
      </c>
      <c r="N981">
        <v>5.59</v>
      </c>
    </row>
    <row r="982" spans="1:14">
      <c r="A982" s="1" t="s">
        <v>994</v>
      </c>
      <c r="B982">
        <f>HYPERLINK("https://www.suredividend.com/sure-analysis-research-database/","Macrogenics Inc")</f>
        <v>0</v>
      </c>
      <c r="C982" t="s">
        <v>1817</v>
      </c>
      <c r="D982">
        <v>5.23</v>
      </c>
      <c r="E982">
        <v>0</v>
      </c>
      <c r="F982" t="s">
        <v>1812</v>
      </c>
      <c r="G982" t="s">
        <v>1812</v>
      </c>
      <c r="H982">
        <v>0</v>
      </c>
      <c r="I982">
        <v>323.41741</v>
      </c>
      <c r="J982">
        <v>0</v>
      </c>
      <c r="K982" t="s">
        <v>1812</v>
      </c>
      <c r="L982">
        <v>1.43230116723704</v>
      </c>
      <c r="M982">
        <v>7.9</v>
      </c>
      <c r="N982">
        <v>2.93</v>
      </c>
    </row>
    <row r="983" spans="1:14">
      <c r="A983" s="1" t="s">
        <v>995</v>
      </c>
      <c r="B983">
        <f>HYPERLINK("https://www.suredividend.com/sure-analysis-research-database/","MGP Ingredients, Inc.")</f>
        <v>0</v>
      </c>
      <c r="C983" t="s">
        <v>1819</v>
      </c>
      <c r="D983">
        <v>121.49</v>
      </c>
      <c r="E983">
        <v>0.003940516384619001</v>
      </c>
      <c r="F983">
        <v>0</v>
      </c>
      <c r="G983">
        <v>0.08447177119769855</v>
      </c>
      <c r="H983">
        <v>0.4787333355674001</v>
      </c>
      <c r="I983">
        <v>2673.974733</v>
      </c>
      <c r="J983">
        <v>26.15594659852101</v>
      </c>
      <c r="K983">
        <v>0.1033981286322678</v>
      </c>
      <c r="L983">
        <v>0.724113610464952</v>
      </c>
      <c r="M983">
        <v>125.29</v>
      </c>
      <c r="N983">
        <v>90.47</v>
      </c>
    </row>
    <row r="984" spans="1:14">
      <c r="A984" s="1" t="s">
        <v>996</v>
      </c>
      <c r="B984">
        <f>HYPERLINK("https://www.suredividend.com/sure-analysis-MGRC/","McGrath Rentcorp")</f>
        <v>0</v>
      </c>
      <c r="C984" t="s">
        <v>1813</v>
      </c>
      <c r="D984">
        <v>95.98</v>
      </c>
      <c r="E984">
        <v>0.01937903729943738</v>
      </c>
      <c r="F984">
        <v>0.0219780219780219</v>
      </c>
      <c r="G984">
        <v>0.06462045737865574</v>
      </c>
      <c r="H984">
        <v>1.819533158961526</v>
      </c>
      <c r="I984">
        <v>2350.069628</v>
      </c>
      <c r="J984">
        <v>13.62777913295099</v>
      </c>
      <c r="K984">
        <v>0.2588240624411843</v>
      </c>
      <c r="L984">
        <v>0.7097016734639661</v>
      </c>
      <c r="M984">
        <v>110.01</v>
      </c>
      <c r="N984">
        <v>79.23</v>
      </c>
    </row>
    <row r="985" spans="1:14">
      <c r="A985" s="1" t="s">
        <v>997</v>
      </c>
      <c r="B985">
        <f>HYPERLINK("https://www.suredividend.com/sure-analysis-research-database/","MeiraGTx Holdings plc")</f>
        <v>0</v>
      </c>
      <c r="C985" t="s">
        <v>1817</v>
      </c>
      <c r="D985">
        <v>6</v>
      </c>
      <c r="E985">
        <v>0</v>
      </c>
      <c r="F985" t="s">
        <v>1812</v>
      </c>
      <c r="G985" t="s">
        <v>1812</v>
      </c>
      <c r="H985">
        <v>0</v>
      </c>
      <c r="I985">
        <v>357.001884</v>
      </c>
      <c r="J985">
        <v>0</v>
      </c>
      <c r="K985" t="s">
        <v>1812</v>
      </c>
      <c r="L985">
        <v>1.072921348811708</v>
      </c>
      <c r="M985">
        <v>11.58</v>
      </c>
      <c r="N985">
        <v>4.77</v>
      </c>
    </row>
    <row r="986" spans="1:14">
      <c r="A986" s="1" t="s">
        <v>998</v>
      </c>
      <c r="B986">
        <f>HYPERLINK("https://www.suredividend.com/sure-analysis-research-database/","Magnolia Oil &amp; Gas Corp")</f>
        <v>0</v>
      </c>
      <c r="C986" t="s">
        <v>1822</v>
      </c>
      <c r="D986">
        <v>23.06</v>
      </c>
      <c r="E986">
        <v>0.01850626242902</v>
      </c>
      <c r="F986" t="s">
        <v>1812</v>
      </c>
      <c r="G986" t="s">
        <v>1812</v>
      </c>
      <c r="H986">
        <v>0.42675441161321</v>
      </c>
      <c r="I986">
        <v>4333.058722</v>
      </c>
      <c r="J986">
        <v>5.31058305617278</v>
      </c>
      <c r="K986">
        <v>0.09947655282359208</v>
      </c>
      <c r="L986">
        <v>1.178182923271541</v>
      </c>
      <c r="M986">
        <v>27.27</v>
      </c>
      <c r="N986">
        <v>17.9</v>
      </c>
    </row>
    <row r="987" spans="1:14">
      <c r="A987" s="1" t="s">
        <v>999</v>
      </c>
      <c r="B987">
        <f>HYPERLINK("https://www.suredividend.com/sure-analysis-research-database/","MI Homes Inc.")</f>
        <v>0</v>
      </c>
      <c r="C987" t="s">
        <v>1816</v>
      </c>
      <c r="D987">
        <v>94.86</v>
      </c>
      <c r="E987">
        <v>0</v>
      </c>
      <c r="F987" t="s">
        <v>1812</v>
      </c>
      <c r="G987" t="s">
        <v>1812</v>
      </c>
      <c r="H987">
        <v>0</v>
      </c>
      <c r="I987">
        <v>2639.898402</v>
      </c>
      <c r="J987">
        <v>5.465039792320495</v>
      </c>
      <c r="K987">
        <v>0</v>
      </c>
      <c r="L987">
        <v>1.523876488101053</v>
      </c>
      <c r="M987">
        <v>100.93</v>
      </c>
      <c r="N987">
        <v>35.37</v>
      </c>
    </row>
    <row r="988" spans="1:14">
      <c r="A988" s="1" t="s">
        <v>1000</v>
      </c>
      <c r="B988">
        <f>HYPERLINK("https://www.suredividend.com/sure-analysis-research-database/","Mirion Technologies Inc.")</f>
        <v>0</v>
      </c>
      <c r="C988" t="s">
        <v>1812</v>
      </c>
      <c r="D988">
        <v>7.8</v>
      </c>
      <c r="E988">
        <v>0</v>
      </c>
      <c r="F988" t="s">
        <v>1812</v>
      </c>
      <c r="G988" t="s">
        <v>1812</v>
      </c>
      <c r="H988">
        <v>0</v>
      </c>
      <c r="I988">
        <v>1699.656215</v>
      </c>
      <c r="J988">
        <v>0</v>
      </c>
      <c r="K988" t="s">
        <v>1812</v>
      </c>
      <c r="L988">
        <v>1.189297373179998</v>
      </c>
      <c r="M988">
        <v>9.529999999999999</v>
      </c>
      <c r="N988">
        <v>5.59</v>
      </c>
    </row>
    <row r="989" spans="1:14">
      <c r="A989" s="1" t="s">
        <v>1001</v>
      </c>
      <c r="B989">
        <f>HYPERLINK("https://www.suredividend.com/sure-analysis-research-database/","Mirum Pharmaceuticals Inc")</f>
        <v>0</v>
      </c>
      <c r="C989" t="s">
        <v>1817</v>
      </c>
      <c r="D989">
        <v>24.88</v>
      </c>
      <c r="E989">
        <v>0</v>
      </c>
      <c r="F989" t="s">
        <v>1812</v>
      </c>
      <c r="G989" t="s">
        <v>1812</v>
      </c>
      <c r="H989">
        <v>0</v>
      </c>
      <c r="I989">
        <v>946.231483</v>
      </c>
      <c r="J989">
        <v>0</v>
      </c>
      <c r="K989" t="s">
        <v>1812</v>
      </c>
      <c r="L989">
        <v>0.6716453312710691</v>
      </c>
      <c r="M989">
        <v>30.55</v>
      </c>
      <c r="N989">
        <v>17.32</v>
      </c>
    </row>
    <row r="990" spans="1:14">
      <c r="A990" s="1" t="s">
        <v>1002</v>
      </c>
      <c r="B990">
        <f>HYPERLINK("https://www.suredividend.com/sure-analysis-research-database/","Mitek Systems Inc")</f>
        <v>0</v>
      </c>
      <c r="C990" t="s">
        <v>1818</v>
      </c>
      <c r="D990">
        <v>11.7</v>
      </c>
      <c r="E990">
        <v>0</v>
      </c>
      <c r="F990" t="s">
        <v>1812</v>
      </c>
      <c r="G990" t="s">
        <v>1812</v>
      </c>
      <c r="H990">
        <v>0</v>
      </c>
      <c r="I990">
        <v>532.436592</v>
      </c>
      <c r="J990">
        <v>175.6057360488126</v>
      </c>
      <c r="K990">
        <v>0</v>
      </c>
      <c r="L990">
        <v>1.055907628324148</v>
      </c>
      <c r="M990">
        <v>12.19</v>
      </c>
      <c r="N990">
        <v>8.6</v>
      </c>
    </row>
    <row r="991" spans="1:14">
      <c r="A991" s="1" t="s">
        <v>1003</v>
      </c>
      <c r="B991">
        <f>HYPERLINK("https://www.suredividend.com/sure-analysis-research-database/","Markforged Holding Corporation")</f>
        <v>0</v>
      </c>
      <c r="C991" t="s">
        <v>1812</v>
      </c>
      <c r="D991">
        <v>1.95</v>
      </c>
      <c r="E991">
        <v>0</v>
      </c>
      <c r="F991" t="s">
        <v>1812</v>
      </c>
      <c r="G991" t="s">
        <v>1812</v>
      </c>
      <c r="H991">
        <v>0</v>
      </c>
      <c r="I991">
        <v>382.854549</v>
      </c>
      <c r="J991">
        <v>0</v>
      </c>
      <c r="K991" t="s">
        <v>1812</v>
      </c>
      <c r="L991">
        <v>1.978980929123781</v>
      </c>
      <c r="M991">
        <v>3.24</v>
      </c>
      <c r="N991">
        <v>0.71</v>
      </c>
    </row>
    <row r="992" spans="1:14">
      <c r="A992" s="1" t="s">
        <v>1004</v>
      </c>
      <c r="B992">
        <f>HYPERLINK("https://www.suredividend.com/sure-analysis-research-database/","Marketwise Inc")</f>
        <v>0</v>
      </c>
      <c r="C992" t="s">
        <v>1812</v>
      </c>
      <c r="D992">
        <v>1.89</v>
      </c>
      <c r="E992">
        <v>0.005291005172742</v>
      </c>
      <c r="F992" t="s">
        <v>1812</v>
      </c>
      <c r="G992" t="s">
        <v>1812</v>
      </c>
      <c r="H992">
        <v>0.009999999776482001</v>
      </c>
      <c r="I992">
        <v>66.962023</v>
      </c>
      <c r="J992">
        <v>4.912120259683098</v>
      </c>
      <c r="K992">
        <v>0.01937233587075165</v>
      </c>
      <c r="L992">
        <v>1.354417634452121</v>
      </c>
      <c r="M992">
        <v>4.07</v>
      </c>
      <c r="N992">
        <v>1.44</v>
      </c>
    </row>
    <row r="993" spans="1:14">
      <c r="A993" s="1" t="s">
        <v>1005</v>
      </c>
      <c r="B993">
        <f>HYPERLINK("https://www.suredividend.com/sure-analysis-research-database/","MoneyLion Inc")</f>
        <v>0</v>
      </c>
      <c r="C993" t="s">
        <v>1812</v>
      </c>
      <c r="D993">
        <v>14.3</v>
      </c>
      <c r="E993">
        <v>0</v>
      </c>
      <c r="F993" t="s">
        <v>1812</v>
      </c>
      <c r="G993" t="s">
        <v>1812</v>
      </c>
      <c r="H993">
        <v>0</v>
      </c>
      <c r="I993">
        <v>125.814203</v>
      </c>
      <c r="J993">
        <v>0</v>
      </c>
      <c r="K993" t="s">
        <v>1812</v>
      </c>
      <c r="L993">
        <v>1.661509069865887</v>
      </c>
      <c r="M993">
        <v>81.90000000000001</v>
      </c>
      <c r="N993">
        <v>7.5</v>
      </c>
    </row>
    <row r="994" spans="1:14">
      <c r="A994" s="1" t="s">
        <v>1006</v>
      </c>
      <c r="B994">
        <f>HYPERLINK("https://www.suredividend.com/sure-analysis-research-database/","Mesa Laboratories, Inc.")</f>
        <v>0</v>
      </c>
      <c r="C994" t="s">
        <v>1818</v>
      </c>
      <c r="D994">
        <v>132.64</v>
      </c>
      <c r="E994">
        <v>0.004821695095348</v>
      </c>
      <c r="F994" t="s">
        <v>1812</v>
      </c>
      <c r="G994" t="s">
        <v>1812</v>
      </c>
      <c r="H994">
        <v>0.639549637447078</v>
      </c>
      <c r="I994">
        <v>714.170899</v>
      </c>
      <c r="J994">
        <v>767.925698064516</v>
      </c>
      <c r="K994">
        <v>3.686165057331861</v>
      </c>
      <c r="L994">
        <v>1.001918567586812</v>
      </c>
      <c r="M994">
        <v>206.17</v>
      </c>
      <c r="N994">
        <v>113.99</v>
      </c>
    </row>
    <row r="995" spans="1:14">
      <c r="A995" s="1" t="s">
        <v>1007</v>
      </c>
      <c r="B995">
        <f>HYPERLINK("https://www.suredividend.com/sure-analysis-MLI/","Mueller Industries, Inc.")</f>
        <v>0</v>
      </c>
      <c r="C995" t="s">
        <v>1813</v>
      </c>
      <c r="D995">
        <v>78.56</v>
      </c>
      <c r="E995">
        <v>0.01527494908350305</v>
      </c>
      <c r="F995">
        <v>0.2000000000000002</v>
      </c>
      <c r="G995">
        <v>0.2457309396155174</v>
      </c>
      <c r="H995">
        <v>1.093764447147428</v>
      </c>
      <c r="I995">
        <v>4460.541742</v>
      </c>
      <c r="J995">
        <v>6.922029153411401</v>
      </c>
      <c r="K995">
        <v>0.09594424974977438</v>
      </c>
      <c r="L995">
        <v>1.068439361141152</v>
      </c>
      <c r="M995">
        <v>91.93000000000001</v>
      </c>
      <c r="N995">
        <v>56.42</v>
      </c>
    </row>
    <row r="996" spans="1:14">
      <c r="A996" s="1" t="s">
        <v>1008</v>
      </c>
      <c r="B996">
        <f>HYPERLINK("https://www.suredividend.com/sure-analysis-research-database/","MillerKnoll Inc")</f>
        <v>0</v>
      </c>
      <c r="C996" t="s">
        <v>1812</v>
      </c>
      <c r="D996">
        <v>19.98</v>
      </c>
      <c r="E996">
        <v>0.036537032876531</v>
      </c>
      <c r="F996" t="s">
        <v>1812</v>
      </c>
      <c r="G996" t="s">
        <v>1812</v>
      </c>
      <c r="H996">
        <v>0.730009916873093</v>
      </c>
      <c r="I996">
        <v>1512.511714</v>
      </c>
      <c r="J996">
        <v>35.92664404418053</v>
      </c>
      <c r="K996">
        <v>1.318183309629998</v>
      </c>
      <c r="L996">
        <v>1.418684589403618</v>
      </c>
      <c r="M996">
        <v>31.77</v>
      </c>
      <c r="N996">
        <v>13.03</v>
      </c>
    </row>
    <row r="997" spans="1:14">
      <c r="A997" s="1" t="s">
        <v>1009</v>
      </c>
      <c r="B997">
        <f>HYPERLINK("https://www.suredividend.com/sure-analysis-research-database/","MeridianLink Inc")</f>
        <v>0</v>
      </c>
      <c r="C997" t="s">
        <v>1812</v>
      </c>
      <c r="D997">
        <v>17.68</v>
      </c>
      <c r="E997">
        <v>0</v>
      </c>
      <c r="F997" t="s">
        <v>1812</v>
      </c>
      <c r="G997" t="s">
        <v>1812</v>
      </c>
      <c r="H997">
        <v>0</v>
      </c>
      <c r="I997">
        <v>1425.810071</v>
      </c>
      <c r="J997">
        <v>0</v>
      </c>
      <c r="K997" t="s">
        <v>1812</v>
      </c>
      <c r="L997">
        <v>0.84455738661437</v>
      </c>
      <c r="M997">
        <v>22.69</v>
      </c>
      <c r="N997">
        <v>12.49</v>
      </c>
    </row>
    <row r="998" spans="1:14">
      <c r="A998" s="1" t="s">
        <v>1010</v>
      </c>
      <c r="B998">
        <f>HYPERLINK("https://www.suredividend.com/sure-analysis-MLR/","Miller Industries Inc.")</f>
        <v>0</v>
      </c>
      <c r="C998" t="s">
        <v>1816</v>
      </c>
      <c r="D998">
        <v>37.59</v>
      </c>
      <c r="E998">
        <v>0.01915403032721468</v>
      </c>
      <c r="F998">
        <v>0</v>
      </c>
      <c r="G998">
        <v>0</v>
      </c>
      <c r="H998">
        <v>0.7140257080257281</v>
      </c>
      <c r="I998">
        <v>430.068543</v>
      </c>
      <c r="J998">
        <v>0</v>
      </c>
      <c r="K998" t="s">
        <v>1812</v>
      </c>
      <c r="L998">
        <v>0.688347453866596</v>
      </c>
      <c r="M998">
        <v>38.88</v>
      </c>
      <c r="N998">
        <v>20.64</v>
      </c>
    </row>
    <row r="999" spans="1:14">
      <c r="A999" s="1" t="s">
        <v>1011</v>
      </c>
      <c r="B999">
        <f>HYPERLINK("https://www.suredividend.com/sure-analysis-research-database/","Mineralys Therapeutics Inc")</f>
        <v>0</v>
      </c>
      <c r="C999" t="s">
        <v>1812</v>
      </c>
      <c r="D999">
        <v>13.64</v>
      </c>
      <c r="E999">
        <v>0</v>
      </c>
      <c r="F999" t="s">
        <v>1812</v>
      </c>
      <c r="G999" t="s">
        <v>1812</v>
      </c>
      <c r="H999">
        <v>0</v>
      </c>
      <c r="I999">
        <v>557.284747</v>
      </c>
      <c r="J999">
        <v>0</v>
      </c>
      <c r="K999" t="s">
        <v>1812</v>
      </c>
      <c r="L999">
        <v>0.5388974825065931</v>
      </c>
      <c r="M999">
        <v>21.98</v>
      </c>
      <c r="N999">
        <v>12.62</v>
      </c>
    </row>
    <row r="1000" spans="1:14">
      <c r="A1000" s="1" t="s">
        <v>1012</v>
      </c>
      <c r="B1000">
        <f>HYPERLINK("https://www.suredividend.com/sure-analysis-research-database/","Marcus &amp; Millichap Inc")</f>
        <v>0</v>
      </c>
      <c r="C1000" t="s">
        <v>1814</v>
      </c>
      <c r="D1000">
        <v>37.15</v>
      </c>
      <c r="E1000">
        <v>0.013406629789813</v>
      </c>
      <c r="F1000" t="s">
        <v>1812</v>
      </c>
      <c r="G1000" t="s">
        <v>1812</v>
      </c>
      <c r="H1000">
        <v>0.498056296691568</v>
      </c>
      <c r="I1000">
        <v>1429.398409</v>
      </c>
      <c r="J1000">
        <v>21.77799053249029</v>
      </c>
      <c r="K1000">
        <v>0.3018523010251928</v>
      </c>
      <c r="L1000">
        <v>1.125176864569021</v>
      </c>
      <c r="M1000">
        <v>40.52</v>
      </c>
      <c r="N1000">
        <v>27.49</v>
      </c>
    </row>
    <row r="1001" spans="1:14">
      <c r="A1001" s="1" t="s">
        <v>1013</v>
      </c>
      <c r="B1001">
        <f>HYPERLINK("https://www.suredividend.com/sure-analysis-MMS/","Maximus Inc.")</f>
        <v>0</v>
      </c>
      <c r="C1001" t="s">
        <v>1813</v>
      </c>
      <c r="D1001">
        <v>79.58</v>
      </c>
      <c r="E1001">
        <v>0.01407388791153556</v>
      </c>
      <c r="F1001">
        <v>0</v>
      </c>
      <c r="G1001">
        <v>0.4414152200702743</v>
      </c>
      <c r="H1001">
        <v>1.113931379894861</v>
      </c>
      <c r="I1001">
        <v>4837.160559</v>
      </c>
      <c r="J1001">
        <v>28.09281040264831</v>
      </c>
      <c r="K1001">
        <v>0.397832635676736</v>
      </c>
      <c r="L1001">
        <v>0.765138171496981</v>
      </c>
      <c r="M1001">
        <v>89.69</v>
      </c>
      <c r="N1001">
        <v>53.85</v>
      </c>
    </row>
    <row r="1002" spans="1:14">
      <c r="A1002" s="1" t="s">
        <v>1014</v>
      </c>
      <c r="B1002">
        <f>HYPERLINK("https://www.suredividend.com/sure-analysis-research-database/","Merit Medical Systems, Inc.")</f>
        <v>0</v>
      </c>
      <c r="C1002" t="s">
        <v>1817</v>
      </c>
      <c r="D1002">
        <v>72.2</v>
      </c>
      <c r="E1002">
        <v>0</v>
      </c>
      <c r="F1002" t="s">
        <v>1812</v>
      </c>
      <c r="G1002" t="s">
        <v>1812</v>
      </c>
      <c r="H1002">
        <v>0</v>
      </c>
      <c r="I1002">
        <v>4161.274508</v>
      </c>
      <c r="J1002">
        <v>46.43191337075017</v>
      </c>
      <c r="K1002">
        <v>0</v>
      </c>
      <c r="L1002">
        <v>0.9000960387479271</v>
      </c>
      <c r="M1002">
        <v>85.62</v>
      </c>
      <c r="N1002">
        <v>52.79</v>
      </c>
    </row>
    <row r="1003" spans="1:14">
      <c r="A1003" s="1" t="s">
        <v>1015</v>
      </c>
      <c r="B1003">
        <f>HYPERLINK("https://www.suredividend.com/sure-analysis-research-database/","Mannkind Corp")</f>
        <v>0</v>
      </c>
      <c r="C1003" t="s">
        <v>1817</v>
      </c>
      <c r="D1003">
        <v>4.7</v>
      </c>
      <c r="E1003">
        <v>0</v>
      </c>
      <c r="F1003" t="s">
        <v>1812</v>
      </c>
      <c r="G1003" t="s">
        <v>1812</v>
      </c>
      <c r="H1003">
        <v>0</v>
      </c>
      <c r="I1003">
        <v>1242.236</v>
      </c>
      <c r="J1003" t="s">
        <v>1812</v>
      </c>
      <c r="K1003">
        <v>-0</v>
      </c>
      <c r="L1003">
        <v>1.375704802876445</v>
      </c>
      <c r="M1003">
        <v>5.73</v>
      </c>
      <c r="N1003">
        <v>2.91</v>
      </c>
    </row>
    <row r="1004" spans="1:14">
      <c r="A1004" s="1" t="s">
        <v>1016</v>
      </c>
      <c r="B1004">
        <f>HYPERLINK("https://www.suredividend.com/sure-analysis-research-database/","Monro Inc")</f>
        <v>0</v>
      </c>
      <c r="C1004" t="s">
        <v>1816</v>
      </c>
      <c r="D1004">
        <v>36.09</v>
      </c>
      <c r="E1004">
        <v>0.030588063840633</v>
      </c>
      <c r="F1004">
        <v>0</v>
      </c>
      <c r="G1004">
        <v>0.06961037572506878</v>
      </c>
      <c r="H1004">
        <v>1.103923224008466</v>
      </c>
      <c r="I1004">
        <v>1133.875909</v>
      </c>
      <c r="J1004">
        <v>32.50977431962843</v>
      </c>
      <c r="K1004">
        <v>1.012773600007767</v>
      </c>
      <c r="L1004">
        <v>0.717428755702414</v>
      </c>
      <c r="M1004">
        <v>54.64</v>
      </c>
      <c r="N1004">
        <v>34.58</v>
      </c>
    </row>
    <row r="1005" spans="1:14">
      <c r="A1005" s="1" t="s">
        <v>1017</v>
      </c>
      <c r="B1005">
        <f>HYPERLINK("https://www.suredividend.com/sure-analysis-research-database/","Montauk Renewables Inc")</f>
        <v>0</v>
      </c>
      <c r="C1005" t="s">
        <v>1812</v>
      </c>
      <c r="D1005">
        <v>8.539999999999999</v>
      </c>
      <c r="E1005">
        <v>0</v>
      </c>
      <c r="F1005" t="s">
        <v>1812</v>
      </c>
      <c r="G1005" t="s">
        <v>1812</v>
      </c>
      <c r="H1005">
        <v>0</v>
      </c>
      <c r="I1005">
        <v>1226.87108</v>
      </c>
      <c r="J1005">
        <v>0</v>
      </c>
      <c r="K1005" t="s">
        <v>1812</v>
      </c>
      <c r="L1005">
        <v>1.095133604252548</v>
      </c>
      <c r="M1005">
        <v>20.78</v>
      </c>
      <c r="N1005">
        <v>5.46</v>
      </c>
    </row>
    <row r="1006" spans="1:14">
      <c r="A1006" s="1" t="s">
        <v>1018</v>
      </c>
      <c r="B1006">
        <f>HYPERLINK("https://www.suredividend.com/sure-analysis-research-database/","Momentus Inc")</f>
        <v>0</v>
      </c>
      <c r="C1006" t="s">
        <v>1812</v>
      </c>
      <c r="D1006">
        <v>0.409</v>
      </c>
      <c r="E1006">
        <v>0</v>
      </c>
      <c r="F1006" t="s">
        <v>1812</v>
      </c>
      <c r="G1006" t="s">
        <v>1812</v>
      </c>
      <c r="H1006">
        <v>0</v>
      </c>
      <c r="I1006">
        <v>40.026917</v>
      </c>
      <c r="J1006">
        <v>0</v>
      </c>
      <c r="K1006" t="s">
        <v>1812</v>
      </c>
      <c r="L1006">
        <v>1.722040515090552</v>
      </c>
      <c r="M1006">
        <v>2.6</v>
      </c>
      <c r="N1006">
        <v>0.246</v>
      </c>
    </row>
    <row r="1007" spans="1:14">
      <c r="A1007" s="1" t="s">
        <v>1019</v>
      </c>
      <c r="B1007">
        <f>HYPERLINK("https://www.suredividend.com/sure-analysis-research-database/","Modine Manufacturing Co.")</f>
        <v>0</v>
      </c>
      <c r="C1007" t="s">
        <v>1816</v>
      </c>
      <c r="D1007">
        <v>43.24</v>
      </c>
      <c r="E1007">
        <v>0</v>
      </c>
      <c r="F1007" t="s">
        <v>1812</v>
      </c>
      <c r="G1007" t="s">
        <v>1812</v>
      </c>
      <c r="H1007">
        <v>0</v>
      </c>
      <c r="I1007">
        <v>2257.939009</v>
      </c>
      <c r="J1007">
        <v>14.7481320015676</v>
      </c>
      <c r="K1007">
        <v>0</v>
      </c>
      <c r="L1007">
        <v>1.340351396180988</v>
      </c>
      <c r="M1007">
        <v>45.67</v>
      </c>
      <c r="N1007">
        <v>12.85</v>
      </c>
    </row>
    <row r="1008" spans="1:14">
      <c r="A1008" s="1" t="s">
        <v>1020</v>
      </c>
      <c r="B1008">
        <f>HYPERLINK("https://www.suredividend.com/sure-analysis-research-database/","Topgolf Callaway Brands Corp")</f>
        <v>0</v>
      </c>
      <c r="C1008" t="s">
        <v>1812</v>
      </c>
      <c r="D1008">
        <v>18.99</v>
      </c>
      <c r="E1008">
        <v>0</v>
      </c>
      <c r="F1008" t="s">
        <v>1812</v>
      </c>
      <c r="G1008" t="s">
        <v>1812</v>
      </c>
      <c r="H1008">
        <v>0</v>
      </c>
      <c r="I1008">
        <v>3524.592842</v>
      </c>
      <c r="J1008">
        <v>36.63817923367983</v>
      </c>
      <c r="K1008">
        <v>0</v>
      </c>
      <c r="L1008">
        <v>1.135941254278794</v>
      </c>
      <c r="M1008">
        <v>25.96</v>
      </c>
      <c r="N1008">
        <v>16.13</v>
      </c>
    </row>
    <row r="1009" spans="1:14">
      <c r="A1009" s="1" t="s">
        <v>1021</v>
      </c>
      <c r="B1009">
        <f>HYPERLINK("https://www.suredividend.com/sure-analysis-research-database/","Model N Inc")</f>
        <v>0</v>
      </c>
      <c r="C1009" t="s">
        <v>1818</v>
      </c>
      <c r="D1009">
        <v>32.4</v>
      </c>
      <c r="E1009">
        <v>0</v>
      </c>
      <c r="F1009" t="s">
        <v>1812</v>
      </c>
      <c r="G1009" t="s">
        <v>1812</v>
      </c>
      <c r="H1009">
        <v>0</v>
      </c>
      <c r="I1009">
        <v>1234.6668</v>
      </c>
      <c r="J1009">
        <v>0</v>
      </c>
      <c r="K1009" t="s">
        <v>1812</v>
      </c>
      <c r="L1009">
        <v>0.668632963918069</v>
      </c>
      <c r="M1009">
        <v>43.18</v>
      </c>
      <c r="N1009">
        <v>25.57</v>
      </c>
    </row>
    <row r="1010" spans="1:14">
      <c r="A1010" s="1" t="s">
        <v>1022</v>
      </c>
      <c r="B1010">
        <f>HYPERLINK("https://www.suredividend.com/sure-analysis-research-database/","ModivCare Inc")</f>
        <v>0</v>
      </c>
      <c r="C1010" t="s">
        <v>1812</v>
      </c>
      <c r="D1010">
        <v>38.24</v>
      </c>
      <c r="E1010">
        <v>0</v>
      </c>
      <c r="F1010" t="s">
        <v>1812</v>
      </c>
      <c r="G1010" t="s">
        <v>1812</v>
      </c>
      <c r="H1010">
        <v>0</v>
      </c>
      <c r="I1010">
        <v>541.730822</v>
      </c>
      <c r="J1010" t="s">
        <v>1812</v>
      </c>
      <c r="K1010">
        <v>-0</v>
      </c>
      <c r="L1010">
        <v>0.90205857856552</v>
      </c>
      <c r="M1010">
        <v>121.54</v>
      </c>
      <c r="N1010">
        <v>34.48</v>
      </c>
    </row>
    <row r="1011" spans="1:14">
      <c r="A1011" s="1" t="s">
        <v>1023</v>
      </c>
      <c r="B1011">
        <f>HYPERLINK("https://www.suredividend.com/sure-analysis-research-database/","MidWestOne Financial Group Inc")</f>
        <v>0</v>
      </c>
      <c r="C1011" t="s">
        <v>1815</v>
      </c>
      <c r="D1011">
        <v>23.99</v>
      </c>
      <c r="E1011">
        <v>0.039050542252926</v>
      </c>
      <c r="F1011">
        <v>0.02105263157894743</v>
      </c>
      <c r="G1011">
        <v>0.04456489507566408</v>
      </c>
      <c r="H1011">
        <v>0.9368225086477061</v>
      </c>
      <c r="I1011">
        <v>376.051047</v>
      </c>
      <c r="J1011">
        <v>7.779776294556964</v>
      </c>
      <c r="K1011">
        <v>0.3041631521583461</v>
      </c>
      <c r="L1011">
        <v>0.8759138959090881</v>
      </c>
      <c r="M1011">
        <v>34.18</v>
      </c>
      <c r="N1011">
        <v>17.36</v>
      </c>
    </row>
    <row r="1012" spans="1:14">
      <c r="A1012" s="1" t="s">
        <v>1024</v>
      </c>
      <c r="B1012">
        <f>HYPERLINK("https://www.suredividend.com/sure-analysis-research-database/","Moog, Inc.")</f>
        <v>0</v>
      </c>
      <c r="C1012" t="s">
        <v>1812</v>
      </c>
      <c r="D1012">
        <v>74.89</v>
      </c>
      <c r="E1012">
        <v>0</v>
      </c>
      <c r="F1012" t="s">
        <v>1812</v>
      </c>
      <c r="G1012" t="s">
        <v>1812</v>
      </c>
      <c r="H1012">
        <v>1.014897578722234</v>
      </c>
      <c r="I1012">
        <v>2406.558505</v>
      </c>
      <c r="J1012">
        <v>0</v>
      </c>
      <c r="K1012" t="s">
        <v>1812</v>
      </c>
      <c r="L1012">
        <v>0.8284794631616721</v>
      </c>
    </row>
    <row r="1013" spans="1:14">
      <c r="A1013" s="1" t="s">
        <v>1025</v>
      </c>
      <c r="B1013">
        <f>HYPERLINK("https://www.suredividend.com/sure-analysis-research-database/","Morphic Holding Inc")</f>
        <v>0</v>
      </c>
      <c r="C1013" t="s">
        <v>1817</v>
      </c>
      <c r="D1013">
        <v>57.59</v>
      </c>
      <c r="E1013">
        <v>0</v>
      </c>
      <c r="F1013" t="s">
        <v>1812</v>
      </c>
      <c r="G1013" t="s">
        <v>1812</v>
      </c>
      <c r="H1013">
        <v>0</v>
      </c>
      <c r="I1013">
        <v>2590.098502</v>
      </c>
      <c r="J1013">
        <v>0</v>
      </c>
      <c r="K1013" t="s">
        <v>1812</v>
      </c>
      <c r="L1013">
        <v>1.371917586820232</v>
      </c>
      <c r="M1013">
        <v>63.08</v>
      </c>
      <c r="N1013">
        <v>23.03</v>
      </c>
    </row>
    <row r="1014" spans="1:14">
      <c r="A1014" s="1" t="s">
        <v>1026</v>
      </c>
      <c r="B1014">
        <f>HYPERLINK("https://www.suredividend.com/sure-analysis-research-database/","Movado Group, Inc.")</f>
        <v>0</v>
      </c>
      <c r="C1014" t="s">
        <v>1816</v>
      </c>
      <c r="D1014">
        <v>27.55</v>
      </c>
      <c r="E1014">
        <v>0.04986536482180701</v>
      </c>
      <c r="F1014" t="s">
        <v>1812</v>
      </c>
      <c r="G1014" t="s">
        <v>1812</v>
      </c>
      <c r="H1014">
        <v>1.373790800840808</v>
      </c>
      <c r="I1014">
        <v>430.266368</v>
      </c>
      <c r="J1014">
        <v>5.053455571215485</v>
      </c>
      <c r="K1014">
        <v>0.367323743540323</v>
      </c>
      <c r="L1014">
        <v>1.072145564226498</v>
      </c>
      <c r="M1014">
        <v>36.33</v>
      </c>
      <c r="N1014">
        <v>23.93</v>
      </c>
    </row>
    <row r="1015" spans="1:14">
      <c r="A1015" s="1" t="s">
        <v>1027</v>
      </c>
      <c r="B1015">
        <f>HYPERLINK("https://www.suredividend.com/sure-analysis-research-database/","Motorcar Parts of America Inc.")</f>
        <v>0</v>
      </c>
      <c r="C1015" t="s">
        <v>1816</v>
      </c>
      <c r="D1015">
        <v>9.16</v>
      </c>
      <c r="E1015">
        <v>0</v>
      </c>
      <c r="F1015" t="s">
        <v>1812</v>
      </c>
      <c r="G1015" t="s">
        <v>1812</v>
      </c>
      <c r="H1015">
        <v>0</v>
      </c>
      <c r="I1015">
        <v>179.493452</v>
      </c>
      <c r="J1015" t="s">
        <v>1812</v>
      </c>
      <c r="K1015">
        <v>-0</v>
      </c>
      <c r="L1015">
        <v>1.277746706714166</v>
      </c>
      <c r="M1015">
        <v>19.93</v>
      </c>
      <c r="N1015">
        <v>4.26</v>
      </c>
    </row>
    <row r="1016" spans="1:14">
      <c r="A1016" s="1" t="s">
        <v>1028</v>
      </c>
      <c r="B1016">
        <f>HYPERLINK("https://www.suredividend.com/sure-analysis-research-database/","Mid Penn Bancorp, Inc.")</f>
        <v>0</v>
      </c>
      <c r="C1016" t="s">
        <v>1815</v>
      </c>
      <c r="D1016">
        <v>23.79</v>
      </c>
      <c r="E1016">
        <v>0.032966340352822</v>
      </c>
      <c r="F1016">
        <v>0</v>
      </c>
      <c r="G1016">
        <v>0.1486983549970351</v>
      </c>
      <c r="H1016">
        <v>0.784269236993654</v>
      </c>
      <c r="I1016">
        <v>378.448013</v>
      </c>
      <c r="J1016">
        <v>0</v>
      </c>
      <c r="K1016" t="s">
        <v>1812</v>
      </c>
      <c r="L1016">
        <v>0.6432243315852331</v>
      </c>
      <c r="M1016">
        <v>33.86</v>
      </c>
      <c r="N1016">
        <v>17.88</v>
      </c>
    </row>
    <row r="1017" spans="1:14">
      <c r="A1017" s="1" t="s">
        <v>1029</v>
      </c>
      <c r="B1017">
        <f>HYPERLINK("https://www.suredividend.com/sure-analysis-research-database/","MultiPlan Corp")</f>
        <v>0</v>
      </c>
      <c r="C1017" t="s">
        <v>1812</v>
      </c>
      <c r="D1017">
        <v>1.95</v>
      </c>
      <c r="E1017">
        <v>0</v>
      </c>
      <c r="F1017" t="s">
        <v>1812</v>
      </c>
      <c r="G1017" t="s">
        <v>1812</v>
      </c>
      <c r="H1017">
        <v>0</v>
      </c>
      <c r="I1017">
        <v>1290.675506</v>
      </c>
      <c r="J1017">
        <v>0</v>
      </c>
      <c r="K1017" t="s">
        <v>1812</v>
      </c>
      <c r="L1017">
        <v>1.483667374603344</v>
      </c>
      <c r="M1017">
        <v>4.6</v>
      </c>
      <c r="N1017">
        <v>0.6104000000000001</v>
      </c>
    </row>
    <row r="1018" spans="1:14">
      <c r="A1018" s="1" t="s">
        <v>1030</v>
      </c>
      <c r="B1018">
        <f>HYPERLINK("https://www.suredividend.com/sure-analysis-research-database/","Marine Products Corp")</f>
        <v>0</v>
      </c>
      <c r="C1018" t="s">
        <v>1816</v>
      </c>
      <c r="D1018">
        <v>16.18</v>
      </c>
      <c r="E1018">
        <v>0.032885083772405</v>
      </c>
      <c r="F1018">
        <v>0.1666666666666667</v>
      </c>
      <c r="G1018">
        <v>0.03131030647754507</v>
      </c>
      <c r="H1018">
        <v>0.532080655437515</v>
      </c>
      <c r="I1018">
        <v>557.6716269999999</v>
      </c>
      <c r="J1018">
        <v>11.600275131672</v>
      </c>
      <c r="K1018">
        <v>0.3720843744318287</v>
      </c>
      <c r="L1018">
        <v>0.9456261761420991</v>
      </c>
      <c r="M1018">
        <v>17.73</v>
      </c>
      <c r="N1018">
        <v>7.5</v>
      </c>
    </row>
    <row r="1019" spans="1:14">
      <c r="A1019" s="1" t="s">
        <v>1031</v>
      </c>
      <c r="B1019">
        <f>HYPERLINK("https://www.suredividend.com/sure-analysis-research-database/","Marqeta Inc")</f>
        <v>0</v>
      </c>
      <c r="C1019" t="s">
        <v>1812</v>
      </c>
      <c r="D1019">
        <v>5.18</v>
      </c>
      <c r="E1019">
        <v>0</v>
      </c>
      <c r="F1019" t="s">
        <v>1812</v>
      </c>
      <c r="G1019" t="s">
        <v>1812</v>
      </c>
      <c r="H1019">
        <v>0</v>
      </c>
      <c r="I1019">
        <v>2516.431288</v>
      </c>
      <c r="J1019" t="s">
        <v>1812</v>
      </c>
      <c r="K1019">
        <v>-0</v>
      </c>
      <c r="L1019">
        <v>1.846353935879664</v>
      </c>
      <c r="M1019">
        <v>11.28</v>
      </c>
      <c r="N1019">
        <v>3.46</v>
      </c>
    </row>
    <row r="1020" spans="1:14">
      <c r="A1020" s="1" t="s">
        <v>1032</v>
      </c>
      <c r="B1020">
        <f>HYPERLINK("https://www.suredividend.com/sure-analysis-research-database/","MRC Global Inc")</f>
        <v>0</v>
      </c>
      <c r="C1020" t="s">
        <v>1822</v>
      </c>
      <c r="D1020">
        <v>11.07</v>
      </c>
      <c r="E1020">
        <v>0</v>
      </c>
      <c r="F1020" t="s">
        <v>1812</v>
      </c>
      <c r="G1020" t="s">
        <v>1812</v>
      </c>
      <c r="H1020">
        <v>0</v>
      </c>
      <c r="I1020">
        <v>932.231655</v>
      </c>
      <c r="J1020">
        <v>13.51060370217391</v>
      </c>
      <c r="K1020">
        <v>0</v>
      </c>
      <c r="L1020">
        <v>1.279462078216912</v>
      </c>
      <c r="M1020">
        <v>13.9</v>
      </c>
      <c r="N1020">
        <v>7.03</v>
      </c>
    </row>
    <row r="1021" spans="1:14">
      <c r="A1021" s="1" t="s">
        <v>1033</v>
      </c>
      <c r="B1021">
        <f>HYPERLINK("https://www.suredividend.com/sure-analysis-research-database/","Mersana Therapeutics Inc")</f>
        <v>0</v>
      </c>
      <c r="C1021" t="s">
        <v>1817</v>
      </c>
      <c r="D1021">
        <v>1.095</v>
      </c>
      <c r="E1021">
        <v>0</v>
      </c>
      <c r="F1021" t="s">
        <v>1812</v>
      </c>
      <c r="G1021" t="s">
        <v>1812</v>
      </c>
      <c r="H1021">
        <v>0</v>
      </c>
      <c r="I1021">
        <v>125.252462</v>
      </c>
      <c r="J1021">
        <v>0</v>
      </c>
      <c r="K1021" t="s">
        <v>1812</v>
      </c>
      <c r="L1021">
        <v>1.258972674342021</v>
      </c>
      <c r="M1021">
        <v>9.619999999999999</v>
      </c>
      <c r="N1021">
        <v>0.8014</v>
      </c>
    </row>
    <row r="1022" spans="1:14">
      <c r="A1022" s="1" t="s">
        <v>1034</v>
      </c>
      <c r="B1022">
        <f>HYPERLINK("https://www.suredividend.com/sure-analysis-research-database/","Marten Transport, Ltd.")</f>
        <v>0</v>
      </c>
      <c r="C1022" t="s">
        <v>1813</v>
      </c>
      <c r="D1022">
        <v>23.09</v>
      </c>
      <c r="E1022">
        <v>0.010329366046065</v>
      </c>
      <c r="F1022">
        <v>0</v>
      </c>
      <c r="G1022">
        <v>0.1486983549970351</v>
      </c>
      <c r="H1022">
        <v>0.238505062003643</v>
      </c>
      <c r="I1022">
        <v>1875.68708</v>
      </c>
      <c r="J1022">
        <v>17.80890289575876</v>
      </c>
      <c r="K1022">
        <v>0.1848876449640643</v>
      </c>
      <c r="L1022">
        <v>0.781131803020444</v>
      </c>
      <c r="M1022">
        <v>23.13</v>
      </c>
      <c r="N1022">
        <v>17.44</v>
      </c>
    </row>
    <row r="1023" spans="1:14">
      <c r="A1023" s="1" t="s">
        <v>1035</v>
      </c>
      <c r="B1023">
        <f>HYPERLINK("https://www.suredividend.com/sure-analysis-research-database/","Midland States Bancorp Inc")</f>
        <v>0</v>
      </c>
      <c r="C1023" t="s">
        <v>1815</v>
      </c>
      <c r="D1023">
        <v>23.68</v>
      </c>
      <c r="E1023">
        <v>0.04803754845872001</v>
      </c>
      <c r="F1023">
        <v>0.03448275862068995</v>
      </c>
      <c r="G1023">
        <v>0.06399531281508364</v>
      </c>
      <c r="H1023">
        <v>1.137529147502497</v>
      </c>
      <c r="I1023">
        <v>521.554723</v>
      </c>
      <c r="J1023">
        <v>5.510292793525689</v>
      </c>
      <c r="K1023">
        <v>0.2695566700242885</v>
      </c>
      <c r="L1023">
        <v>0.838687340788499</v>
      </c>
      <c r="M1023">
        <v>27.04</v>
      </c>
      <c r="N1023">
        <v>17.42</v>
      </c>
    </row>
    <row r="1024" spans="1:14">
      <c r="A1024" s="1" t="s">
        <v>1036</v>
      </c>
      <c r="B1024">
        <f>HYPERLINK("https://www.suredividend.com/sure-analysis-MSEX/","Middlesex Water Co.")</f>
        <v>0</v>
      </c>
      <c r="C1024" t="s">
        <v>1820</v>
      </c>
      <c r="D1024">
        <v>78.98</v>
      </c>
      <c r="E1024">
        <v>0.01582679159280831</v>
      </c>
      <c r="F1024">
        <v>0.07758620689655182</v>
      </c>
      <c r="G1024">
        <v>0.054211515856875</v>
      </c>
      <c r="H1024">
        <v>1.216624461069196</v>
      </c>
      <c r="I1024">
        <v>1401.717927</v>
      </c>
      <c r="J1024">
        <v>37.77197323740232</v>
      </c>
      <c r="K1024">
        <v>0.5821169670187542</v>
      </c>
      <c r="L1024">
        <v>0.806699341090909</v>
      </c>
      <c r="M1024">
        <v>94.7</v>
      </c>
      <c r="N1024">
        <v>65.95</v>
      </c>
    </row>
    <row r="1025" spans="1:14">
      <c r="A1025" s="1" t="s">
        <v>1037</v>
      </c>
      <c r="B1025">
        <f>HYPERLINK("https://www.suredividend.com/sure-analysis-research-database/","Madison Square Garden Entertainment Corp.")</f>
        <v>0</v>
      </c>
      <c r="C1025" t="s">
        <v>1812</v>
      </c>
      <c r="D1025">
        <v>33.56</v>
      </c>
      <c r="E1025">
        <v>0</v>
      </c>
      <c r="F1025" t="s">
        <v>1812</v>
      </c>
      <c r="G1025" t="s">
        <v>1812</v>
      </c>
      <c r="H1025">
        <v>0</v>
      </c>
      <c r="I1025">
        <v>1509.939105</v>
      </c>
      <c r="J1025">
        <v>0</v>
      </c>
      <c r="K1025" t="s">
        <v>1812</v>
      </c>
      <c r="L1025">
        <v>0.318056386286666</v>
      </c>
      <c r="M1025">
        <v>40.81</v>
      </c>
      <c r="N1025">
        <v>28.09</v>
      </c>
    </row>
    <row r="1026" spans="1:14">
      <c r="A1026" s="1" t="s">
        <v>1038</v>
      </c>
      <c r="B1026">
        <f>HYPERLINK("https://www.suredividend.com/sure-analysis-research-database/","Microstrategy Inc.")</f>
        <v>0</v>
      </c>
      <c r="C1026" t="s">
        <v>1818</v>
      </c>
      <c r="D1026">
        <v>389.91</v>
      </c>
      <c r="E1026">
        <v>0</v>
      </c>
      <c r="F1026" t="s">
        <v>1812</v>
      </c>
      <c r="G1026" t="s">
        <v>1812</v>
      </c>
      <c r="H1026">
        <v>0</v>
      </c>
      <c r="I1026">
        <v>4286.914624</v>
      </c>
      <c r="J1026">
        <v>20.74099426991408</v>
      </c>
      <c r="K1026">
        <v>0</v>
      </c>
      <c r="L1026">
        <v>2.404193602482924</v>
      </c>
      <c r="M1026">
        <v>475.09</v>
      </c>
      <c r="N1026">
        <v>132.56</v>
      </c>
    </row>
    <row r="1027" spans="1:14">
      <c r="A1027" s="1" t="s">
        <v>1039</v>
      </c>
      <c r="B1027">
        <f>HYPERLINK("https://www.suredividend.com/sure-analysis-research-database/","Matador Resources Co")</f>
        <v>0</v>
      </c>
      <c r="C1027" t="s">
        <v>1822</v>
      </c>
      <c r="D1027">
        <v>57.41</v>
      </c>
      <c r="E1027">
        <v>0.008676532171975001</v>
      </c>
      <c r="F1027" t="s">
        <v>1812</v>
      </c>
      <c r="G1027" t="s">
        <v>1812</v>
      </c>
      <c r="H1027">
        <v>0.498119711993126</v>
      </c>
      <c r="I1027">
        <v>6840.301033</v>
      </c>
      <c r="J1027">
        <v>7.441904600396014</v>
      </c>
      <c r="K1027">
        <v>0.0651136878422387</v>
      </c>
      <c r="L1027">
        <v>1.323888688597138</v>
      </c>
      <c r="M1027">
        <v>73.22</v>
      </c>
      <c r="N1027">
        <v>41.9</v>
      </c>
    </row>
    <row r="1028" spans="1:14">
      <c r="A1028" s="1" t="s">
        <v>1040</v>
      </c>
      <c r="B1028">
        <f>HYPERLINK("https://www.suredividend.com/sure-analysis-research-database/","Meritage Homes Corp.")</f>
        <v>0</v>
      </c>
      <c r="C1028" t="s">
        <v>1816</v>
      </c>
      <c r="D1028">
        <v>144.58</v>
      </c>
      <c r="E1028">
        <v>0.003731141484658</v>
      </c>
      <c r="F1028" t="s">
        <v>1812</v>
      </c>
      <c r="G1028" t="s">
        <v>1812</v>
      </c>
      <c r="H1028">
        <v>0.5394484358518641</v>
      </c>
      <c r="I1028">
        <v>5315.522303</v>
      </c>
      <c r="J1028">
        <v>6.305550477834284</v>
      </c>
      <c r="K1028">
        <v>0.0237120191583237</v>
      </c>
      <c r="L1028">
        <v>1.380468067059556</v>
      </c>
      <c r="M1028">
        <v>152.55</v>
      </c>
      <c r="N1028">
        <v>65.09999999999999</v>
      </c>
    </row>
    <row r="1029" spans="1:14">
      <c r="A1029" s="1" t="s">
        <v>1041</v>
      </c>
      <c r="B1029">
        <f>HYPERLINK("https://www.suredividend.com/sure-analysis-research-database/","Materion Corp")</f>
        <v>0</v>
      </c>
      <c r="C1029" t="s">
        <v>1823</v>
      </c>
      <c r="D1029">
        <v>103.9</v>
      </c>
      <c r="E1029">
        <v>0.004855811708607</v>
      </c>
      <c r="F1029">
        <v>0.04000000000000004</v>
      </c>
      <c r="G1029">
        <v>0.04364022715043592</v>
      </c>
      <c r="H1029">
        <v>0.5045188365242791</v>
      </c>
      <c r="I1029">
        <v>2144.159156</v>
      </c>
      <c r="J1029">
        <v>21.97807640709724</v>
      </c>
      <c r="K1029">
        <v>0.1075733126917439</v>
      </c>
      <c r="L1029">
        <v>1.198569260434276</v>
      </c>
      <c r="M1029">
        <v>123.41</v>
      </c>
      <c r="N1029">
        <v>64.72</v>
      </c>
    </row>
    <row r="1030" spans="1:14">
      <c r="A1030" s="1" t="s">
        <v>1042</v>
      </c>
      <c r="B1030">
        <f>HYPERLINK("https://www.suredividend.com/sure-analysis-research-database/","MACOM Technology Solutions Holdings Inc")</f>
        <v>0</v>
      </c>
      <c r="C1030" t="s">
        <v>1818</v>
      </c>
      <c r="D1030">
        <v>74.75</v>
      </c>
      <c r="E1030">
        <v>0</v>
      </c>
      <c r="F1030" t="s">
        <v>1812</v>
      </c>
      <c r="G1030" t="s">
        <v>1812</v>
      </c>
      <c r="H1030">
        <v>0</v>
      </c>
      <c r="I1030">
        <v>5298.58498</v>
      </c>
      <c r="J1030">
        <v>16.2113576507447</v>
      </c>
      <c r="K1030">
        <v>0</v>
      </c>
      <c r="L1030">
        <v>1.331548743978963</v>
      </c>
      <c r="M1030">
        <v>76.56</v>
      </c>
      <c r="N1030">
        <v>48.53</v>
      </c>
    </row>
    <row r="1031" spans="1:14">
      <c r="A1031" s="1" t="s">
        <v>1043</v>
      </c>
      <c r="B1031">
        <f>HYPERLINK("https://www.suredividend.com/sure-analysis-research-database/","Matterport Inc")</f>
        <v>0</v>
      </c>
      <c r="C1031" t="s">
        <v>1812</v>
      </c>
      <c r="D1031">
        <v>3.28</v>
      </c>
      <c r="E1031">
        <v>0</v>
      </c>
      <c r="F1031" t="s">
        <v>1812</v>
      </c>
      <c r="G1031" t="s">
        <v>1812</v>
      </c>
      <c r="H1031">
        <v>0</v>
      </c>
      <c r="I1031">
        <v>970.952481</v>
      </c>
      <c r="J1031">
        <v>0</v>
      </c>
      <c r="K1031" t="s">
        <v>1812</v>
      </c>
      <c r="L1031">
        <v>2.164221882608035</v>
      </c>
      <c r="M1031">
        <v>7.45</v>
      </c>
      <c r="N1031">
        <v>2.2</v>
      </c>
    </row>
    <row r="1032" spans="1:14">
      <c r="A1032" s="1" t="s">
        <v>1044</v>
      </c>
      <c r="B1032">
        <f>HYPERLINK("https://www.suredividend.com/sure-analysis-research-database/","Manitowoc Co., Inc.")</f>
        <v>0</v>
      </c>
      <c r="C1032" t="s">
        <v>1813</v>
      </c>
      <c r="D1032">
        <v>17.72</v>
      </c>
      <c r="E1032">
        <v>0</v>
      </c>
      <c r="F1032" t="s">
        <v>1812</v>
      </c>
      <c r="G1032" t="s">
        <v>1812</v>
      </c>
      <c r="H1032">
        <v>0</v>
      </c>
      <c r="I1032">
        <v>622.731851</v>
      </c>
      <c r="J1032" t="s">
        <v>1812</v>
      </c>
      <c r="K1032">
        <v>-0</v>
      </c>
      <c r="L1032">
        <v>1.461308409676836</v>
      </c>
      <c r="M1032">
        <v>20.2</v>
      </c>
      <c r="N1032">
        <v>7.53</v>
      </c>
    </row>
    <row r="1033" spans="1:14">
      <c r="A1033" s="1" t="s">
        <v>1045</v>
      </c>
      <c r="B1033">
        <f>HYPERLINK("https://www.suredividend.com/sure-analysis-research-database/","Minerals Technologies, Inc.")</f>
        <v>0</v>
      </c>
      <c r="C1033" t="s">
        <v>1823</v>
      </c>
      <c r="D1033">
        <v>59.87</v>
      </c>
      <c r="E1033">
        <v>0.003336251336709</v>
      </c>
      <c r="F1033">
        <v>0</v>
      </c>
      <c r="G1033">
        <v>0</v>
      </c>
      <c r="H1033">
        <v>0.199741367528798</v>
      </c>
      <c r="I1033">
        <v>1948.394552</v>
      </c>
      <c r="J1033">
        <v>20.12804289235537</v>
      </c>
      <c r="K1033">
        <v>0.06725298569993199</v>
      </c>
      <c r="L1033">
        <v>1.169869876704748</v>
      </c>
      <c r="M1033">
        <v>73.45</v>
      </c>
      <c r="N1033">
        <v>49.25</v>
      </c>
    </row>
    <row r="1034" spans="1:14">
      <c r="A1034" s="1" t="s">
        <v>1046</v>
      </c>
      <c r="B1034">
        <f>HYPERLINK("https://www.suredividend.com/sure-analysis-research-database/","Mullen Automotive Inc")</f>
        <v>0</v>
      </c>
      <c r="C1034" t="s">
        <v>1812</v>
      </c>
      <c r="D1034">
        <v>0.1365</v>
      </c>
      <c r="E1034">
        <v>0</v>
      </c>
      <c r="F1034" t="s">
        <v>1812</v>
      </c>
      <c r="G1034" t="s">
        <v>1812</v>
      </c>
      <c r="H1034">
        <v>0</v>
      </c>
      <c r="I1034">
        <v>23.547661</v>
      </c>
      <c r="J1034">
        <v>0</v>
      </c>
      <c r="K1034" t="s">
        <v>1812</v>
      </c>
      <c r="L1034">
        <v>1.297655181525059</v>
      </c>
      <c r="M1034">
        <v>23.25</v>
      </c>
      <c r="N1034">
        <v>0.1</v>
      </c>
    </row>
    <row r="1035" spans="1:14">
      <c r="A1035" s="1" t="s">
        <v>1047</v>
      </c>
      <c r="B1035">
        <f>HYPERLINK("https://www.suredividend.com/sure-analysis-research-database/","Murphy Oil Corp.")</f>
        <v>0</v>
      </c>
      <c r="C1035" t="s">
        <v>1822</v>
      </c>
      <c r="D1035">
        <v>43.3</v>
      </c>
      <c r="E1035">
        <v>0.023935399834052</v>
      </c>
      <c r="F1035">
        <v>0.1000000000000001</v>
      </c>
      <c r="G1035">
        <v>0.01924487649145656</v>
      </c>
      <c r="H1035">
        <v>1.036402812814487</v>
      </c>
      <c r="I1035">
        <v>6759.053532</v>
      </c>
      <c r="J1035">
        <v>5.32197625105608</v>
      </c>
      <c r="K1035">
        <v>0.1290663527788901</v>
      </c>
      <c r="L1035">
        <v>1.185200390869958</v>
      </c>
      <c r="M1035">
        <v>50.52</v>
      </c>
      <c r="N1035">
        <v>30.23</v>
      </c>
    </row>
    <row r="1036" spans="1:14">
      <c r="A1036" s="1" t="s">
        <v>1048</v>
      </c>
      <c r="B1036">
        <f>HYPERLINK("https://www.suredividend.com/sure-analysis-research-database/","Murphy USA Inc")</f>
        <v>0</v>
      </c>
      <c r="C1036" t="s">
        <v>1816</v>
      </c>
      <c r="D1036">
        <v>295.25</v>
      </c>
      <c r="E1036">
        <v>0.004800339527223</v>
      </c>
      <c r="F1036" t="s">
        <v>1812</v>
      </c>
      <c r="G1036" t="s">
        <v>1812</v>
      </c>
      <c r="H1036">
        <v>1.417300245412807</v>
      </c>
      <c r="I1036">
        <v>6431.500724</v>
      </c>
      <c r="J1036">
        <v>10.26084991105616</v>
      </c>
      <c r="K1036">
        <v>0.05249260168195581</v>
      </c>
      <c r="L1036">
        <v>0.362713326510625</v>
      </c>
      <c r="M1036">
        <v>323.4</v>
      </c>
      <c r="N1036">
        <v>231.33</v>
      </c>
    </row>
    <row r="1037" spans="1:14">
      <c r="A1037" s="1" t="s">
        <v>1049</v>
      </c>
      <c r="B1037">
        <f>HYPERLINK("https://www.suredividend.com/sure-analysis-research-database/","MVB Financial Corp.")</f>
        <v>0</v>
      </c>
      <c r="C1037" t="s">
        <v>1815</v>
      </c>
      <c r="D1037">
        <v>26.03</v>
      </c>
      <c r="E1037">
        <v>0.025634493262053</v>
      </c>
      <c r="F1037">
        <v>0</v>
      </c>
      <c r="G1037">
        <v>0.4147038431719823</v>
      </c>
      <c r="H1037">
        <v>0.6672658596112451</v>
      </c>
      <c r="I1037">
        <v>330.543725</v>
      </c>
      <c r="J1037">
        <v>0</v>
      </c>
      <c r="K1037" t="s">
        <v>1812</v>
      </c>
      <c r="L1037">
        <v>0.798648517345766</v>
      </c>
      <c r="M1037">
        <v>35.92</v>
      </c>
      <c r="N1037">
        <v>15.96</v>
      </c>
    </row>
    <row r="1038" spans="1:14">
      <c r="A1038" s="1" t="s">
        <v>1050</v>
      </c>
      <c r="B1038">
        <f>HYPERLINK("https://www.suredividend.com/sure-analysis-research-database/","Microvision Inc.")</f>
        <v>0</v>
      </c>
      <c r="C1038" t="s">
        <v>1818</v>
      </c>
      <c r="D1038">
        <v>3.55</v>
      </c>
      <c r="E1038">
        <v>0</v>
      </c>
      <c r="F1038" t="s">
        <v>1812</v>
      </c>
      <c r="G1038" t="s">
        <v>1812</v>
      </c>
      <c r="H1038">
        <v>0</v>
      </c>
      <c r="I1038">
        <v>626.649845</v>
      </c>
      <c r="J1038" t="s">
        <v>1812</v>
      </c>
      <c r="K1038">
        <v>-0</v>
      </c>
      <c r="L1038">
        <v>2.109673467050323</v>
      </c>
      <c r="M1038">
        <v>8.199999999999999</v>
      </c>
      <c r="N1038">
        <v>1.82</v>
      </c>
    </row>
    <row r="1039" spans="1:14">
      <c r="A1039" s="1" t="s">
        <v>1051</v>
      </c>
      <c r="B1039">
        <f>HYPERLINK("https://www.suredividend.com/sure-analysis-research-database/","Microvast Holdings Inc")</f>
        <v>0</v>
      </c>
      <c r="C1039" t="s">
        <v>1812</v>
      </c>
      <c r="D1039">
        <v>2.63</v>
      </c>
      <c r="E1039">
        <v>0</v>
      </c>
      <c r="F1039" t="s">
        <v>1812</v>
      </c>
      <c r="G1039" t="s">
        <v>1812</v>
      </c>
      <c r="H1039">
        <v>0</v>
      </c>
      <c r="I1039">
        <v>813.794188</v>
      </c>
      <c r="J1039">
        <v>0</v>
      </c>
      <c r="K1039" t="s">
        <v>1812</v>
      </c>
      <c r="L1039">
        <v>1.989171288181476</v>
      </c>
      <c r="M1039">
        <v>3.25</v>
      </c>
      <c r="N1039">
        <v>0.88</v>
      </c>
    </row>
    <row r="1040" spans="1:14">
      <c r="A1040" s="1" t="s">
        <v>1052</v>
      </c>
      <c r="B1040">
        <f>HYPERLINK("https://www.suredividend.com/sure-analysis-MWA/","Mueller Water Products Inc")</f>
        <v>0</v>
      </c>
      <c r="C1040" t="s">
        <v>1813</v>
      </c>
      <c r="D1040">
        <v>15.87</v>
      </c>
      <c r="E1040">
        <v>0.01512287334593573</v>
      </c>
      <c r="F1040">
        <v>0.05172413793103448</v>
      </c>
      <c r="G1040">
        <v>0.04057159395880827</v>
      </c>
      <c r="H1040">
        <v>0.239418361987344</v>
      </c>
      <c r="I1040">
        <v>2482.411316</v>
      </c>
      <c r="J1040">
        <v>32.07249761899224</v>
      </c>
      <c r="K1040">
        <v>0.4868205815114762</v>
      </c>
      <c r="L1040">
        <v>1.0073820018698</v>
      </c>
      <c r="M1040">
        <v>16.62</v>
      </c>
      <c r="N1040">
        <v>9.76</v>
      </c>
    </row>
    <row r="1041" spans="1:14">
      <c r="A1041" s="1" t="s">
        <v>1053</v>
      </c>
      <c r="B1041">
        <f>HYPERLINK("https://www.suredividend.com/sure-analysis-research-database/","MaxCyte Inc")</f>
        <v>0</v>
      </c>
      <c r="C1041" t="s">
        <v>1812</v>
      </c>
      <c r="D1041">
        <v>4.4</v>
      </c>
      <c r="E1041">
        <v>0</v>
      </c>
      <c r="F1041" t="s">
        <v>1812</v>
      </c>
      <c r="G1041" t="s">
        <v>1812</v>
      </c>
      <c r="H1041">
        <v>0</v>
      </c>
      <c r="I1041">
        <v>0</v>
      </c>
      <c r="J1041">
        <v>0</v>
      </c>
      <c r="K1041" t="s">
        <v>1812</v>
      </c>
    </row>
    <row r="1042" spans="1:14">
      <c r="A1042" s="1" t="s">
        <v>1054</v>
      </c>
      <c r="B1042">
        <f>HYPERLINK("https://www.suredividend.com/sure-analysis-research-database/","MaxLinear Inc")</f>
        <v>0</v>
      </c>
      <c r="C1042" t="s">
        <v>1818</v>
      </c>
      <c r="D1042">
        <v>24.16</v>
      </c>
      <c r="E1042">
        <v>0</v>
      </c>
      <c r="F1042" t="s">
        <v>1812</v>
      </c>
      <c r="G1042" t="s">
        <v>1812</v>
      </c>
      <c r="H1042">
        <v>0</v>
      </c>
      <c r="I1042">
        <v>1957.342646</v>
      </c>
      <c r="J1042">
        <v>30.26662511334468</v>
      </c>
      <c r="K1042">
        <v>0</v>
      </c>
      <c r="L1042">
        <v>1.78764990146037</v>
      </c>
      <c r="M1042">
        <v>43.66</v>
      </c>
      <c r="N1042">
        <v>22.25</v>
      </c>
    </row>
    <row r="1043" spans="1:14">
      <c r="A1043" s="1" t="s">
        <v>1055</v>
      </c>
      <c r="B1043">
        <f>HYPERLINK("https://www.suredividend.com/sure-analysis-research-database/","Myers Industries Inc.")</f>
        <v>0</v>
      </c>
      <c r="C1043" t="s">
        <v>1816</v>
      </c>
      <c r="D1043">
        <v>18.77</v>
      </c>
      <c r="E1043">
        <v>0.028484678212009</v>
      </c>
      <c r="F1043">
        <v>0</v>
      </c>
      <c r="G1043">
        <v>0</v>
      </c>
      <c r="H1043">
        <v>0.534657410039414</v>
      </c>
      <c r="I1043">
        <v>689.642047</v>
      </c>
      <c r="J1043">
        <v>12.33574297678246</v>
      </c>
      <c r="K1043">
        <v>0.3517482960785618</v>
      </c>
      <c r="L1043">
        <v>0.861655671824873</v>
      </c>
      <c r="M1043">
        <v>26.13</v>
      </c>
      <c r="N1043">
        <v>15.77</v>
      </c>
    </row>
    <row r="1044" spans="1:14">
      <c r="A1044" s="1" t="s">
        <v>1056</v>
      </c>
      <c r="B1044">
        <f>HYPERLINK("https://www.suredividend.com/sure-analysis-research-database/","First Western Financial Inc")</f>
        <v>0</v>
      </c>
      <c r="C1044" t="s">
        <v>1815</v>
      </c>
      <c r="D1044">
        <v>20.73</v>
      </c>
      <c r="E1044">
        <v>0</v>
      </c>
      <c r="F1044" t="s">
        <v>1812</v>
      </c>
      <c r="G1044" t="s">
        <v>1812</v>
      </c>
      <c r="H1044">
        <v>0</v>
      </c>
      <c r="I1044">
        <v>197.716272</v>
      </c>
      <c r="J1044">
        <v>0</v>
      </c>
      <c r="K1044" t="s">
        <v>1812</v>
      </c>
      <c r="L1044">
        <v>0.9537290497838291</v>
      </c>
      <c r="M1044">
        <v>30.7</v>
      </c>
      <c r="N1044">
        <v>13</v>
      </c>
    </row>
    <row r="1045" spans="1:14">
      <c r="A1045" s="1" t="s">
        <v>1057</v>
      </c>
      <c r="B1045">
        <f>HYPERLINK("https://www.suredividend.com/sure-analysis-research-database/","Myriad Genetics, Inc.")</f>
        <v>0</v>
      </c>
      <c r="C1045" t="s">
        <v>1817</v>
      </c>
      <c r="D1045">
        <v>20.76</v>
      </c>
      <c r="E1045">
        <v>0</v>
      </c>
      <c r="F1045" t="s">
        <v>1812</v>
      </c>
      <c r="G1045" t="s">
        <v>1812</v>
      </c>
      <c r="H1045">
        <v>0</v>
      </c>
      <c r="I1045">
        <v>1693.085142</v>
      </c>
      <c r="J1045" t="s">
        <v>1812</v>
      </c>
      <c r="K1045">
        <v>-0</v>
      </c>
      <c r="L1045">
        <v>1.411262904317545</v>
      </c>
      <c r="M1045">
        <v>28.18</v>
      </c>
      <c r="N1045">
        <v>13.92</v>
      </c>
    </row>
    <row r="1046" spans="1:14">
      <c r="A1046" s="1" t="s">
        <v>1058</v>
      </c>
      <c r="B1046">
        <f>HYPERLINK("https://www.suredividend.com/sure-analysis-research-database/","PLAYSTUDIOS Inc")</f>
        <v>0</v>
      </c>
      <c r="C1046" t="s">
        <v>1812</v>
      </c>
      <c r="D1046">
        <v>4.61</v>
      </c>
      <c r="E1046">
        <v>0</v>
      </c>
      <c r="F1046" t="s">
        <v>1812</v>
      </c>
      <c r="G1046" t="s">
        <v>1812</v>
      </c>
      <c r="H1046">
        <v>0</v>
      </c>
      <c r="I1046">
        <v>533.01127</v>
      </c>
      <c r="J1046">
        <v>0</v>
      </c>
      <c r="K1046" t="s">
        <v>1812</v>
      </c>
      <c r="L1046">
        <v>1.258094040266484</v>
      </c>
      <c r="M1046">
        <v>5.01</v>
      </c>
      <c r="N1046">
        <v>3.24</v>
      </c>
    </row>
    <row r="1047" spans="1:14">
      <c r="A1047" s="1" t="s">
        <v>1059</v>
      </c>
      <c r="B1047">
        <f>HYPERLINK("https://www.suredividend.com/sure-analysis-research-database/","MYR Group Inc")</f>
        <v>0</v>
      </c>
      <c r="C1047" t="s">
        <v>1813</v>
      </c>
      <c r="D1047">
        <v>143.53</v>
      </c>
      <c r="E1047">
        <v>0</v>
      </c>
      <c r="F1047" t="s">
        <v>1812</v>
      </c>
      <c r="G1047" t="s">
        <v>1812</v>
      </c>
      <c r="H1047">
        <v>0</v>
      </c>
      <c r="I1047">
        <v>2398.319415</v>
      </c>
      <c r="J1047">
        <v>27.11650647317542</v>
      </c>
      <c r="K1047">
        <v>0</v>
      </c>
      <c r="L1047">
        <v>1.017536112359357</v>
      </c>
      <c r="M1047">
        <v>156.63</v>
      </c>
      <c r="N1047">
        <v>76.97</v>
      </c>
    </row>
    <row r="1048" spans="1:14">
      <c r="A1048" s="1" t="s">
        <v>1060</v>
      </c>
      <c r="B1048">
        <f>HYPERLINK("https://www.suredividend.com/sure-analysis-research-database/","N-able Inc")</f>
        <v>0</v>
      </c>
      <c r="C1048" t="s">
        <v>1812</v>
      </c>
      <c r="D1048">
        <v>13.88</v>
      </c>
      <c r="E1048">
        <v>0</v>
      </c>
      <c r="F1048" t="s">
        <v>1812</v>
      </c>
      <c r="G1048" t="s">
        <v>1812</v>
      </c>
      <c r="H1048">
        <v>0</v>
      </c>
      <c r="I1048">
        <v>2526.676974</v>
      </c>
      <c r="J1048">
        <v>166.8324182555299</v>
      </c>
      <c r="K1048">
        <v>0</v>
      </c>
      <c r="L1048">
        <v>1.155183508397391</v>
      </c>
      <c r="M1048">
        <v>15.44</v>
      </c>
      <c r="N1048">
        <v>8.9</v>
      </c>
    </row>
    <row r="1049" spans="1:14">
      <c r="A1049" s="1" t="s">
        <v>1061</v>
      </c>
      <c r="B1049">
        <f>HYPERLINK("https://www.suredividend.com/sure-analysis-research-database/","Duckhorn Portfolio Inc (The)")</f>
        <v>0</v>
      </c>
      <c r="C1049" t="s">
        <v>1812</v>
      </c>
      <c r="D1049">
        <v>12.59</v>
      </c>
      <c r="E1049">
        <v>0</v>
      </c>
      <c r="F1049" t="s">
        <v>1812</v>
      </c>
      <c r="G1049" t="s">
        <v>1812</v>
      </c>
      <c r="H1049">
        <v>0</v>
      </c>
      <c r="I1049">
        <v>1451.54869</v>
      </c>
      <c r="J1049">
        <v>0</v>
      </c>
      <c r="K1049" t="s">
        <v>1812</v>
      </c>
      <c r="L1049">
        <v>0.86468063644997</v>
      </c>
      <c r="M1049">
        <v>19.39</v>
      </c>
      <c r="N1049">
        <v>12.35</v>
      </c>
    </row>
    <row r="1050" spans="1:14">
      <c r="A1050" s="1" t="s">
        <v>1062</v>
      </c>
      <c r="B1050">
        <f>HYPERLINK("https://www.suredividend.com/sure-analysis-research-database/","Inari Medical Inc")</f>
        <v>0</v>
      </c>
      <c r="C1050" t="s">
        <v>1812</v>
      </c>
      <c r="D1050">
        <v>67.63</v>
      </c>
      <c r="E1050">
        <v>0</v>
      </c>
      <c r="F1050" t="s">
        <v>1812</v>
      </c>
      <c r="G1050" t="s">
        <v>1812</v>
      </c>
      <c r="H1050">
        <v>0</v>
      </c>
      <c r="I1050">
        <v>3878.740851</v>
      </c>
      <c r="J1050" t="s">
        <v>1812</v>
      </c>
      <c r="K1050">
        <v>-0</v>
      </c>
      <c r="L1050">
        <v>0.9952035431662811</v>
      </c>
      <c r="M1050">
        <v>86.94</v>
      </c>
      <c r="N1050">
        <v>52.59</v>
      </c>
    </row>
    <row r="1051" spans="1:14">
      <c r="A1051" s="1" t="s">
        <v>1063</v>
      </c>
      <c r="B1051">
        <f>HYPERLINK("https://www.suredividend.com/sure-analysis-research-database/","Nordic American Tankers Ltd")</f>
        <v>0</v>
      </c>
      <c r="C1051" t="s">
        <v>1813</v>
      </c>
      <c r="D1051">
        <v>4.41</v>
      </c>
      <c r="E1051">
        <v>0.083333962488381</v>
      </c>
      <c r="F1051">
        <v>6.5</v>
      </c>
      <c r="G1051">
        <v>0.4962778697388448</v>
      </c>
      <c r="H1051">
        <v>0.367502774573762</v>
      </c>
      <c r="I1051">
        <v>920.792318</v>
      </c>
      <c r="J1051">
        <v>10.34621360075508</v>
      </c>
      <c r="K1051">
        <v>0.8456115383657662</v>
      </c>
      <c r="L1051">
        <v>0.667121273637436</v>
      </c>
      <c r="M1051">
        <v>4.43</v>
      </c>
      <c r="N1051">
        <v>2.11</v>
      </c>
    </row>
    <row r="1052" spans="1:14">
      <c r="A1052" s="1" t="s">
        <v>1064</v>
      </c>
      <c r="B1052">
        <f>HYPERLINK("https://www.suredividend.com/sure-analysis-research-database/","Nature`s Sunshine Products, Inc.")</f>
        <v>0</v>
      </c>
      <c r="C1052" t="s">
        <v>1819</v>
      </c>
      <c r="D1052">
        <v>13.99</v>
      </c>
      <c r="E1052">
        <v>0</v>
      </c>
      <c r="F1052" t="s">
        <v>1812</v>
      </c>
      <c r="G1052" t="s">
        <v>1812</v>
      </c>
      <c r="H1052">
        <v>0</v>
      </c>
      <c r="I1052">
        <v>266.445216</v>
      </c>
      <c r="J1052">
        <v>77.90795788011695</v>
      </c>
      <c r="K1052">
        <v>0</v>
      </c>
      <c r="L1052">
        <v>0.765610250492281</v>
      </c>
      <c r="M1052">
        <v>14.47</v>
      </c>
      <c r="N1052">
        <v>7.93</v>
      </c>
    </row>
    <row r="1053" spans="1:14">
      <c r="A1053" s="1" t="s">
        <v>1065</v>
      </c>
      <c r="B1053">
        <f>HYPERLINK("https://www.suredividend.com/sure-analysis-research-database/","Nautilus Biotechnology Inc")</f>
        <v>0</v>
      </c>
      <c r="C1053" t="s">
        <v>1812</v>
      </c>
      <c r="D1053">
        <v>3.14</v>
      </c>
      <c r="E1053">
        <v>0</v>
      </c>
      <c r="F1053" t="s">
        <v>1812</v>
      </c>
      <c r="G1053" t="s">
        <v>1812</v>
      </c>
      <c r="H1053">
        <v>0</v>
      </c>
      <c r="I1053">
        <v>392.283023</v>
      </c>
      <c r="J1053">
        <v>0</v>
      </c>
      <c r="K1053" t="s">
        <v>1812</v>
      </c>
      <c r="L1053">
        <v>1.608962669780183</v>
      </c>
      <c r="M1053">
        <v>4.65</v>
      </c>
      <c r="N1053">
        <v>1.5</v>
      </c>
    </row>
    <row r="1054" spans="1:14">
      <c r="A1054" s="1" t="s">
        <v>1066</v>
      </c>
      <c r="B1054">
        <f>HYPERLINK("https://www.suredividend.com/sure-analysis-NAVI/","Navient Corp")</f>
        <v>0</v>
      </c>
      <c r="C1054" t="s">
        <v>1815</v>
      </c>
      <c r="D1054">
        <v>18.36</v>
      </c>
      <c r="E1054">
        <v>0.03485838779956427</v>
      </c>
      <c r="F1054">
        <v>0</v>
      </c>
      <c r="G1054">
        <v>0</v>
      </c>
      <c r="H1054">
        <v>0.625638243202672</v>
      </c>
      <c r="I1054">
        <v>2232.610223</v>
      </c>
      <c r="J1054">
        <v>5.769018664186047</v>
      </c>
      <c r="K1054">
        <v>0.2142596723296822</v>
      </c>
      <c r="L1054">
        <v>1.071006211005156</v>
      </c>
      <c r="M1054">
        <v>19.69</v>
      </c>
      <c r="N1054">
        <v>12.38</v>
      </c>
    </row>
    <row r="1055" spans="1:14">
      <c r="A1055" s="1" t="s">
        <v>1067</v>
      </c>
      <c r="B1055">
        <f>HYPERLINK("https://www.suredividend.com/sure-analysis-research-database/","National Bank Holdings Corp")</f>
        <v>0</v>
      </c>
      <c r="C1055" t="s">
        <v>1815</v>
      </c>
      <c r="D1055">
        <v>34.87</v>
      </c>
      <c r="E1055">
        <v>0.028100124558455</v>
      </c>
      <c r="F1055">
        <v>0.1304347826086956</v>
      </c>
      <c r="G1055">
        <v>0.1317983656310018</v>
      </c>
      <c r="H1055">
        <v>0.9798513433533561</v>
      </c>
      <c r="I1055">
        <v>1314.972179</v>
      </c>
      <c r="J1055">
        <v>12.49890386324104</v>
      </c>
      <c r="K1055">
        <v>0.340226160886582</v>
      </c>
      <c r="L1055">
        <v>1.061334822607501</v>
      </c>
      <c r="M1055">
        <v>49.03</v>
      </c>
      <c r="N1055">
        <v>26.26</v>
      </c>
    </row>
    <row r="1056" spans="1:14">
      <c r="A1056" s="1" t="s">
        <v>1068</v>
      </c>
      <c r="B1056">
        <f>HYPERLINK("https://www.suredividend.com/sure-analysis-research-database/","Northeast Bank")</f>
        <v>0</v>
      </c>
      <c r="C1056" t="s">
        <v>1815</v>
      </c>
      <c r="D1056">
        <v>47.45</v>
      </c>
      <c r="E1056">
        <v>0.000842407536271</v>
      </c>
      <c r="F1056" t="s">
        <v>1812</v>
      </c>
      <c r="G1056" t="s">
        <v>1812</v>
      </c>
      <c r="H1056">
        <v>0.03997223759606201</v>
      </c>
      <c r="I1056">
        <v>426.90765</v>
      </c>
      <c r="J1056">
        <v>0</v>
      </c>
      <c r="K1056" t="s">
        <v>1812</v>
      </c>
      <c r="L1056">
        <v>0.644433752688639</v>
      </c>
      <c r="M1056">
        <v>49.18</v>
      </c>
      <c r="N1056">
        <v>33.13</v>
      </c>
    </row>
    <row r="1057" spans="1:14">
      <c r="A1057" s="1" t="s">
        <v>1069</v>
      </c>
      <c r="B1057">
        <f>HYPERLINK("https://www.suredividend.com/sure-analysis-research-database/","Nabors Industries Ltd")</f>
        <v>0</v>
      </c>
      <c r="C1057" t="s">
        <v>1822</v>
      </c>
      <c r="D1057">
        <v>119.75</v>
      </c>
      <c r="E1057">
        <v>0</v>
      </c>
      <c r="F1057" t="s">
        <v>1812</v>
      </c>
      <c r="G1057" t="s">
        <v>1812</v>
      </c>
      <c r="H1057">
        <v>0</v>
      </c>
      <c r="I1057">
        <v>1143.00441</v>
      </c>
      <c r="J1057" t="s">
        <v>1812</v>
      </c>
      <c r="K1057">
        <v>-0</v>
      </c>
      <c r="L1057">
        <v>1.407133869631529</v>
      </c>
      <c r="M1057">
        <v>190.9</v>
      </c>
      <c r="N1057">
        <v>83.05</v>
      </c>
    </row>
    <row r="1058" spans="1:14">
      <c r="A1058" s="1" t="s">
        <v>1070</v>
      </c>
      <c r="B1058">
        <f>HYPERLINK("https://www.suredividend.com/sure-analysis-research-database/","NBT Bancorp. Inc.")</f>
        <v>0</v>
      </c>
      <c r="C1058" t="s">
        <v>1815</v>
      </c>
      <c r="D1058">
        <v>37.15</v>
      </c>
      <c r="E1058">
        <v>0.031717075768918</v>
      </c>
      <c r="F1058">
        <v>0.0714285714285714</v>
      </c>
      <c r="G1058">
        <v>0.03713728933664817</v>
      </c>
      <c r="H1058">
        <v>1.178289364815318</v>
      </c>
      <c r="I1058">
        <v>1593.735</v>
      </c>
      <c r="J1058">
        <v>10.87673261583189</v>
      </c>
      <c r="K1058">
        <v>0.3465556955339171</v>
      </c>
      <c r="L1058">
        <v>0.7584778481562181</v>
      </c>
      <c r="M1058">
        <v>47.18</v>
      </c>
      <c r="N1058">
        <v>27.05</v>
      </c>
    </row>
    <row r="1059" spans="1:14">
      <c r="A1059" s="1" t="s">
        <v>1071</v>
      </c>
      <c r="B1059">
        <f>HYPERLINK("https://www.suredividend.com/sure-analysis-NC/","Nacco Industries Inc.")</f>
        <v>0</v>
      </c>
      <c r="C1059" t="s">
        <v>1822</v>
      </c>
      <c r="D1059">
        <v>33.7</v>
      </c>
      <c r="E1059">
        <v>0.0258160237388724</v>
      </c>
      <c r="F1059">
        <v>0.04819277108433728</v>
      </c>
      <c r="G1059">
        <v>0.05680549653640732</v>
      </c>
      <c r="H1059">
        <v>0.836842662577121</v>
      </c>
      <c r="I1059">
        <v>200.671301</v>
      </c>
      <c r="J1059">
        <v>2.983161393233038</v>
      </c>
      <c r="K1059">
        <v>0.09236673979879922</v>
      </c>
      <c r="L1059">
        <v>1.014271196280368</v>
      </c>
      <c r="M1059">
        <v>60.9</v>
      </c>
      <c r="N1059">
        <v>29.37</v>
      </c>
    </row>
    <row r="1060" spans="1:14">
      <c r="A1060" s="1" t="s">
        <v>1072</v>
      </c>
      <c r="B1060">
        <f>HYPERLINK("https://www.suredividend.com/sure-analysis-research-database/","Noodles &amp; Company")</f>
        <v>0</v>
      </c>
      <c r="C1060" t="s">
        <v>1816</v>
      </c>
      <c r="D1060">
        <v>3.32</v>
      </c>
      <c r="E1060">
        <v>0</v>
      </c>
      <c r="F1060" t="s">
        <v>1812</v>
      </c>
      <c r="G1060" t="s">
        <v>1812</v>
      </c>
      <c r="H1060">
        <v>0</v>
      </c>
      <c r="I1060">
        <v>153.907996</v>
      </c>
      <c r="J1060">
        <v>0</v>
      </c>
      <c r="K1060" t="s">
        <v>1812</v>
      </c>
      <c r="L1060">
        <v>1.378995665464783</v>
      </c>
      <c r="M1060">
        <v>6.55</v>
      </c>
      <c r="N1060">
        <v>3</v>
      </c>
    </row>
    <row r="1061" spans="1:14">
      <c r="A1061" s="1" t="s">
        <v>1073</v>
      </c>
      <c r="B1061">
        <f>HYPERLINK("https://www.suredividend.com/sure-analysis-research-database/","Noble Corp Plc")</f>
        <v>0</v>
      </c>
      <c r="C1061" t="s">
        <v>1822</v>
      </c>
      <c r="D1061">
        <v>52.68</v>
      </c>
      <c r="E1061">
        <v>0</v>
      </c>
      <c r="F1061" t="s">
        <v>1812</v>
      </c>
      <c r="G1061" t="s">
        <v>1812</v>
      </c>
      <c r="H1061">
        <v>0</v>
      </c>
      <c r="I1061">
        <v>7302.989944</v>
      </c>
      <c r="J1061">
        <v>0</v>
      </c>
      <c r="K1061" t="s">
        <v>1812</v>
      </c>
      <c r="L1061">
        <v>0.890932740494753</v>
      </c>
      <c r="M1061">
        <v>53.12</v>
      </c>
      <c r="N1061">
        <v>27.63</v>
      </c>
    </row>
    <row r="1062" spans="1:14">
      <c r="A1062" s="1" t="s">
        <v>1074</v>
      </c>
      <c r="B1062">
        <f>HYPERLINK("https://www.suredividend.com/sure-analysis-research-database/","Neogenomics Inc.")</f>
        <v>0</v>
      </c>
      <c r="C1062" t="s">
        <v>1817</v>
      </c>
      <c r="D1062">
        <v>15.93</v>
      </c>
      <c r="E1062">
        <v>0</v>
      </c>
      <c r="F1062" t="s">
        <v>1812</v>
      </c>
      <c r="G1062" t="s">
        <v>1812</v>
      </c>
      <c r="H1062">
        <v>0</v>
      </c>
      <c r="I1062">
        <v>2032.319738</v>
      </c>
      <c r="J1062" t="s">
        <v>1812</v>
      </c>
      <c r="K1062">
        <v>-0</v>
      </c>
      <c r="L1062">
        <v>1.856262296338639</v>
      </c>
      <c r="M1062">
        <v>20.54</v>
      </c>
      <c r="N1062">
        <v>6</v>
      </c>
    </row>
    <row r="1063" spans="1:14">
      <c r="A1063" s="1" t="s">
        <v>1075</v>
      </c>
      <c r="B1063">
        <f>HYPERLINK("https://www.suredividend.com/sure-analysis-research-database/","Neogen Corp.")</f>
        <v>0</v>
      </c>
      <c r="C1063" t="s">
        <v>1817</v>
      </c>
      <c r="D1063">
        <v>22.42</v>
      </c>
      <c r="E1063">
        <v>0</v>
      </c>
      <c r="F1063" t="s">
        <v>1812</v>
      </c>
      <c r="G1063" t="s">
        <v>1812</v>
      </c>
      <c r="H1063">
        <v>0</v>
      </c>
      <c r="I1063">
        <v>4847.670807</v>
      </c>
      <c r="J1063" t="s">
        <v>1812</v>
      </c>
      <c r="K1063">
        <v>-0</v>
      </c>
      <c r="L1063">
        <v>1.217834946664326</v>
      </c>
      <c r="M1063">
        <v>23.33</v>
      </c>
      <c r="N1063">
        <v>10.49</v>
      </c>
    </row>
    <row r="1064" spans="1:14">
      <c r="A1064" s="1" t="s">
        <v>1076</v>
      </c>
      <c r="B1064">
        <f>HYPERLINK("https://www.suredividend.com/sure-analysis-research-database/","Eneti Inc")</f>
        <v>0</v>
      </c>
      <c r="C1064" t="s">
        <v>1812</v>
      </c>
      <c r="D1064">
        <v>12.08</v>
      </c>
      <c r="E1064">
        <v>0.003305705417115</v>
      </c>
      <c r="F1064">
        <v>0</v>
      </c>
      <c r="G1064">
        <v>-0.1294494367038759</v>
      </c>
      <c r="H1064">
        <v>0.03993292143876</v>
      </c>
      <c r="I1064">
        <v>466.857198</v>
      </c>
      <c r="J1064">
        <v>5.562194075344914</v>
      </c>
      <c r="K1064">
        <v>0.01798780244989189</v>
      </c>
      <c r="L1064">
        <v>0.613897407807887</v>
      </c>
      <c r="M1064">
        <v>13.54</v>
      </c>
      <c r="N1064">
        <v>6.6</v>
      </c>
    </row>
    <row r="1065" spans="1:14">
      <c r="A1065" s="1" t="s">
        <v>1077</v>
      </c>
      <c r="B1065">
        <f>HYPERLINK("https://www.suredividend.com/sure-analysis-research-database/","NexTier Oilfield Solutions Inc")</f>
        <v>0</v>
      </c>
      <c r="C1065" t="s">
        <v>1822</v>
      </c>
      <c r="D1065">
        <v>11.88</v>
      </c>
      <c r="E1065">
        <v>0</v>
      </c>
      <c r="F1065" t="s">
        <v>1812</v>
      </c>
      <c r="G1065" t="s">
        <v>1812</v>
      </c>
      <c r="H1065">
        <v>0</v>
      </c>
      <c r="I1065">
        <v>2715.206848</v>
      </c>
      <c r="J1065">
        <v>4.230770312694772</v>
      </c>
      <c r="K1065">
        <v>0</v>
      </c>
      <c r="L1065">
        <v>1.366366719037086</v>
      </c>
      <c r="M1065">
        <v>11.99</v>
      </c>
      <c r="N1065">
        <v>6.66</v>
      </c>
    </row>
    <row r="1066" spans="1:14">
      <c r="A1066" s="1" t="s">
        <v>1078</v>
      </c>
      <c r="B1066">
        <f>HYPERLINK("https://www.suredividend.com/sure-analysis-research-database/","NextDecade Corporation")</f>
        <v>0</v>
      </c>
      <c r="C1066" t="s">
        <v>1822</v>
      </c>
      <c r="D1066">
        <v>5.52</v>
      </c>
      <c r="E1066">
        <v>0</v>
      </c>
      <c r="F1066" t="s">
        <v>1812</v>
      </c>
      <c r="G1066" t="s">
        <v>1812</v>
      </c>
      <c r="H1066">
        <v>0</v>
      </c>
      <c r="I1066">
        <v>831.127759</v>
      </c>
      <c r="J1066">
        <v>0</v>
      </c>
      <c r="K1066" t="s">
        <v>1812</v>
      </c>
      <c r="L1066">
        <v>1.214015815620022</v>
      </c>
      <c r="M1066">
        <v>8.949999999999999</v>
      </c>
      <c r="N1066">
        <v>3.93</v>
      </c>
    </row>
    <row r="1067" spans="1:14">
      <c r="A1067" s="1" t="s">
        <v>1079</v>
      </c>
      <c r="B1067">
        <f>HYPERLINK("https://www.suredividend.com/sure-analysis-research-database/","Northfield Bancorp Inc")</f>
        <v>0</v>
      </c>
      <c r="C1067" t="s">
        <v>1815</v>
      </c>
      <c r="D1067">
        <v>11.87</v>
      </c>
      <c r="E1067">
        <v>0.042645921127142</v>
      </c>
      <c r="F1067">
        <v>0</v>
      </c>
      <c r="G1067">
        <v>0.05387395206178347</v>
      </c>
      <c r="H1067">
        <v>0.506207083779184</v>
      </c>
      <c r="I1067">
        <v>552.313082</v>
      </c>
      <c r="J1067">
        <v>9.409241763743845</v>
      </c>
      <c r="K1067">
        <v>0.3954742842024875</v>
      </c>
      <c r="L1067">
        <v>0.57319801263402</v>
      </c>
      <c r="M1067">
        <v>15.53</v>
      </c>
      <c r="N1067">
        <v>8.880000000000001</v>
      </c>
    </row>
    <row r="1068" spans="1:14">
      <c r="A1068" s="1" t="s">
        <v>1080</v>
      </c>
      <c r="B1068">
        <f>HYPERLINK("https://www.suredividend.com/sure-analysis-research-database/","Novagold Resources Inc.")</f>
        <v>0</v>
      </c>
      <c r="C1068" t="s">
        <v>1823</v>
      </c>
      <c r="D1068">
        <v>4.28</v>
      </c>
      <c r="E1068">
        <v>0</v>
      </c>
      <c r="F1068" t="s">
        <v>1812</v>
      </c>
      <c r="G1068" t="s">
        <v>1812</v>
      </c>
      <c r="H1068">
        <v>0</v>
      </c>
      <c r="I1068">
        <v>1430.087969</v>
      </c>
      <c r="J1068">
        <v>0</v>
      </c>
      <c r="K1068" t="s">
        <v>1812</v>
      </c>
      <c r="L1068">
        <v>0.980056495674096</v>
      </c>
      <c r="M1068">
        <v>6.98</v>
      </c>
      <c r="N1068">
        <v>3.84</v>
      </c>
    </row>
    <row r="1069" spans="1:14">
      <c r="A1069" s="1" t="s">
        <v>1081</v>
      </c>
      <c r="B1069">
        <f>HYPERLINK("https://www.suredividend.com/sure-analysis-research-database/","Ngm Biopharmaceuticals Inc")</f>
        <v>0</v>
      </c>
      <c r="C1069" t="s">
        <v>1817</v>
      </c>
      <c r="D1069">
        <v>2.25</v>
      </c>
      <c r="E1069">
        <v>0</v>
      </c>
      <c r="F1069" t="s">
        <v>1812</v>
      </c>
      <c r="G1069" t="s">
        <v>1812</v>
      </c>
      <c r="H1069">
        <v>0</v>
      </c>
      <c r="I1069">
        <v>185.307545</v>
      </c>
      <c r="J1069">
        <v>0</v>
      </c>
      <c r="K1069" t="s">
        <v>1812</v>
      </c>
      <c r="L1069">
        <v>0.8738781763629251</v>
      </c>
      <c r="M1069">
        <v>18.25</v>
      </c>
      <c r="N1069">
        <v>2.09</v>
      </c>
    </row>
    <row r="1070" spans="1:14">
      <c r="A1070" s="1" t="s">
        <v>1082</v>
      </c>
      <c r="B1070">
        <f>HYPERLINK("https://www.suredividend.com/sure-analysis-research-database/","NeoGames SA")</f>
        <v>0</v>
      </c>
      <c r="C1070" t="s">
        <v>1812</v>
      </c>
      <c r="D1070">
        <v>27</v>
      </c>
      <c r="E1070">
        <v>0</v>
      </c>
      <c r="F1070" t="s">
        <v>1812</v>
      </c>
      <c r="G1070" t="s">
        <v>1812</v>
      </c>
      <c r="H1070">
        <v>0</v>
      </c>
      <c r="I1070">
        <v>921.858354</v>
      </c>
      <c r="J1070">
        <v>0</v>
      </c>
      <c r="K1070" t="s">
        <v>1812</v>
      </c>
      <c r="L1070">
        <v>1.392309548751938</v>
      </c>
      <c r="M1070">
        <v>27.77</v>
      </c>
      <c r="N1070">
        <v>10.85</v>
      </c>
    </row>
    <row r="1071" spans="1:14">
      <c r="A1071" s="1" t="s">
        <v>1083</v>
      </c>
      <c r="B1071">
        <f>HYPERLINK("https://www.suredividend.com/sure-analysis-research-database/","Natural Grocers by Vitamin Cottage Inc")</f>
        <v>0</v>
      </c>
      <c r="C1071" t="s">
        <v>1819</v>
      </c>
      <c r="D1071">
        <v>12.24</v>
      </c>
      <c r="E1071">
        <v>0.032323209535282</v>
      </c>
      <c r="F1071" t="s">
        <v>1812</v>
      </c>
      <c r="G1071" t="s">
        <v>1812</v>
      </c>
      <c r="H1071">
        <v>0.395636084711861</v>
      </c>
      <c r="I1071">
        <v>278.270243</v>
      </c>
      <c r="J1071">
        <v>16.98426777832031</v>
      </c>
      <c r="K1071">
        <v>0.5513323365549903</v>
      </c>
      <c r="L1071">
        <v>0.854628133987256</v>
      </c>
      <c r="M1071">
        <v>16.67</v>
      </c>
      <c r="N1071">
        <v>7.86</v>
      </c>
    </row>
    <row r="1072" spans="1:14">
      <c r="A1072" s="1" t="s">
        <v>1084</v>
      </c>
      <c r="B1072">
        <f>HYPERLINK("https://www.suredividend.com/sure-analysis-research-database/","Ingevity Corp")</f>
        <v>0</v>
      </c>
      <c r="C1072" t="s">
        <v>1823</v>
      </c>
      <c r="D1072">
        <v>55.38</v>
      </c>
      <c r="E1072">
        <v>0</v>
      </c>
      <c r="F1072" t="s">
        <v>1812</v>
      </c>
      <c r="G1072" t="s">
        <v>1812</v>
      </c>
      <c r="H1072">
        <v>0</v>
      </c>
      <c r="I1072">
        <v>2012.020748</v>
      </c>
      <c r="J1072">
        <v>9.985214632258064</v>
      </c>
      <c r="K1072">
        <v>0</v>
      </c>
      <c r="L1072">
        <v>1.201177205367991</v>
      </c>
      <c r="M1072">
        <v>90.81</v>
      </c>
      <c r="N1072">
        <v>46.52</v>
      </c>
    </row>
    <row r="1073" spans="1:14">
      <c r="A1073" s="1" t="s">
        <v>1085</v>
      </c>
      <c r="B1073">
        <f>HYPERLINK("https://www.suredividend.com/sure-analysis-NHC/","National Healthcare Corp.")</f>
        <v>0</v>
      </c>
      <c r="C1073" t="s">
        <v>1817</v>
      </c>
      <c r="D1073">
        <v>59.78</v>
      </c>
      <c r="E1073">
        <v>0.03947808631649381</v>
      </c>
      <c r="F1073">
        <v>0.0350877192982455</v>
      </c>
      <c r="G1073">
        <v>0.03365688434519343</v>
      </c>
      <c r="H1073">
        <v>2.251128657853887</v>
      </c>
      <c r="I1073">
        <v>915.856083</v>
      </c>
      <c r="J1073">
        <v>48.58652957771884</v>
      </c>
      <c r="K1073">
        <v>1.845187424470399</v>
      </c>
      <c r="L1073">
        <v>0.5294806497833721</v>
      </c>
      <c r="M1073">
        <v>67.53</v>
      </c>
      <c r="N1073">
        <v>50.07</v>
      </c>
    </row>
    <row r="1074" spans="1:14">
      <c r="A1074" s="1" t="s">
        <v>1086</v>
      </c>
      <c r="B1074">
        <f>HYPERLINK("https://www.suredividend.com/sure-analysis-NHI/","National Health Investors, Inc.")</f>
        <v>0</v>
      </c>
      <c r="C1074" t="s">
        <v>1814</v>
      </c>
      <c r="D1074">
        <v>54.99</v>
      </c>
      <c r="E1074">
        <v>0.06546644844517185</v>
      </c>
      <c r="F1074">
        <v>0</v>
      </c>
      <c r="G1074">
        <v>-0.0208516376390232</v>
      </c>
      <c r="H1074">
        <v>3.50748183880295</v>
      </c>
      <c r="I1074">
        <v>2385.946923</v>
      </c>
      <c r="J1074">
        <v>25.79736747015829</v>
      </c>
      <c r="K1074">
        <v>1.678220975503804</v>
      </c>
      <c r="L1074">
        <v>0.6479154684331261</v>
      </c>
      <c r="M1074">
        <v>62.73</v>
      </c>
      <c r="N1074">
        <v>46.38</v>
      </c>
    </row>
    <row r="1075" spans="1:14">
      <c r="A1075" s="1" t="s">
        <v>1087</v>
      </c>
      <c r="B1075">
        <f>HYPERLINK("https://www.suredividend.com/sure-analysis-research-database/","Nicolet Bankshares Inc.")</f>
        <v>0</v>
      </c>
      <c r="C1075" t="s">
        <v>1812</v>
      </c>
      <c r="D1075">
        <v>84.53</v>
      </c>
      <c r="E1075">
        <v>0.002957529871051</v>
      </c>
      <c r="F1075" t="s">
        <v>1812</v>
      </c>
      <c r="G1075" t="s">
        <v>1812</v>
      </c>
      <c r="H1075">
        <v>0.25</v>
      </c>
      <c r="I1075">
        <v>1243.99555</v>
      </c>
      <c r="J1075">
        <v>20.3273889748031</v>
      </c>
      <c r="K1075">
        <v>0.05924170616113744</v>
      </c>
      <c r="L1075">
        <v>0.923666329026503</v>
      </c>
      <c r="M1075">
        <v>86.15000000000001</v>
      </c>
      <c r="N1075">
        <v>51.56</v>
      </c>
    </row>
    <row r="1076" spans="1:14">
      <c r="A1076" s="1" t="s">
        <v>1088</v>
      </c>
      <c r="B1076">
        <f>HYPERLINK("https://www.suredividend.com/sure-analysis-NJR/","New Jersey Resources Corporation")</f>
        <v>0</v>
      </c>
      <c r="C1076" t="s">
        <v>1820</v>
      </c>
      <c r="D1076">
        <v>44.3</v>
      </c>
      <c r="E1076">
        <v>0.03521444695259594</v>
      </c>
      <c r="F1076">
        <v>0.07586206896551717</v>
      </c>
      <c r="G1076">
        <v>0.05922384104881218</v>
      </c>
      <c r="H1076">
        <v>1.541726766093866</v>
      </c>
      <c r="I1076">
        <v>4295.525401</v>
      </c>
      <c r="J1076">
        <v>14.62341366704909</v>
      </c>
      <c r="K1076">
        <v>0.5088207148824641</v>
      </c>
      <c r="L1076">
        <v>0.730295247388232</v>
      </c>
      <c r="M1076">
        <v>55.39</v>
      </c>
      <c r="N1076">
        <v>37.19</v>
      </c>
    </row>
    <row r="1077" spans="1:14">
      <c r="A1077" s="1" t="s">
        <v>1089</v>
      </c>
      <c r="B1077">
        <f>HYPERLINK("https://www.suredividend.com/sure-analysis-research-database/","Nikola Corp")</f>
        <v>0</v>
      </c>
      <c r="C1077" t="s">
        <v>1812</v>
      </c>
      <c r="D1077">
        <v>3.395</v>
      </c>
      <c r="E1077">
        <v>0</v>
      </c>
      <c r="F1077" t="s">
        <v>1812</v>
      </c>
      <c r="G1077" t="s">
        <v>1812</v>
      </c>
      <c r="H1077">
        <v>0</v>
      </c>
      <c r="I1077">
        <v>2356.439675</v>
      </c>
      <c r="J1077" t="s">
        <v>1812</v>
      </c>
      <c r="K1077">
        <v>-0</v>
      </c>
      <c r="L1077">
        <v>2.042641062732403</v>
      </c>
      <c r="M1077">
        <v>8.970000000000001</v>
      </c>
      <c r="N1077">
        <v>0.521</v>
      </c>
    </row>
    <row r="1078" spans="1:14">
      <c r="A1078" s="1" t="s">
        <v>1090</v>
      </c>
      <c r="B1078">
        <f>HYPERLINK("https://www.suredividend.com/sure-analysis-research-database/","Nektar Therapeutics")</f>
        <v>0</v>
      </c>
      <c r="C1078" t="s">
        <v>1817</v>
      </c>
      <c r="D1078">
        <v>0.5164</v>
      </c>
      <c r="E1078">
        <v>0</v>
      </c>
      <c r="F1078" t="s">
        <v>1812</v>
      </c>
      <c r="G1078" t="s">
        <v>1812</v>
      </c>
      <c r="H1078">
        <v>0</v>
      </c>
      <c r="I1078">
        <v>97.721035</v>
      </c>
      <c r="J1078" t="s">
        <v>1812</v>
      </c>
      <c r="K1078">
        <v>-0</v>
      </c>
      <c r="L1078">
        <v>1.57442244858674</v>
      </c>
      <c r="M1078">
        <v>5.18</v>
      </c>
      <c r="N1078">
        <v>0.5051</v>
      </c>
    </row>
    <row r="1079" spans="1:14">
      <c r="A1079" s="1" t="s">
        <v>1091</v>
      </c>
      <c r="B1079">
        <f>HYPERLINK("https://www.suredividend.com/sure-analysis-research-database/","Nkarta Inc")</f>
        <v>0</v>
      </c>
      <c r="C1079" t="s">
        <v>1812</v>
      </c>
      <c r="D1079">
        <v>2.21</v>
      </c>
      <c r="E1079">
        <v>0</v>
      </c>
      <c r="F1079" t="s">
        <v>1812</v>
      </c>
      <c r="G1079" t="s">
        <v>1812</v>
      </c>
      <c r="H1079">
        <v>0</v>
      </c>
      <c r="I1079">
        <v>108.146191</v>
      </c>
      <c r="J1079">
        <v>0</v>
      </c>
      <c r="K1079" t="s">
        <v>1812</v>
      </c>
      <c r="L1079">
        <v>1.118169306688267</v>
      </c>
      <c r="M1079">
        <v>18.48</v>
      </c>
      <c r="N1079">
        <v>1.91</v>
      </c>
    </row>
    <row r="1080" spans="1:14">
      <c r="A1080" s="1" t="s">
        <v>1092</v>
      </c>
      <c r="B1080">
        <f>HYPERLINK("https://www.suredividend.com/sure-analysis-research-database/","NL Industries, Inc.")</f>
        <v>0</v>
      </c>
      <c r="C1080" t="s">
        <v>1813</v>
      </c>
      <c r="D1080">
        <v>5.71</v>
      </c>
      <c r="E1080">
        <v>0.04823538067985701</v>
      </c>
      <c r="F1080" t="s">
        <v>1812</v>
      </c>
      <c r="G1080" t="s">
        <v>1812</v>
      </c>
      <c r="H1080">
        <v>0.275424023681988</v>
      </c>
      <c r="I1080">
        <v>278.839194</v>
      </c>
      <c r="J1080">
        <v>32.53286590129506</v>
      </c>
      <c r="K1080">
        <v>1.568473938963485</v>
      </c>
      <c r="L1080">
        <v>1.015423952914255</v>
      </c>
      <c r="M1080">
        <v>10.29</v>
      </c>
      <c r="N1080">
        <v>5.32</v>
      </c>
    </row>
    <row r="1081" spans="1:14">
      <c r="A1081" s="1" t="s">
        <v>1093</v>
      </c>
      <c r="B1081">
        <f>HYPERLINK("https://www.suredividend.com/sure-analysis-research-database/","NMI Holdings Inc")</f>
        <v>0</v>
      </c>
      <c r="C1081" t="s">
        <v>1815</v>
      </c>
      <c r="D1081">
        <v>29.2</v>
      </c>
      <c r="E1081">
        <v>0</v>
      </c>
      <c r="F1081" t="s">
        <v>1812</v>
      </c>
      <c r="G1081" t="s">
        <v>1812</v>
      </c>
      <c r="H1081">
        <v>0</v>
      </c>
      <c r="I1081">
        <v>2402.5979</v>
      </c>
      <c r="J1081">
        <v>8.017211358782701</v>
      </c>
      <c r="K1081">
        <v>0</v>
      </c>
      <c r="L1081">
        <v>0.899942798588612</v>
      </c>
      <c r="M1081">
        <v>29.85</v>
      </c>
      <c r="N1081">
        <v>19.02</v>
      </c>
    </row>
    <row r="1082" spans="1:14">
      <c r="A1082" s="1" t="s">
        <v>1094</v>
      </c>
      <c r="B1082">
        <f>HYPERLINK("https://www.suredividend.com/sure-analysis-research-database/","Newmark Group Inc")</f>
        <v>0</v>
      </c>
      <c r="C1082" t="s">
        <v>1814</v>
      </c>
      <c r="D1082">
        <v>7.6</v>
      </c>
      <c r="E1082">
        <v>0.015592406833469</v>
      </c>
      <c r="F1082">
        <v>0</v>
      </c>
      <c r="G1082">
        <v>-0.1972584382397693</v>
      </c>
      <c r="H1082">
        <v>0.118502291934368</v>
      </c>
      <c r="I1082">
        <v>1164.456846</v>
      </c>
      <c r="J1082">
        <v>16.04752898309055</v>
      </c>
      <c r="K1082">
        <v>0.367676983972597</v>
      </c>
      <c r="L1082">
        <v>1.383130905619889</v>
      </c>
      <c r="M1082">
        <v>11.1</v>
      </c>
      <c r="N1082">
        <v>5.01</v>
      </c>
    </row>
    <row r="1083" spans="1:14">
      <c r="A1083" s="1" t="s">
        <v>1095</v>
      </c>
      <c r="B1083">
        <f>HYPERLINK("https://www.suredividend.com/sure-analysis-research-database/","NextNav Inc")</f>
        <v>0</v>
      </c>
      <c r="C1083" t="s">
        <v>1812</v>
      </c>
      <c r="D1083">
        <v>3.37</v>
      </c>
      <c r="E1083">
        <v>0</v>
      </c>
      <c r="F1083" t="s">
        <v>1812</v>
      </c>
      <c r="G1083" t="s">
        <v>1812</v>
      </c>
      <c r="H1083">
        <v>0</v>
      </c>
      <c r="I1083">
        <v>366.090656</v>
      </c>
      <c r="J1083">
        <v>0</v>
      </c>
      <c r="K1083" t="s">
        <v>1812</v>
      </c>
      <c r="L1083">
        <v>1.086306834071343</v>
      </c>
      <c r="M1083">
        <v>3.85</v>
      </c>
      <c r="N1083">
        <v>1.59</v>
      </c>
    </row>
    <row r="1084" spans="1:14">
      <c r="A1084" s="1" t="s">
        <v>1096</v>
      </c>
      <c r="B1084">
        <f>HYPERLINK("https://www.suredividend.com/sure-analysis-research-database/","Nelnet Inc")</f>
        <v>0</v>
      </c>
      <c r="C1084" t="s">
        <v>1815</v>
      </c>
      <c r="D1084">
        <v>98.87</v>
      </c>
      <c r="E1084">
        <v>0.010274743492535</v>
      </c>
      <c r="F1084">
        <v>0.08333333333333348</v>
      </c>
      <c r="G1084">
        <v>0.1019722877214801</v>
      </c>
      <c r="H1084">
        <v>1.015863889106971</v>
      </c>
      <c r="I1084">
        <v>2631.980897</v>
      </c>
      <c r="J1084">
        <v>10.67113015524337</v>
      </c>
      <c r="K1084">
        <v>0.1534537596838325</v>
      </c>
      <c r="L1084">
        <v>0.5713426914465211</v>
      </c>
      <c r="M1084">
        <v>101.6</v>
      </c>
      <c r="N1084">
        <v>77.77</v>
      </c>
    </row>
    <row r="1085" spans="1:14">
      <c r="A1085" s="1" t="s">
        <v>1097</v>
      </c>
      <c r="B1085">
        <f>HYPERLINK("https://www.suredividend.com/sure-analysis-research-database/","Nano X Imaging Ltd")</f>
        <v>0</v>
      </c>
      <c r="C1085" t="s">
        <v>1812</v>
      </c>
      <c r="D1085">
        <v>11.65</v>
      </c>
      <c r="E1085">
        <v>0</v>
      </c>
      <c r="F1085" t="s">
        <v>1812</v>
      </c>
      <c r="G1085" t="s">
        <v>1812</v>
      </c>
      <c r="H1085">
        <v>0</v>
      </c>
      <c r="I1085">
        <v>642.501519</v>
      </c>
      <c r="J1085">
        <v>0</v>
      </c>
      <c r="K1085" t="s">
        <v>1812</v>
      </c>
      <c r="L1085">
        <v>1.844405790473523</v>
      </c>
      <c r="M1085">
        <v>22.69</v>
      </c>
      <c r="N1085">
        <v>5.31</v>
      </c>
    </row>
    <row r="1086" spans="1:14">
      <c r="A1086" s="1" t="s">
        <v>1098</v>
      </c>
      <c r="B1086">
        <f>HYPERLINK("https://www.suredividend.com/sure-analysis-research-database/","NI Holdings Inc")</f>
        <v>0</v>
      </c>
      <c r="C1086" t="s">
        <v>1815</v>
      </c>
      <c r="D1086">
        <v>13.33</v>
      </c>
      <c r="E1086">
        <v>0</v>
      </c>
      <c r="F1086" t="s">
        <v>1812</v>
      </c>
      <c r="G1086" t="s">
        <v>1812</v>
      </c>
      <c r="H1086">
        <v>0</v>
      </c>
      <c r="I1086">
        <v>280.295255</v>
      </c>
      <c r="J1086">
        <v>0</v>
      </c>
      <c r="K1086" t="s">
        <v>1812</v>
      </c>
      <c r="L1086">
        <v>0.5744669137659291</v>
      </c>
      <c r="M1086">
        <v>15.4</v>
      </c>
      <c r="N1086">
        <v>12.06</v>
      </c>
    </row>
    <row r="1087" spans="1:14">
      <c r="A1087" s="1" t="s">
        <v>1099</v>
      </c>
      <c r="B1087">
        <f>HYPERLINK("https://www.suredividend.com/sure-analysis-research-database/","Northern Oil and Gas Inc.")</f>
        <v>0</v>
      </c>
      <c r="C1087" t="s">
        <v>1822</v>
      </c>
      <c r="D1087">
        <v>41.59</v>
      </c>
      <c r="E1087">
        <v>0.029850377689674</v>
      </c>
      <c r="F1087" t="s">
        <v>1812</v>
      </c>
      <c r="G1087" t="s">
        <v>1812</v>
      </c>
      <c r="H1087">
        <v>1.241477208113577</v>
      </c>
      <c r="I1087">
        <v>3827.121075</v>
      </c>
      <c r="J1087">
        <v>2.96118706385965</v>
      </c>
      <c r="K1087">
        <v>0.08532489402842452</v>
      </c>
      <c r="L1087">
        <v>1.196780372000838</v>
      </c>
      <c r="M1087">
        <v>42.17</v>
      </c>
      <c r="N1087">
        <v>23.21</v>
      </c>
    </row>
    <row r="1088" spans="1:14">
      <c r="A1088" s="1" t="s">
        <v>1100</v>
      </c>
      <c r="B1088">
        <f>HYPERLINK("https://www.suredividend.com/sure-analysis-research-database/","Inotiv Inc")</f>
        <v>0</v>
      </c>
      <c r="C1088" t="s">
        <v>1812</v>
      </c>
      <c r="D1088">
        <v>7.06</v>
      </c>
      <c r="E1088">
        <v>0</v>
      </c>
      <c r="F1088" t="s">
        <v>1812</v>
      </c>
      <c r="G1088" t="s">
        <v>1812</v>
      </c>
      <c r="H1088">
        <v>0</v>
      </c>
      <c r="I1088">
        <v>181.865438</v>
      </c>
      <c r="J1088">
        <v>0</v>
      </c>
      <c r="K1088" t="s">
        <v>1812</v>
      </c>
      <c r="L1088">
        <v>1.896153212658042</v>
      </c>
      <c r="M1088">
        <v>27.22</v>
      </c>
      <c r="N1088">
        <v>3.65</v>
      </c>
    </row>
    <row r="1089" spans="1:14">
      <c r="A1089" s="1" t="s">
        <v>1101</v>
      </c>
      <c r="B1089">
        <f>HYPERLINK("https://www.suredividend.com/sure-analysis-research-database/","Sunnova Energy International Inc")</f>
        <v>0</v>
      </c>
      <c r="C1089" t="s">
        <v>1818</v>
      </c>
      <c r="D1089">
        <v>16.54</v>
      </c>
      <c r="E1089">
        <v>0</v>
      </c>
      <c r="F1089" t="s">
        <v>1812</v>
      </c>
      <c r="G1089" t="s">
        <v>1812</v>
      </c>
      <c r="H1089">
        <v>0</v>
      </c>
      <c r="I1089">
        <v>1925.273218</v>
      </c>
      <c r="J1089">
        <v>0</v>
      </c>
      <c r="K1089" t="s">
        <v>1812</v>
      </c>
      <c r="L1089">
        <v>2.015719884745505</v>
      </c>
      <c r="M1089">
        <v>31.47</v>
      </c>
      <c r="N1089">
        <v>12.46</v>
      </c>
    </row>
    <row r="1090" spans="1:14">
      <c r="A1090" s="1" t="s">
        <v>1102</v>
      </c>
      <c r="B1090">
        <f>HYPERLINK("https://www.suredividend.com/sure-analysis-research-database/","Novanta Inc")</f>
        <v>0</v>
      </c>
      <c r="C1090" t="s">
        <v>1818</v>
      </c>
      <c r="D1090">
        <v>174.78</v>
      </c>
      <c r="E1090">
        <v>0</v>
      </c>
      <c r="F1090" t="s">
        <v>1812</v>
      </c>
      <c r="G1090" t="s">
        <v>1812</v>
      </c>
      <c r="H1090">
        <v>0</v>
      </c>
      <c r="I1090">
        <v>6258.100321</v>
      </c>
      <c r="J1090">
        <v>85.14885600685751</v>
      </c>
      <c r="K1090">
        <v>0</v>
      </c>
      <c r="L1090">
        <v>1.487108359397907</v>
      </c>
      <c r="M1090">
        <v>187.61</v>
      </c>
      <c r="N1090">
        <v>111.02</v>
      </c>
    </row>
    <row r="1091" spans="1:14">
      <c r="A1091" s="1" t="s">
        <v>1103</v>
      </c>
      <c r="B1091">
        <f>HYPERLINK("https://www.suredividend.com/sure-analysis-research-database/","National Presto Industries, Inc.")</f>
        <v>0</v>
      </c>
      <c r="C1091" t="s">
        <v>1813</v>
      </c>
      <c r="D1091">
        <v>79.63</v>
      </c>
      <c r="E1091">
        <v>0.012558081125204</v>
      </c>
      <c r="F1091" t="s">
        <v>1812</v>
      </c>
      <c r="G1091" t="s">
        <v>1812</v>
      </c>
      <c r="H1091">
        <v>1</v>
      </c>
      <c r="I1091">
        <v>563.519771</v>
      </c>
      <c r="J1091">
        <v>21.13569015865276</v>
      </c>
      <c r="K1091">
        <v>0.2659574468085106</v>
      </c>
      <c r="L1091">
        <v>0.7309213064880911</v>
      </c>
      <c r="M1091">
        <v>82.59</v>
      </c>
      <c r="N1091">
        <v>60.56</v>
      </c>
    </row>
    <row r="1092" spans="1:14">
      <c r="A1092" s="1" t="s">
        <v>1104</v>
      </c>
      <c r="B1092">
        <f>HYPERLINK("https://www.suredividend.com/sure-analysis-research-database/","EnPro Industries Inc")</f>
        <v>0</v>
      </c>
      <c r="C1092" t="s">
        <v>1813</v>
      </c>
      <c r="D1092">
        <v>138.05</v>
      </c>
      <c r="E1092">
        <v>0.008242510750307</v>
      </c>
      <c r="F1092">
        <v>0.03571428571428559</v>
      </c>
      <c r="G1092">
        <v>0.03857377308425858</v>
      </c>
      <c r="H1092">
        <v>1.137878609080009</v>
      </c>
      <c r="I1092">
        <v>2882.22488</v>
      </c>
      <c r="J1092">
        <v>12.7363008402563</v>
      </c>
      <c r="K1092">
        <v>0.1050672769233619</v>
      </c>
      <c r="L1092">
        <v>1.047696458233463</v>
      </c>
      <c r="M1092">
        <v>144.86</v>
      </c>
      <c r="N1092">
        <v>83.27</v>
      </c>
    </row>
    <row r="1093" spans="1:14">
      <c r="A1093" s="1" t="s">
        <v>1105</v>
      </c>
      <c r="B1093">
        <f>HYPERLINK("https://www.suredividend.com/sure-analysis-research-database/","Newpark Resources, Inc.")</f>
        <v>0</v>
      </c>
      <c r="C1093" t="s">
        <v>1822</v>
      </c>
      <c r="D1093">
        <v>5.35</v>
      </c>
      <c r="E1093">
        <v>0</v>
      </c>
      <c r="F1093" t="s">
        <v>1812</v>
      </c>
      <c r="G1093" t="s">
        <v>1812</v>
      </c>
      <c r="H1093">
        <v>0</v>
      </c>
      <c r="I1093">
        <v>455.198972</v>
      </c>
      <c r="J1093" t="s">
        <v>1812</v>
      </c>
      <c r="K1093">
        <v>-0</v>
      </c>
      <c r="L1093">
        <v>1.027230064399094</v>
      </c>
      <c r="M1093">
        <v>5.71</v>
      </c>
      <c r="N1093">
        <v>2.38</v>
      </c>
    </row>
    <row r="1094" spans="1:14">
      <c r="A1094" s="1" t="s">
        <v>1106</v>
      </c>
      <c r="B1094">
        <f>HYPERLINK("https://www.suredividend.com/sure-analysis-research-database/","National Research Corp")</f>
        <v>0</v>
      </c>
      <c r="C1094" t="s">
        <v>1817</v>
      </c>
      <c r="D1094">
        <v>42.74</v>
      </c>
      <c r="E1094">
        <v>0.013936169971304</v>
      </c>
      <c r="F1094" t="s">
        <v>1812</v>
      </c>
      <c r="G1094" t="s">
        <v>1812</v>
      </c>
      <c r="H1094">
        <v>0.5956319045735721</v>
      </c>
      <c r="I1094">
        <v>1051.823493</v>
      </c>
      <c r="J1094">
        <v>34.81706365772923</v>
      </c>
      <c r="K1094">
        <v>0.492257772374853</v>
      </c>
      <c r="L1094">
        <v>0.619787712476883</v>
      </c>
      <c r="M1094">
        <v>47.21</v>
      </c>
      <c r="N1094">
        <v>32.53</v>
      </c>
    </row>
    <row r="1095" spans="1:14">
      <c r="A1095" s="1" t="s">
        <v>1107</v>
      </c>
      <c r="B1095">
        <f>HYPERLINK("https://www.suredividend.com/sure-analysis-research-database/","Nerdwallet Inc")</f>
        <v>0</v>
      </c>
      <c r="C1095" t="s">
        <v>1812</v>
      </c>
      <c r="D1095">
        <v>9.76</v>
      </c>
      <c r="E1095">
        <v>0</v>
      </c>
      <c r="F1095" t="s">
        <v>1812</v>
      </c>
      <c r="G1095" t="s">
        <v>1812</v>
      </c>
      <c r="H1095">
        <v>0</v>
      </c>
      <c r="I1095">
        <v>719.500885</v>
      </c>
      <c r="J1095">
        <v>223.75664736</v>
      </c>
      <c r="K1095">
        <v>0</v>
      </c>
      <c r="L1095">
        <v>1.147602519256744</v>
      </c>
      <c r="M1095">
        <v>21.74</v>
      </c>
      <c r="N1095">
        <v>7.62</v>
      </c>
    </row>
    <row r="1096" spans="1:14">
      <c r="A1096" s="1" t="s">
        <v>1108</v>
      </c>
      <c r="B1096">
        <f>HYPERLINK("https://www.suredividend.com/sure-analysis-research-database/","Nerdy Inc")</f>
        <v>0</v>
      </c>
      <c r="C1096" t="s">
        <v>1812</v>
      </c>
      <c r="D1096">
        <v>5.01</v>
      </c>
      <c r="E1096">
        <v>0</v>
      </c>
      <c r="F1096" t="s">
        <v>1812</v>
      </c>
      <c r="G1096" t="s">
        <v>1812</v>
      </c>
      <c r="H1096">
        <v>0</v>
      </c>
      <c r="I1096">
        <v>491.078852</v>
      </c>
      <c r="J1096">
        <v>0</v>
      </c>
      <c r="K1096" t="s">
        <v>1812</v>
      </c>
      <c r="L1096">
        <v>1.718099463490387</v>
      </c>
      <c r="M1096">
        <v>5.14</v>
      </c>
      <c r="N1096">
        <v>1.8</v>
      </c>
    </row>
    <row r="1097" spans="1:14">
      <c r="A1097" s="1" t="s">
        <v>1109</v>
      </c>
      <c r="B1097">
        <f>HYPERLINK("https://www.suredividend.com/sure-analysis-research-database/","NexPoint Real Estate Finance Inc")</f>
        <v>0</v>
      </c>
      <c r="C1097" t="s">
        <v>1814</v>
      </c>
      <c r="D1097">
        <v>17.04</v>
      </c>
      <c r="E1097">
        <v>0.123098099275706</v>
      </c>
      <c r="F1097" t="s">
        <v>1812</v>
      </c>
      <c r="G1097" t="s">
        <v>1812</v>
      </c>
      <c r="H1097">
        <v>2.097591611658034</v>
      </c>
      <c r="I1097">
        <v>292.819296</v>
      </c>
      <c r="J1097">
        <v>0</v>
      </c>
      <c r="K1097" t="s">
        <v>1812</v>
      </c>
      <c r="L1097">
        <v>1.05738650525451</v>
      </c>
      <c r="M1097">
        <v>20.42</v>
      </c>
      <c r="N1097">
        <v>12.15</v>
      </c>
    </row>
    <row r="1098" spans="1:14">
      <c r="A1098" s="1" t="s">
        <v>1110</v>
      </c>
      <c r="B1098">
        <f>HYPERLINK("https://www.suredividend.com/sure-analysis-research-database/","Energy Vault Holdings Inc")</f>
        <v>0</v>
      </c>
      <c r="C1098" t="s">
        <v>1812</v>
      </c>
      <c r="D1098">
        <v>3.38</v>
      </c>
      <c r="E1098">
        <v>0</v>
      </c>
      <c r="F1098" t="s">
        <v>1812</v>
      </c>
      <c r="G1098" t="s">
        <v>1812</v>
      </c>
      <c r="H1098">
        <v>0</v>
      </c>
      <c r="I1098">
        <v>480.315289</v>
      </c>
      <c r="J1098">
        <v>0</v>
      </c>
      <c r="K1098" t="s">
        <v>1812</v>
      </c>
      <c r="L1098">
        <v>1.944872100753206</v>
      </c>
      <c r="M1098">
        <v>6.72</v>
      </c>
      <c r="N1098">
        <v>1.35</v>
      </c>
    </row>
    <row r="1099" spans="1:14">
      <c r="A1099" s="1" t="s">
        <v>1111</v>
      </c>
      <c r="B1099">
        <f>HYPERLINK("https://www.suredividend.com/sure-analysis-research-database/","Nurix Therapeutics Inc")</f>
        <v>0</v>
      </c>
      <c r="C1099" t="s">
        <v>1812</v>
      </c>
      <c r="D1099">
        <v>9.289999999999999</v>
      </c>
      <c r="E1099">
        <v>0</v>
      </c>
      <c r="F1099" t="s">
        <v>1812</v>
      </c>
      <c r="G1099" t="s">
        <v>1812</v>
      </c>
      <c r="H1099">
        <v>0</v>
      </c>
      <c r="I1099">
        <v>447.77866</v>
      </c>
      <c r="J1099" t="s">
        <v>1812</v>
      </c>
      <c r="K1099">
        <v>-0</v>
      </c>
      <c r="L1099">
        <v>1.606542725535376</v>
      </c>
      <c r="M1099">
        <v>19.91</v>
      </c>
      <c r="N1099">
        <v>8.34</v>
      </c>
    </row>
    <row r="1100" spans="1:14">
      <c r="A1100" s="1" t="s">
        <v>1112</v>
      </c>
      <c r="B1100">
        <f>HYPERLINK("https://www.suredividend.com/sure-analysis-research-database/","Insight Enterprises Inc.")</f>
        <v>0</v>
      </c>
      <c r="C1100" t="s">
        <v>1818</v>
      </c>
      <c r="D1100">
        <v>139.16</v>
      </c>
      <c r="E1100">
        <v>0</v>
      </c>
      <c r="F1100" t="s">
        <v>1812</v>
      </c>
      <c r="G1100" t="s">
        <v>1812</v>
      </c>
      <c r="H1100">
        <v>0</v>
      </c>
      <c r="I1100">
        <v>4628.793914</v>
      </c>
      <c r="J1100">
        <v>16.89655342446952</v>
      </c>
      <c r="K1100">
        <v>0</v>
      </c>
      <c r="L1100">
        <v>0.658681244161315</v>
      </c>
      <c r="M1100">
        <v>151.95</v>
      </c>
      <c r="N1100">
        <v>81.11</v>
      </c>
    </row>
    <row r="1101" spans="1:14">
      <c r="A1101" s="1" t="s">
        <v>1113</v>
      </c>
      <c r="B1101">
        <f>HYPERLINK("https://www.suredividend.com/sure-analysis-NSP/","Insperity Inc")</f>
        <v>0</v>
      </c>
      <c r="C1101" t="s">
        <v>1813</v>
      </c>
      <c r="D1101">
        <v>95.38</v>
      </c>
      <c r="E1101">
        <v>0.02390438247011952</v>
      </c>
      <c r="F1101">
        <v>0.09615384615384626</v>
      </c>
      <c r="G1101">
        <v>0.2330167376865284</v>
      </c>
      <c r="H1101">
        <v>2.115985621369081</v>
      </c>
      <c r="I1101">
        <v>3644.952423</v>
      </c>
      <c r="J1101">
        <v>19.87389818542671</v>
      </c>
      <c r="K1101">
        <v>0.4454706571303328</v>
      </c>
      <c r="L1101">
        <v>0.8912972166266051</v>
      </c>
      <c r="M1101">
        <v>130.47</v>
      </c>
      <c r="N1101">
        <v>93.88</v>
      </c>
    </row>
    <row r="1102" spans="1:14">
      <c r="A1102" s="1" t="s">
        <v>1114</v>
      </c>
      <c r="B1102">
        <f>HYPERLINK("https://www.suredividend.com/sure-analysis-research-database/","NAPCO Security Technologies Inc")</f>
        <v>0</v>
      </c>
      <c r="C1102" t="s">
        <v>1813</v>
      </c>
      <c r="D1102">
        <v>36.5</v>
      </c>
      <c r="E1102">
        <v>0</v>
      </c>
      <c r="F1102" t="s">
        <v>1812</v>
      </c>
      <c r="G1102" t="s">
        <v>1812</v>
      </c>
      <c r="H1102">
        <v>0</v>
      </c>
      <c r="I1102">
        <v>1342.02397</v>
      </c>
      <c r="J1102">
        <v>40.39199307750188</v>
      </c>
      <c r="K1102">
        <v>0</v>
      </c>
      <c r="L1102">
        <v>0.9545618462766801</v>
      </c>
      <c r="M1102">
        <v>41.25</v>
      </c>
      <c r="N1102">
        <v>24.15</v>
      </c>
    </row>
    <row r="1103" spans="1:14">
      <c r="A1103" s="1" t="s">
        <v>1115</v>
      </c>
      <c r="B1103">
        <f>HYPERLINK("https://www.suredividend.com/sure-analysis-research-database/","Nanostring Technologies Inc")</f>
        <v>0</v>
      </c>
      <c r="C1103" t="s">
        <v>1817</v>
      </c>
      <c r="D1103">
        <v>3.555</v>
      </c>
      <c r="E1103">
        <v>0</v>
      </c>
      <c r="F1103" t="s">
        <v>1812</v>
      </c>
      <c r="G1103" t="s">
        <v>1812</v>
      </c>
      <c r="H1103">
        <v>0</v>
      </c>
      <c r="I1103">
        <v>168.271485</v>
      </c>
      <c r="J1103">
        <v>0</v>
      </c>
      <c r="K1103" t="s">
        <v>1812</v>
      </c>
      <c r="L1103">
        <v>2.37591635856805</v>
      </c>
      <c r="M1103">
        <v>18.51</v>
      </c>
      <c r="N1103">
        <v>3.51</v>
      </c>
    </row>
    <row r="1104" spans="1:14">
      <c r="A1104" s="1" t="s">
        <v>1116</v>
      </c>
      <c r="B1104">
        <f>HYPERLINK("https://www.suredividend.com/sure-analysis-research-database/","Bank of N T Butterfield &amp; Son Ltd.")</f>
        <v>0</v>
      </c>
      <c r="C1104" t="s">
        <v>1815</v>
      </c>
      <c r="D1104">
        <v>30.89</v>
      </c>
      <c r="E1104">
        <v>0.05525606512430201</v>
      </c>
      <c r="F1104">
        <v>0</v>
      </c>
      <c r="G1104">
        <v>0.02975477857041309</v>
      </c>
      <c r="H1104">
        <v>1.706859851689706</v>
      </c>
      <c r="I1104">
        <v>1534.556663</v>
      </c>
      <c r="J1104">
        <v>0</v>
      </c>
      <c r="K1104" t="s">
        <v>1812</v>
      </c>
      <c r="L1104">
        <v>1.103909801032277</v>
      </c>
      <c r="M1104">
        <v>37.13</v>
      </c>
      <c r="N1104">
        <v>22.49</v>
      </c>
    </row>
    <row r="1105" spans="1:14">
      <c r="A1105" s="1" t="s">
        <v>1117</v>
      </c>
      <c r="B1105">
        <f>HYPERLINK("https://www.suredividend.com/sure-analysis-research-database/","Netscout Systems Inc")</f>
        <v>0</v>
      </c>
      <c r="C1105" t="s">
        <v>1818</v>
      </c>
      <c r="D1105">
        <v>28.03</v>
      </c>
      <c r="E1105">
        <v>0</v>
      </c>
      <c r="F1105" t="s">
        <v>1812</v>
      </c>
      <c r="G1105" t="s">
        <v>1812</v>
      </c>
      <c r="H1105">
        <v>0</v>
      </c>
      <c r="I1105">
        <v>2022.277775</v>
      </c>
      <c r="J1105">
        <v>33.90353029741148</v>
      </c>
      <c r="K1105">
        <v>0</v>
      </c>
      <c r="L1105">
        <v>0.7623266850663241</v>
      </c>
      <c r="M1105">
        <v>38.02</v>
      </c>
      <c r="N1105">
        <v>25.9</v>
      </c>
    </row>
    <row r="1106" spans="1:14">
      <c r="A1106" s="1" t="s">
        <v>1118</v>
      </c>
      <c r="B1106">
        <f>HYPERLINK("https://www.suredividend.com/sure-analysis-research-database/","Netgear Inc")</f>
        <v>0</v>
      </c>
      <c r="C1106" t="s">
        <v>1818</v>
      </c>
      <c r="D1106">
        <v>14.25</v>
      </c>
      <c r="E1106">
        <v>0</v>
      </c>
      <c r="F1106" t="s">
        <v>1812</v>
      </c>
      <c r="G1106" t="s">
        <v>1812</v>
      </c>
      <c r="H1106">
        <v>0</v>
      </c>
      <c r="I1106">
        <v>414.044908</v>
      </c>
      <c r="J1106" t="s">
        <v>1812</v>
      </c>
      <c r="K1106">
        <v>-0</v>
      </c>
      <c r="L1106">
        <v>0.928039903832209</v>
      </c>
      <c r="M1106">
        <v>26.5</v>
      </c>
      <c r="N1106">
        <v>13.3</v>
      </c>
    </row>
    <row r="1107" spans="1:14">
      <c r="A1107" s="1" t="s">
        <v>1119</v>
      </c>
      <c r="B1107">
        <f>HYPERLINK("https://www.suredividend.com/sure-analysis-research-database/","Intellia Therapeutics Inc")</f>
        <v>0</v>
      </c>
      <c r="C1107" t="s">
        <v>1817</v>
      </c>
      <c r="D1107">
        <v>39.09</v>
      </c>
      <c r="E1107">
        <v>0</v>
      </c>
      <c r="F1107" t="s">
        <v>1812</v>
      </c>
      <c r="G1107" t="s">
        <v>1812</v>
      </c>
      <c r="H1107">
        <v>0</v>
      </c>
      <c r="I1107">
        <v>3445.43083</v>
      </c>
      <c r="J1107" t="s">
        <v>1812</v>
      </c>
      <c r="K1107">
        <v>-0</v>
      </c>
      <c r="L1107">
        <v>1.812877199372431</v>
      </c>
      <c r="M1107">
        <v>69.73</v>
      </c>
      <c r="N1107">
        <v>32.44</v>
      </c>
    </row>
    <row r="1108" spans="1:14">
      <c r="A1108" s="1" t="s">
        <v>1120</v>
      </c>
      <c r="B1108">
        <f>HYPERLINK("https://www.suredividend.com/sure-analysis-NTST/","Netstreit Corp")</f>
        <v>0</v>
      </c>
      <c r="C1108" t="s">
        <v>1812</v>
      </c>
      <c r="D1108">
        <v>17.28</v>
      </c>
      <c r="E1108">
        <v>0.0474537037037037</v>
      </c>
      <c r="F1108" t="s">
        <v>1812</v>
      </c>
      <c r="G1108" t="s">
        <v>1812</v>
      </c>
      <c r="H1108">
        <v>0.7869686147744711</v>
      </c>
      <c r="I1108">
        <v>1157.639386</v>
      </c>
      <c r="J1108">
        <v>237.7571134935305</v>
      </c>
      <c r="K1108">
        <v>9.172128377324839</v>
      </c>
      <c r="L1108">
        <v>0.6180311168902031</v>
      </c>
      <c r="M1108">
        <v>20.59</v>
      </c>
      <c r="N1108">
        <v>16.53</v>
      </c>
    </row>
    <row r="1109" spans="1:14">
      <c r="A1109" s="1" t="s">
        <v>1121</v>
      </c>
      <c r="B1109">
        <f>HYPERLINK("https://www.suredividend.com/sure-analysis-NUS/","Nu Skin Enterprises, Inc.")</f>
        <v>0</v>
      </c>
      <c r="C1109" t="s">
        <v>1819</v>
      </c>
      <c r="D1109">
        <v>26.86</v>
      </c>
      <c r="E1109">
        <v>0.0580789277736411</v>
      </c>
      <c r="F1109">
        <v>0.0129870129870131</v>
      </c>
      <c r="G1109">
        <v>0.01333804570728625</v>
      </c>
      <c r="H1109">
        <v>1.526139817664089</v>
      </c>
      <c r="I1109">
        <v>1341.898337</v>
      </c>
      <c r="J1109">
        <v>17.32868019706087</v>
      </c>
      <c r="K1109">
        <v>0.9909998816000578</v>
      </c>
      <c r="L1109">
        <v>1.055687946416975</v>
      </c>
      <c r="M1109">
        <v>45.47</v>
      </c>
      <c r="N1109">
        <v>26.85</v>
      </c>
    </row>
    <row r="1110" spans="1:14">
      <c r="A1110" s="1" t="s">
        <v>1122</v>
      </c>
      <c r="B1110">
        <f>HYPERLINK("https://www.suredividend.com/sure-analysis-research-database/","Nutex Health Inc")</f>
        <v>0</v>
      </c>
      <c r="C1110" t="s">
        <v>1812</v>
      </c>
      <c r="D1110">
        <v>0.395</v>
      </c>
      <c r="E1110">
        <v>0</v>
      </c>
      <c r="F1110" t="s">
        <v>1812</v>
      </c>
      <c r="G1110" t="s">
        <v>1812</v>
      </c>
      <c r="H1110">
        <v>0</v>
      </c>
      <c r="I1110">
        <v>259.342445</v>
      </c>
      <c r="J1110">
        <v>0</v>
      </c>
      <c r="K1110" t="s">
        <v>1812</v>
      </c>
      <c r="L1110">
        <v>2.043090875629548</v>
      </c>
      <c r="M1110">
        <v>4.33</v>
      </c>
      <c r="N1110">
        <v>0.3758</v>
      </c>
    </row>
    <row r="1111" spans="1:14">
      <c r="A1111" s="1" t="s">
        <v>1123</v>
      </c>
      <c r="B1111">
        <f>HYPERLINK("https://www.suredividend.com/sure-analysis-research-database/","Nuvasive Inc")</f>
        <v>0</v>
      </c>
      <c r="C1111" t="s">
        <v>1817</v>
      </c>
      <c r="D1111">
        <v>40</v>
      </c>
      <c r="E1111">
        <v>0</v>
      </c>
      <c r="F1111" t="s">
        <v>1812</v>
      </c>
      <c r="G1111" t="s">
        <v>1812</v>
      </c>
      <c r="H1111">
        <v>0</v>
      </c>
      <c r="I1111">
        <v>2097.96668</v>
      </c>
      <c r="J1111">
        <v>103.8957401079582</v>
      </c>
      <c r="K1111">
        <v>0</v>
      </c>
      <c r="L1111">
        <v>1.007320463846794</v>
      </c>
      <c r="M1111">
        <v>54.62</v>
      </c>
      <c r="N1111">
        <v>35.17</v>
      </c>
    </row>
    <row r="1112" spans="1:14">
      <c r="A1112" s="1" t="s">
        <v>1124</v>
      </c>
      <c r="B1112">
        <f>HYPERLINK("https://www.suredividend.com/sure-analysis-research-database/","Nuvation Bio Inc")</f>
        <v>0</v>
      </c>
      <c r="C1112" t="s">
        <v>1812</v>
      </c>
      <c r="D1112">
        <v>1.76</v>
      </c>
      <c r="E1112">
        <v>0</v>
      </c>
      <c r="F1112" t="s">
        <v>1812</v>
      </c>
      <c r="G1112" t="s">
        <v>1812</v>
      </c>
      <c r="H1112">
        <v>0</v>
      </c>
      <c r="I1112">
        <v>385.094551</v>
      </c>
      <c r="J1112">
        <v>0</v>
      </c>
      <c r="K1112" t="s">
        <v>1812</v>
      </c>
      <c r="L1112">
        <v>1.193786341362279</v>
      </c>
      <c r="M1112">
        <v>3.12</v>
      </c>
      <c r="N1112">
        <v>1.52</v>
      </c>
    </row>
    <row r="1113" spans="1:14">
      <c r="A1113" s="1" t="s">
        <v>1125</v>
      </c>
      <c r="B1113">
        <f>HYPERLINK("https://www.suredividend.com/sure-analysis-research-database/","Nuvalent Inc")</f>
        <v>0</v>
      </c>
      <c r="C1113" t="s">
        <v>1812</v>
      </c>
      <c r="D1113">
        <v>45.46</v>
      </c>
      <c r="E1113">
        <v>0</v>
      </c>
      <c r="F1113" t="s">
        <v>1812</v>
      </c>
      <c r="G1113" t="s">
        <v>1812</v>
      </c>
      <c r="H1113">
        <v>0</v>
      </c>
      <c r="I1113">
        <v>2335.985557</v>
      </c>
      <c r="J1113">
        <v>0</v>
      </c>
      <c r="K1113" t="s">
        <v>1812</v>
      </c>
      <c r="L1113">
        <v>1.793529273233967</v>
      </c>
      <c r="M1113">
        <v>50.59</v>
      </c>
      <c r="N1113">
        <v>14.81</v>
      </c>
    </row>
    <row r="1114" spans="1:14">
      <c r="A1114" s="1" t="s">
        <v>1126</v>
      </c>
      <c r="B1114">
        <f>HYPERLINK("https://www.suredividend.com/sure-analysis-research-database/","NV5 Global Inc")</f>
        <v>0</v>
      </c>
      <c r="C1114" t="s">
        <v>1813</v>
      </c>
      <c r="D1114">
        <v>110.67</v>
      </c>
      <c r="E1114">
        <v>0</v>
      </c>
      <c r="F1114" t="s">
        <v>1812</v>
      </c>
      <c r="G1114" t="s">
        <v>1812</v>
      </c>
      <c r="H1114">
        <v>0</v>
      </c>
      <c r="I1114">
        <v>1738.425719</v>
      </c>
      <c r="J1114">
        <v>36.77028891471721</v>
      </c>
      <c r="K1114">
        <v>0</v>
      </c>
      <c r="L1114">
        <v>1.04258005097682</v>
      </c>
      <c r="M1114">
        <v>154.97</v>
      </c>
      <c r="N1114">
        <v>89.3</v>
      </c>
    </row>
    <row r="1115" spans="1:14">
      <c r="A1115" s="1" t="s">
        <v>1127</v>
      </c>
      <c r="B1115">
        <f>HYPERLINK("https://www.suredividend.com/sure-analysis-research-database/","Nevro Corp")</f>
        <v>0</v>
      </c>
      <c r="C1115" t="s">
        <v>1817</v>
      </c>
      <c r="D1115">
        <v>20.35</v>
      </c>
      <c r="E1115">
        <v>0</v>
      </c>
      <c r="F1115" t="s">
        <v>1812</v>
      </c>
      <c r="G1115" t="s">
        <v>1812</v>
      </c>
      <c r="H1115">
        <v>0</v>
      </c>
      <c r="I1115">
        <v>735.044483</v>
      </c>
      <c r="J1115">
        <v>286.7906682403433</v>
      </c>
      <c r="K1115">
        <v>0</v>
      </c>
      <c r="L1115">
        <v>1.322373238864435</v>
      </c>
      <c r="M1115">
        <v>53.34</v>
      </c>
      <c r="N1115">
        <v>18.45</v>
      </c>
    </row>
    <row r="1116" spans="1:14">
      <c r="A1116" s="1" t="s">
        <v>1128</v>
      </c>
      <c r="B1116">
        <f>HYPERLINK("https://www.suredividend.com/sure-analysis-research-database/","Invitae Corp")</f>
        <v>0</v>
      </c>
      <c r="C1116" t="s">
        <v>1817</v>
      </c>
      <c r="D1116">
        <v>1.23</v>
      </c>
      <c r="E1116">
        <v>0</v>
      </c>
      <c r="F1116" t="s">
        <v>1812</v>
      </c>
      <c r="G1116" t="s">
        <v>1812</v>
      </c>
      <c r="H1116">
        <v>0</v>
      </c>
      <c r="I1116">
        <v>320.661</v>
      </c>
      <c r="J1116" t="s">
        <v>1812</v>
      </c>
      <c r="K1116">
        <v>-0</v>
      </c>
      <c r="L1116">
        <v>4.782209747195133</v>
      </c>
      <c r="M1116">
        <v>9</v>
      </c>
      <c r="N1116">
        <v>1.02</v>
      </c>
    </row>
    <row r="1117" spans="1:14">
      <c r="A1117" s="1" t="s">
        <v>1129</v>
      </c>
      <c r="B1117">
        <f>HYPERLINK("https://www.suredividend.com/sure-analysis-NWBI/","Northwest Bancshares Inc")</f>
        <v>0</v>
      </c>
      <c r="C1117" t="s">
        <v>1815</v>
      </c>
      <c r="D1117">
        <v>12.11</v>
      </c>
      <c r="E1117">
        <v>0.06606110652353428</v>
      </c>
      <c r="F1117">
        <v>0</v>
      </c>
      <c r="G1117">
        <v>0.03303780411393231</v>
      </c>
      <c r="H1117">
        <v>0.7637071441263401</v>
      </c>
      <c r="I1117">
        <v>1538.737835</v>
      </c>
      <c r="J1117">
        <v>11.10969960831456</v>
      </c>
      <c r="K1117">
        <v>0.7006487560792111</v>
      </c>
      <c r="L1117">
        <v>0.821417770624399</v>
      </c>
      <c r="M1117">
        <v>14.11</v>
      </c>
      <c r="N1117">
        <v>9.59</v>
      </c>
    </row>
    <row r="1118" spans="1:14">
      <c r="A1118" s="1" t="s">
        <v>1130</v>
      </c>
      <c r="B1118">
        <f>HYPERLINK("https://www.suredividend.com/sure-analysis-NWE/","Northwestern Corp.")</f>
        <v>0</v>
      </c>
      <c r="C1118" t="s">
        <v>1820</v>
      </c>
      <c r="D1118">
        <v>54.53</v>
      </c>
      <c r="E1118">
        <v>0.04694663487988263</v>
      </c>
      <c r="F1118">
        <v>0.01587301587301582</v>
      </c>
      <c r="G1118">
        <v>0.03077400337593272</v>
      </c>
      <c r="H1118">
        <v>2.478589814873038</v>
      </c>
      <c r="I1118">
        <v>3274.079845</v>
      </c>
      <c r="J1118">
        <v>18.62749248870658</v>
      </c>
      <c r="K1118">
        <v>0.8289598043053638</v>
      </c>
      <c r="L1118">
        <v>0.5516562572760441</v>
      </c>
      <c r="M1118">
        <v>59.93</v>
      </c>
      <c r="N1118">
        <v>46.58</v>
      </c>
    </row>
    <row r="1119" spans="1:14">
      <c r="A1119" s="1" t="s">
        <v>1131</v>
      </c>
      <c r="B1119">
        <f>HYPERLINK("https://www.suredividend.com/sure-analysis-research-database/","National Western Life Group Inc")</f>
        <v>0</v>
      </c>
      <c r="C1119" t="s">
        <v>1815</v>
      </c>
      <c r="D1119">
        <v>434.94</v>
      </c>
      <c r="E1119">
        <v>0.0008277004053550001</v>
      </c>
      <c r="F1119" t="s">
        <v>1812</v>
      </c>
      <c r="G1119" t="s">
        <v>1812</v>
      </c>
      <c r="H1119">
        <v>0.360000014305114</v>
      </c>
      <c r="I1119">
        <v>1494.462539</v>
      </c>
      <c r="J1119">
        <v>19.66630967877775</v>
      </c>
      <c r="K1119">
        <v>0.01663586018045813</v>
      </c>
      <c r="L1119">
        <v>1.009959642513843</v>
      </c>
      <c r="M1119">
        <v>440</v>
      </c>
      <c r="N1119">
        <v>166.64</v>
      </c>
    </row>
    <row r="1120" spans="1:14">
      <c r="A1120" s="1" t="s">
        <v>1132</v>
      </c>
      <c r="B1120">
        <f>HYPERLINK("https://www.suredividend.com/sure-analysis-NWN/","Northwest Natural Holding Co")</f>
        <v>0</v>
      </c>
      <c r="C1120" t="s">
        <v>1820</v>
      </c>
      <c r="D1120">
        <v>42.48</v>
      </c>
      <c r="E1120">
        <v>0.04566854990583805</v>
      </c>
      <c r="F1120">
        <v>0.005181347150258864</v>
      </c>
      <c r="G1120">
        <v>0.004175510634316426</v>
      </c>
      <c r="H1120">
        <v>1.90932422613717</v>
      </c>
      <c r="I1120">
        <v>1527.81924</v>
      </c>
      <c r="J1120">
        <v>15.01763641067479</v>
      </c>
      <c r="K1120">
        <v>0.6583876641852311</v>
      </c>
      <c r="L1120">
        <v>0.629435165173689</v>
      </c>
      <c r="M1120">
        <v>51.77</v>
      </c>
      <c r="N1120">
        <v>40.64</v>
      </c>
    </row>
    <row r="1121" spans="1:14">
      <c r="A1121" s="1" t="s">
        <v>1133</v>
      </c>
      <c r="B1121">
        <f>HYPERLINK("https://www.suredividend.com/sure-analysis-research-database/","Northwest Pipe Co.")</f>
        <v>0</v>
      </c>
      <c r="C1121" t="s">
        <v>1813</v>
      </c>
      <c r="D1121">
        <v>32.13</v>
      </c>
      <c r="E1121">
        <v>0</v>
      </c>
      <c r="F1121" t="s">
        <v>1812</v>
      </c>
      <c r="G1121" t="s">
        <v>1812</v>
      </c>
      <c r="H1121">
        <v>0</v>
      </c>
      <c r="I1121">
        <v>321.267035</v>
      </c>
      <c r="J1121">
        <v>10.72606285456731</v>
      </c>
      <c r="K1121">
        <v>0</v>
      </c>
      <c r="L1121">
        <v>0.792026937017228</v>
      </c>
      <c r="M1121">
        <v>40.6</v>
      </c>
      <c r="N1121">
        <v>25.58</v>
      </c>
    </row>
    <row r="1122" spans="1:14">
      <c r="A1122" s="1" t="s">
        <v>1134</v>
      </c>
      <c r="B1122">
        <f>HYPERLINK("https://www.suredividend.com/sure-analysis-research-database/","Quanex Building Products Corp")</f>
        <v>0</v>
      </c>
      <c r="C1122" t="s">
        <v>1813</v>
      </c>
      <c r="D1122">
        <v>27.49</v>
      </c>
      <c r="E1122">
        <v>0.011581552709862</v>
      </c>
      <c r="F1122">
        <v>0</v>
      </c>
      <c r="G1122">
        <v>0</v>
      </c>
      <c r="H1122">
        <v>0.318376883994114</v>
      </c>
      <c r="I1122">
        <v>905.865105</v>
      </c>
      <c r="J1122">
        <v>12.24208206767933</v>
      </c>
      <c r="K1122">
        <v>0.1421325374973723</v>
      </c>
      <c r="L1122">
        <v>1.336049067950104</v>
      </c>
      <c r="M1122">
        <v>28.44</v>
      </c>
      <c r="N1122">
        <v>17.81</v>
      </c>
    </row>
    <row r="1123" spans="1:14">
      <c r="A1123" s="1" t="s">
        <v>1135</v>
      </c>
      <c r="B1123">
        <f>HYPERLINK("https://www.suredividend.com/sure-analysis-research-database/","NextGen Healthcare Inc")</f>
        <v>0</v>
      </c>
      <c r="C1123" t="s">
        <v>1817</v>
      </c>
      <c r="D1123">
        <v>16.55</v>
      </c>
      <c r="E1123">
        <v>0</v>
      </c>
      <c r="F1123" t="s">
        <v>1812</v>
      </c>
      <c r="G1123" t="s">
        <v>1812</v>
      </c>
      <c r="H1123">
        <v>0</v>
      </c>
      <c r="I1123">
        <v>1109.154702</v>
      </c>
      <c r="J1123">
        <v>471.1787179481734</v>
      </c>
      <c r="K1123">
        <v>0</v>
      </c>
      <c r="L1123">
        <v>0.559595770652155</v>
      </c>
      <c r="M1123">
        <v>21.99</v>
      </c>
      <c r="N1123">
        <v>15.23</v>
      </c>
    </row>
    <row r="1124" spans="1:14">
      <c r="A1124" s="1" t="s">
        <v>1136</v>
      </c>
      <c r="B1124">
        <f>HYPERLINK("https://www.suredividend.com/sure-analysis-NXRT/","NexPoint Residential Trust Inc")</f>
        <v>0</v>
      </c>
      <c r="C1124" t="s">
        <v>1814</v>
      </c>
      <c r="D1124">
        <v>39.57</v>
      </c>
      <c r="E1124">
        <v>0.04245640636846095</v>
      </c>
      <c r="F1124">
        <v>0.1052631578947367</v>
      </c>
      <c r="G1124">
        <v>0.1093328057258516</v>
      </c>
      <c r="H1124">
        <v>1.617543525072092</v>
      </c>
      <c r="I1124">
        <v>1015.932565</v>
      </c>
      <c r="J1124" t="s">
        <v>1812</v>
      </c>
      <c r="K1124" t="s">
        <v>1812</v>
      </c>
      <c r="L1124">
        <v>1.063697907223969</v>
      </c>
      <c r="M1124">
        <v>63.65</v>
      </c>
      <c r="N1124">
        <v>37.6</v>
      </c>
    </row>
    <row r="1125" spans="1:14">
      <c r="A1125" s="1" t="s">
        <v>1137</v>
      </c>
      <c r="B1125">
        <f>HYPERLINK("https://www.suredividend.com/sure-analysis-research-database/","Nextracker Inc")</f>
        <v>0</v>
      </c>
      <c r="C1125" t="s">
        <v>1812</v>
      </c>
      <c r="D1125">
        <v>41.14</v>
      </c>
      <c r="E1125">
        <v>0</v>
      </c>
      <c r="F1125" t="s">
        <v>1812</v>
      </c>
      <c r="G1125" t="s">
        <v>1812</v>
      </c>
      <c r="H1125">
        <v>0</v>
      </c>
      <c r="I1125">
        <v>2550.091533</v>
      </c>
      <c r="J1125">
        <v>0</v>
      </c>
      <c r="K1125" t="s">
        <v>1812</v>
      </c>
      <c r="L1125">
        <v>0.565262208472307</v>
      </c>
      <c r="M1125">
        <v>46.55</v>
      </c>
      <c r="N1125">
        <v>28.24</v>
      </c>
    </row>
    <row r="1126" spans="1:14">
      <c r="A1126" s="1" t="s">
        <v>1138</v>
      </c>
      <c r="B1126">
        <f>HYPERLINK("https://www.suredividend.com/sure-analysis-NYMT/","New York Mortgage Trust Inc")</f>
        <v>0</v>
      </c>
      <c r="C1126" t="s">
        <v>1814</v>
      </c>
      <c r="D1126">
        <v>9.07</v>
      </c>
      <c r="E1126">
        <v>0.1764057331863286</v>
      </c>
      <c r="F1126" t="s">
        <v>1812</v>
      </c>
      <c r="G1126" t="s">
        <v>1812</v>
      </c>
      <c r="H1126">
        <v>1.386200252757218</v>
      </c>
      <c r="I1126">
        <v>827.003471</v>
      </c>
      <c r="J1126" t="s">
        <v>1812</v>
      </c>
      <c r="K1126" t="s">
        <v>1812</v>
      </c>
      <c r="L1126">
        <v>1.227482657518889</v>
      </c>
      <c r="M1126">
        <v>11.7</v>
      </c>
      <c r="N1126">
        <v>7.21</v>
      </c>
    </row>
    <row r="1127" spans="1:14">
      <c r="A1127" s="1" t="s">
        <v>1139</v>
      </c>
      <c r="B1127">
        <f>HYPERLINK("https://www.suredividend.com/sure-analysis-research-database/","OmniAb Inc")</f>
        <v>0</v>
      </c>
      <c r="C1127" t="s">
        <v>1812</v>
      </c>
      <c r="D1127">
        <v>5.49</v>
      </c>
      <c r="E1127">
        <v>0</v>
      </c>
      <c r="F1127" t="s">
        <v>1812</v>
      </c>
      <c r="G1127" t="s">
        <v>1812</v>
      </c>
      <c r="H1127">
        <v>0</v>
      </c>
      <c r="I1127">
        <v>631.6794</v>
      </c>
      <c r="J1127">
        <v>0</v>
      </c>
      <c r="K1127" t="s">
        <v>1812</v>
      </c>
      <c r="L1127">
        <v>0.8762051792787551</v>
      </c>
      <c r="M1127">
        <v>5.62</v>
      </c>
      <c r="N1127">
        <v>1.91</v>
      </c>
    </row>
    <row r="1128" spans="1:14">
      <c r="A1128" s="1" t="s">
        <v>1140</v>
      </c>
      <c r="B1128">
        <f>HYPERLINK("https://www.suredividend.com/sure-analysis-research-database/","Outbrain Inc")</f>
        <v>0</v>
      </c>
      <c r="C1128" t="s">
        <v>1812</v>
      </c>
      <c r="D1128">
        <v>5.1</v>
      </c>
      <c r="E1128">
        <v>0</v>
      </c>
      <c r="F1128" t="s">
        <v>1812</v>
      </c>
      <c r="G1128" t="s">
        <v>1812</v>
      </c>
      <c r="H1128">
        <v>0</v>
      </c>
      <c r="I1128">
        <v>260.875883</v>
      </c>
      <c r="J1128">
        <v>0</v>
      </c>
      <c r="K1128" t="s">
        <v>1812</v>
      </c>
      <c r="L1128">
        <v>1.575149214016077</v>
      </c>
      <c r="M1128">
        <v>6.92</v>
      </c>
      <c r="N1128">
        <v>3.33</v>
      </c>
    </row>
    <row r="1129" spans="1:14">
      <c r="A1129" s="1" t="s">
        <v>1141</v>
      </c>
      <c r="B1129">
        <f>HYPERLINK("https://www.suredividend.com/sure-analysis-research-database/","Origin Bancorp Inc")</f>
        <v>0</v>
      </c>
      <c r="C1129" t="s">
        <v>1812</v>
      </c>
      <c r="D1129">
        <v>32.96</v>
      </c>
      <c r="E1129">
        <v>0</v>
      </c>
      <c r="F1129" t="s">
        <v>1812</v>
      </c>
      <c r="G1129" t="s">
        <v>1812</v>
      </c>
      <c r="H1129">
        <v>0</v>
      </c>
      <c r="I1129">
        <v>1014.540211</v>
      </c>
      <c r="J1129">
        <v>11.10802341822322</v>
      </c>
      <c r="K1129">
        <v>0</v>
      </c>
      <c r="L1129">
        <v>0.8446765440102281</v>
      </c>
      <c r="M1129">
        <v>46.25</v>
      </c>
      <c r="N1129">
        <v>25.37</v>
      </c>
    </row>
    <row r="1130" spans="1:14">
      <c r="A1130" s="1" t="s">
        <v>1142</v>
      </c>
      <c r="B1130">
        <f>HYPERLINK("https://www.suredividend.com/sure-analysis-research-database/","OceanFirst Financial Corp.")</f>
        <v>0</v>
      </c>
      <c r="C1130" t="s">
        <v>1815</v>
      </c>
      <c r="D1130">
        <v>18.76</v>
      </c>
      <c r="E1130">
        <v>0.041440759862042</v>
      </c>
      <c r="F1130">
        <v>0</v>
      </c>
      <c r="G1130">
        <v>0.03303780411393231</v>
      </c>
      <c r="H1130">
        <v>0.777428655011922</v>
      </c>
      <c r="I1130">
        <v>1115.958973</v>
      </c>
      <c r="J1130">
        <v>7.711638875828375</v>
      </c>
      <c r="K1130">
        <v>0.3160279085414318</v>
      </c>
      <c r="L1130">
        <v>1.068658845598195</v>
      </c>
      <c r="M1130">
        <v>24.19</v>
      </c>
      <c r="N1130">
        <v>12.61</v>
      </c>
    </row>
    <row r="1131" spans="1:14">
      <c r="A1131" s="1" t="s">
        <v>1143</v>
      </c>
      <c r="B1131">
        <f>HYPERLINK("https://www.suredividend.com/sure-analysis-research-database/","Ocugen Inc")</f>
        <v>0</v>
      </c>
      <c r="C1131" t="s">
        <v>1817</v>
      </c>
      <c r="D1131">
        <v>0.5717</v>
      </c>
      <c r="E1131">
        <v>0</v>
      </c>
      <c r="F1131" t="s">
        <v>1812</v>
      </c>
      <c r="G1131" t="s">
        <v>1812</v>
      </c>
      <c r="H1131">
        <v>0</v>
      </c>
      <c r="I1131">
        <v>129.450112</v>
      </c>
      <c r="J1131">
        <v>0</v>
      </c>
      <c r="K1131" t="s">
        <v>1812</v>
      </c>
      <c r="L1131">
        <v>2.336186295097499</v>
      </c>
      <c r="M1131">
        <v>2.95</v>
      </c>
      <c r="N1131">
        <v>0.44</v>
      </c>
    </row>
    <row r="1132" spans="1:14">
      <c r="A1132" s="1" t="s">
        <v>1144</v>
      </c>
      <c r="B1132">
        <f>HYPERLINK("https://www.suredividend.com/sure-analysis-research-database/","Eightco Holdings Inc")</f>
        <v>0</v>
      </c>
      <c r="C1132" t="s">
        <v>1812</v>
      </c>
      <c r="D1132">
        <v>1.37</v>
      </c>
      <c r="E1132">
        <v>0</v>
      </c>
      <c r="F1132" t="s">
        <v>1812</v>
      </c>
      <c r="G1132" t="s">
        <v>1812</v>
      </c>
      <c r="H1132">
        <v>0</v>
      </c>
      <c r="I1132">
        <v>3.24957</v>
      </c>
      <c r="J1132">
        <v>0</v>
      </c>
      <c r="K1132" t="s">
        <v>1812</v>
      </c>
      <c r="L1132">
        <v>-5.451695725923533</v>
      </c>
      <c r="M1132">
        <v>4.46</v>
      </c>
      <c r="N1132">
        <v>0.0551</v>
      </c>
    </row>
    <row r="1133" spans="1:14">
      <c r="A1133" s="1" t="s">
        <v>1145</v>
      </c>
      <c r="B1133">
        <f>HYPERLINK("https://www.suredividend.com/sure-analysis-research-database/","Ocular Therapeutix Inc")</f>
        <v>0</v>
      </c>
      <c r="C1133" t="s">
        <v>1817</v>
      </c>
      <c r="D1133">
        <v>4.41</v>
      </c>
      <c r="E1133">
        <v>0</v>
      </c>
      <c r="F1133" t="s">
        <v>1812</v>
      </c>
      <c r="G1133" t="s">
        <v>1812</v>
      </c>
      <c r="H1133">
        <v>0</v>
      </c>
      <c r="I1133">
        <v>341.883777</v>
      </c>
      <c r="J1133">
        <v>0</v>
      </c>
      <c r="K1133" t="s">
        <v>1812</v>
      </c>
      <c r="L1133">
        <v>1.639023497776468</v>
      </c>
      <c r="M1133">
        <v>7.96</v>
      </c>
      <c r="N1133">
        <v>2.57</v>
      </c>
    </row>
    <row r="1134" spans="1:14">
      <c r="A1134" s="1" t="s">
        <v>1146</v>
      </c>
      <c r="B1134">
        <f>HYPERLINK("https://www.suredividend.com/sure-analysis-research-database/","ODP Corporation (The)")</f>
        <v>0</v>
      </c>
      <c r="C1134" t="s">
        <v>1816</v>
      </c>
      <c r="D1134">
        <v>48.63</v>
      </c>
      <c r="E1134">
        <v>0</v>
      </c>
      <c r="F1134" t="s">
        <v>1812</v>
      </c>
      <c r="G1134" t="s">
        <v>1812</v>
      </c>
      <c r="H1134">
        <v>0</v>
      </c>
      <c r="I1134">
        <v>1876.916818</v>
      </c>
      <c r="J1134">
        <v>10.25637605295082</v>
      </c>
      <c r="K1134">
        <v>0</v>
      </c>
      <c r="L1134">
        <v>0.8946379689898971</v>
      </c>
      <c r="M1134">
        <v>53.59</v>
      </c>
      <c r="N1134">
        <v>34.55</v>
      </c>
    </row>
    <row r="1135" spans="1:14">
      <c r="A1135" s="1" t="s">
        <v>1147</v>
      </c>
      <c r="B1135">
        <f>HYPERLINK("https://www.suredividend.com/sure-analysis-research-database/","Orion S.A")</f>
        <v>0</v>
      </c>
      <c r="C1135" t="s">
        <v>1823</v>
      </c>
      <c r="D1135">
        <v>21.24</v>
      </c>
      <c r="E1135">
        <v>0.003893001415505</v>
      </c>
      <c r="F1135" t="s">
        <v>1812</v>
      </c>
      <c r="G1135" t="s">
        <v>1812</v>
      </c>
      <c r="H1135">
        <v>0.08268735006533201</v>
      </c>
      <c r="I1135">
        <v>1250.33302</v>
      </c>
      <c r="J1135">
        <v>0</v>
      </c>
      <c r="K1135" t="s">
        <v>1812</v>
      </c>
      <c r="L1135">
        <v>1.424645493942859</v>
      </c>
      <c r="M1135">
        <v>26.86</v>
      </c>
      <c r="N1135">
        <v>12.83</v>
      </c>
    </row>
    <row r="1136" spans="1:14">
      <c r="A1136" s="1" t="s">
        <v>1148</v>
      </c>
      <c r="B1136">
        <f>HYPERLINK("https://www.suredividend.com/sure-analysis-OFC/","Corporate Office Properties Trust")</f>
        <v>0</v>
      </c>
      <c r="C1136" t="s">
        <v>1814</v>
      </c>
      <c r="D1136">
        <v>25.7</v>
      </c>
      <c r="E1136">
        <v>0.04357976653696499</v>
      </c>
      <c r="F1136">
        <v>0.03636363636363638</v>
      </c>
      <c r="G1136">
        <v>0.007169193015529318</v>
      </c>
      <c r="H1136">
        <v>1.100290613011978</v>
      </c>
      <c r="I1136">
        <v>2891.606125</v>
      </c>
      <c r="J1136">
        <v>15.02218892975702</v>
      </c>
      <c r="K1136">
        <v>0.6434448029309814</v>
      </c>
      <c r="L1136">
        <v>0.8413163561572211</v>
      </c>
      <c r="M1136">
        <v>27.99</v>
      </c>
      <c r="N1136">
        <v>21.06</v>
      </c>
    </row>
    <row r="1137" spans="1:14">
      <c r="A1137" s="1" t="s">
        <v>1149</v>
      </c>
      <c r="B1137">
        <f>HYPERLINK("https://www.suredividend.com/sure-analysis-research-database/","OFG Bancorp")</f>
        <v>0</v>
      </c>
      <c r="C1137" t="s">
        <v>1815</v>
      </c>
      <c r="D1137">
        <v>33.28</v>
      </c>
      <c r="E1137">
        <v>0.024934444803624</v>
      </c>
      <c r="F1137">
        <v>0.4666666666666668</v>
      </c>
      <c r="G1137">
        <v>0.2967441161096582</v>
      </c>
      <c r="H1137">
        <v>0.8298183230646231</v>
      </c>
      <c r="I1137">
        <v>1581.725251</v>
      </c>
      <c r="J1137">
        <v>9.041168185564771</v>
      </c>
      <c r="K1137">
        <v>0.2279720667759954</v>
      </c>
      <c r="L1137">
        <v>0.8307406163452791</v>
      </c>
      <c r="M1137">
        <v>34.3</v>
      </c>
      <c r="N1137">
        <v>22.15</v>
      </c>
    </row>
    <row r="1138" spans="1:14">
      <c r="A1138" s="1" t="s">
        <v>1150</v>
      </c>
      <c r="B1138">
        <f>HYPERLINK("https://www.suredividend.com/sure-analysis-research-database/","Orthofix Medical Inc")</f>
        <v>0</v>
      </c>
      <c r="C1138" t="s">
        <v>1817</v>
      </c>
      <c r="D1138">
        <v>18.97</v>
      </c>
      <c r="E1138">
        <v>0</v>
      </c>
      <c r="F1138" t="s">
        <v>1812</v>
      </c>
      <c r="G1138" t="s">
        <v>1812</v>
      </c>
      <c r="H1138">
        <v>0</v>
      </c>
      <c r="I1138">
        <v>692.405</v>
      </c>
      <c r="J1138" t="s">
        <v>1812</v>
      </c>
      <c r="K1138">
        <v>-0</v>
      </c>
      <c r="L1138">
        <v>1.136601941286592</v>
      </c>
      <c r="M1138">
        <v>23.47</v>
      </c>
      <c r="N1138">
        <v>13.76</v>
      </c>
    </row>
    <row r="1139" spans="1:14">
      <c r="A1139" s="1" t="s">
        <v>1151</v>
      </c>
      <c r="B1139">
        <f>HYPERLINK("https://www.suredividend.com/sure-analysis-research-database/","Omega Flex Inc")</f>
        <v>0</v>
      </c>
      <c r="C1139" t="s">
        <v>1813</v>
      </c>
      <c r="D1139">
        <v>88.54000000000001</v>
      </c>
      <c r="E1139">
        <v>0.014448779779036</v>
      </c>
      <c r="F1139">
        <v>0.03125</v>
      </c>
      <c r="G1139">
        <v>0.06576275663547437</v>
      </c>
      <c r="H1139">
        <v>1.279294961635923</v>
      </c>
      <c r="I1139">
        <v>893.75127</v>
      </c>
      <c r="J1139">
        <v>37.37512105883829</v>
      </c>
      <c r="K1139">
        <v>0.5397869036438494</v>
      </c>
      <c r="L1139">
        <v>1.025424978981228</v>
      </c>
      <c r="M1139">
        <v>126.95</v>
      </c>
      <c r="N1139">
        <v>76.11</v>
      </c>
    </row>
    <row r="1140" spans="1:14">
      <c r="A1140" s="1" t="s">
        <v>1152</v>
      </c>
      <c r="B1140">
        <f>HYPERLINK("https://www.suredividend.com/sure-analysis-OGS/","ONE Gas Inc")</f>
        <v>0</v>
      </c>
      <c r="C1140" t="s">
        <v>1820</v>
      </c>
      <c r="D1140">
        <v>78.04000000000001</v>
      </c>
      <c r="E1140">
        <v>0.03331624807790876</v>
      </c>
      <c r="F1140">
        <v>0.04838709677419351</v>
      </c>
      <c r="G1140">
        <v>0.07159605222536181</v>
      </c>
      <c r="H1140">
        <v>2.510106259633553</v>
      </c>
      <c r="I1140">
        <v>4327.263372</v>
      </c>
      <c r="J1140">
        <v>19.14354070685667</v>
      </c>
      <c r="K1140">
        <v>0.612221038935013</v>
      </c>
      <c r="L1140">
        <v>0.664478330959392</v>
      </c>
      <c r="M1140">
        <v>87.56999999999999</v>
      </c>
      <c r="N1140">
        <v>67.23</v>
      </c>
    </row>
    <row r="1141" spans="1:14">
      <c r="A1141" s="1" t="s">
        <v>1153</v>
      </c>
      <c r="B1141">
        <f>HYPERLINK("https://www.suredividend.com/sure-analysis-research-database/","O-I Glass Inc")</f>
        <v>0</v>
      </c>
      <c r="C1141" t="s">
        <v>1816</v>
      </c>
      <c r="D1141">
        <v>20.73</v>
      </c>
      <c r="E1141">
        <v>0</v>
      </c>
      <c r="F1141" t="s">
        <v>1812</v>
      </c>
      <c r="G1141" t="s">
        <v>1812</v>
      </c>
      <c r="H1141">
        <v>0</v>
      </c>
      <c r="I1141">
        <v>3214.392453</v>
      </c>
      <c r="J1141">
        <v>0</v>
      </c>
      <c r="K1141" t="s">
        <v>1812</v>
      </c>
      <c r="L1141">
        <v>1.129709022403858</v>
      </c>
      <c r="M1141">
        <v>23.57</v>
      </c>
      <c r="N1141">
        <v>12.05</v>
      </c>
    </row>
    <row r="1142" spans="1:14">
      <c r="A1142" s="1" t="s">
        <v>1154</v>
      </c>
      <c r="B1142">
        <f>HYPERLINK("https://www.suredividend.com/sure-analysis-research-database/","Oceaneering International, Inc.")</f>
        <v>0</v>
      </c>
      <c r="C1142" t="s">
        <v>1822</v>
      </c>
      <c r="D1142">
        <v>21.44</v>
      </c>
      <c r="E1142">
        <v>0</v>
      </c>
      <c r="F1142" t="s">
        <v>1812</v>
      </c>
      <c r="G1142" t="s">
        <v>1812</v>
      </c>
      <c r="H1142">
        <v>0</v>
      </c>
      <c r="I1142">
        <v>2160.713638</v>
      </c>
      <c r="J1142">
        <v>33.50307223667685</v>
      </c>
      <c r="K1142">
        <v>0</v>
      </c>
      <c r="L1142">
        <v>1.355056303171786</v>
      </c>
      <c r="M1142">
        <v>23.81</v>
      </c>
      <c r="N1142">
        <v>7.25</v>
      </c>
    </row>
    <row r="1143" spans="1:14">
      <c r="A1143" s="1" t="s">
        <v>1155</v>
      </c>
      <c r="B1143">
        <f>HYPERLINK("https://www.suredividend.com/sure-analysis-research-database/","Oil States International, Inc.")</f>
        <v>0</v>
      </c>
      <c r="C1143" t="s">
        <v>1822</v>
      </c>
      <c r="D1143">
        <v>7.82</v>
      </c>
      <c r="E1143">
        <v>0</v>
      </c>
      <c r="F1143" t="s">
        <v>1812</v>
      </c>
      <c r="G1143" t="s">
        <v>1812</v>
      </c>
      <c r="H1143">
        <v>0</v>
      </c>
      <c r="I1143">
        <v>499.720412</v>
      </c>
      <c r="J1143">
        <v>64.53001189566116</v>
      </c>
      <c r="K1143">
        <v>0</v>
      </c>
      <c r="L1143">
        <v>1.324781113429959</v>
      </c>
      <c r="M1143">
        <v>10.47</v>
      </c>
      <c r="N1143">
        <v>3.51</v>
      </c>
    </row>
    <row r="1144" spans="1:14">
      <c r="A1144" s="1" t="s">
        <v>1156</v>
      </c>
      <c r="B1144">
        <f>HYPERLINK("https://www.suredividend.com/sure-analysis-research-database/","Olo Inc")</f>
        <v>0</v>
      </c>
      <c r="D1144">
        <v>7.34</v>
      </c>
      <c r="E1144">
        <v>0</v>
      </c>
      <c r="F1144" t="s">
        <v>1812</v>
      </c>
      <c r="G1144" t="s">
        <v>1812</v>
      </c>
      <c r="H1144">
        <v>0</v>
      </c>
      <c r="I1144">
        <v>795.435881</v>
      </c>
      <c r="J1144" t="s">
        <v>1812</v>
      </c>
      <c r="K1144">
        <v>-0</v>
      </c>
      <c r="L1144">
        <v>1.316479533040242</v>
      </c>
      <c r="M1144">
        <v>13.92</v>
      </c>
      <c r="N1144">
        <v>5.74</v>
      </c>
    </row>
    <row r="1145" spans="1:14">
      <c r="A1145" s="1" t="s">
        <v>1157</v>
      </c>
      <c r="B1145">
        <f>HYPERLINK("https://www.suredividend.com/sure-analysis-OLP/","One Liberty Properties, Inc.")</f>
        <v>0</v>
      </c>
      <c r="C1145" t="s">
        <v>1814</v>
      </c>
      <c r="D1145">
        <v>20.05</v>
      </c>
      <c r="E1145">
        <v>0.08977556109725686</v>
      </c>
      <c r="F1145">
        <v>0</v>
      </c>
      <c r="G1145">
        <v>0</v>
      </c>
      <c r="H1145">
        <v>1.74419363809318</v>
      </c>
      <c r="I1145">
        <v>427.592235</v>
      </c>
      <c r="J1145">
        <v>11.61777570438799</v>
      </c>
      <c r="K1145">
        <v>0.9689964656073223</v>
      </c>
      <c r="L1145">
        <v>0.86443936691301</v>
      </c>
      <c r="M1145">
        <v>25.55</v>
      </c>
      <c r="N1145">
        <v>18.93</v>
      </c>
    </row>
    <row r="1146" spans="1:14">
      <c r="A1146" s="1" t="s">
        <v>1158</v>
      </c>
      <c r="B1146">
        <f>HYPERLINK("https://www.suredividend.com/sure-analysis-research-database/","Outset Medical Inc")</f>
        <v>0</v>
      </c>
      <c r="C1146" t="s">
        <v>1812</v>
      </c>
      <c r="D1146">
        <v>17.39</v>
      </c>
      <c r="E1146">
        <v>0</v>
      </c>
      <c r="F1146" t="s">
        <v>1812</v>
      </c>
      <c r="G1146" t="s">
        <v>1812</v>
      </c>
      <c r="H1146">
        <v>0</v>
      </c>
      <c r="I1146">
        <v>856.076276</v>
      </c>
      <c r="J1146">
        <v>0</v>
      </c>
      <c r="K1146" t="s">
        <v>1812</v>
      </c>
      <c r="L1146">
        <v>1.447051619769156</v>
      </c>
      <c r="M1146">
        <v>30.55</v>
      </c>
      <c r="N1146">
        <v>11.41</v>
      </c>
    </row>
    <row r="1147" spans="1:14">
      <c r="A1147" s="1" t="s">
        <v>1159</v>
      </c>
      <c r="B1147">
        <f>HYPERLINK("https://www.suredividend.com/sure-analysis-research-database/","Omnicell, Inc.")</f>
        <v>0</v>
      </c>
      <c r="C1147" t="s">
        <v>1817</v>
      </c>
      <c r="D1147">
        <v>63.88</v>
      </c>
      <c r="E1147">
        <v>0</v>
      </c>
      <c r="F1147" t="s">
        <v>1812</v>
      </c>
      <c r="G1147" t="s">
        <v>1812</v>
      </c>
      <c r="H1147">
        <v>0</v>
      </c>
      <c r="I1147">
        <v>2880.988</v>
      </c>
      <c r="J1147" t="s">
        <v>1812</v>
      </c>
      <c r="K1147">
        <v>-0</v>
      </c>
      <c r="L1147">
        <v>1.521313026264949</v>
      </c>
      <c r="M1147">
        <v>113.26</v>
      </c>
      <c r="N1147">
        <v>46.11</v>
      </c>
    </row>
    <row r="1148" spans="1:14">
      <c r="A1148" s="1" t="s">
        <v>1160</v>
      </c>
      <c r="B1148">
        <f>HYPERLINK("https://www.suredividend.com/sure-analysis-research-database/","Owens &amp; Minor, Inc.")</f>
        <v>0</v>
      </c>
      <c r="C1148" t="s">
        <v>1817</v>
      </c>
      <c r="D1148">
        <v>18.78</v>
      </c>
      <c r="E1148">
        <v>0</v>
      </c>
      <c r="F1148" t="s">
        <v>1812</v>
      </c>
      <c r="G1148" t="s">
        <v>1812</v>
      </c>
      <c r="H1148">
        <v>0</v>
      </c>
      <c r="I1148">
        <v>1431.140548</v>
      </c>
      <c r="J1148" t="s">
        <v>1812</v>
      </c>
      <c r="K1148">
        <v>-0</v>
      </c>
      <c r="L1148">
        <v>1.748892602067937</v>
      </c>
      <c r="M1148">
        <v>35.74</v>
      </c>
      <c r="N1148">
        <v>11.79</v>
      </c>
    </row>
    <row r="1149" spans="1:14">
      <c r="A1149" s="1" t="s">
        <v>1161</v>
      </c>
      <c r="B1149">
        <f>HYPERLINK("https://www.suredividend.com/sure-analysis-research-database/","Singular Genomics Systems Inc")</f>
        <v>0</v>
      </c>
      <c r="C1149" t="s">
        <v>1812</v>
      </c>
      <c r="D1149">
        <v>0.7562</v>
      </c>
      <c r="E1149">
        <v>0</v>
      </c>
      <c r="F1149" t="s">
        <v>1812</v>
      </c>
      <c r="G1149" t="s">
        <v>1812</v>
      </c>
      <c r="H1149">
        <v>0</v>
      </c>
      <c r="I1149">
        <v>54.473591</v>
      </c>
      <c r="J1149">
        <v>0</v>
      </c>
      <c r="K1149" t="s">
        <v>1812</v>
      </c>
      <c r="L1149">
        <v>1.805004130797531</v>
      </c>
      <c r="M1149">
        <v>4.78</v>
      </c>
      <c r="N1149">
        <v>0.74</v>
      </c>
    </row>
    <row r="1150" spans="1:14">
      <c r="A1150" s="1" t="s">
        <v>1162</v>
      </c>
      <c r="B1150">
        <f>HYPERLINK("https://www.suredividend.com/sure-analysis-research-database/","Old National Bancorp")</f>
        <v>0</v>
      </c>
      <c r="C1150" t="s">
        <v>1815</v>
      </c>
      <c r="D1150">
        <v>17.26</v>
      </c>
      <c r="E1150">
        <v>0.031735188971569</v>
      </c>
      <c r="F1150">
        <v>0</v>
      </c>
      <c r="G1150">
        <v>0.01493197894539389</v>
      </c>
      <c r="H1150">
        <v>0.547749361649291</v>
      </c>
      <c r="I1150">
        <v>5050.08614</v>
      </c>
      <c r="J1150">
        <v>8.612926571363275</v>
      </c>
      <c r="K1150">
        <v>0.2738746808246455</v>
      </c>
      <c r="L1150">
        <v>0.8861490590733041</v>
      </c>
      <c r="M1150">
        <v>19.45</v>
      </c>
      <c r="N1150">
        <v>11.41</v>
      </c>
    </row>
    <row r="1151" spans="1:14">
      <c r="A1151" s="1" t="s">
        <v>1163</v>
      </c>
      <c r="B1151">
        <f>HYPERLINK("https://www.suredividend.com/sure-analysis-research-database/","Ondas Holdings Inc")</f>
        <v>0</v>
      </c>
      <c r="C1151" t="s">
        <v>1818</v>
      </c>
      <c r="D1151">
        <v>1.59</v>
      </c>
      <c r="E1151">
        <v>0</v>
      </c>
      <c r="F1151" t="s">
        <v>1812</v>
      </c>
      <c r="G1151" t="s">
        <v>1812</v>
      </c>
      <c r="H1151">
        <v>0</v>
      </c>
      <c r="I1151">
        <v>81.219401</v>
      </c>
      <c r="J1151">
        <v>0</v>
      </c>
      <c r="K1151" t="s">
        <v>1812</v>
      </c>
      <c r="L1151">
        <v>1.787145553506958</v>
      </c>
      <c r="M1151">
        <v>5.68</v>
      </c>
      <c r="N1151">
        <v>0.777</v>
      </c>
    </row>
    <row r="1152" spans="1:14">
      <c r="A1152" s="1" t="s">
        <v>1164</v>
      </c>
      <c r="B1152">
        <f>HYPERLINK("https://www.suredividend.com/sure-analysis-research-database/","Onewater Marine Inc")</f>
        <v>0</v>
      </c>
      <c r="C1152" t="s">
        <v>1816</v>
      </c>
      <c r="D1152">
        <v>26.49</v>
      </c>
      <c r="E1152">
        <v>0</v>
      </c>
      <c r="F1152" t="s">
        <v>1812</v>
      </c>
      <c r="G1152" t="s">
        <v>1812</v>
      </c>
      <c r="H1152">
        <v>0</v>
      </c>
      <c r="I1152">
        <v>379.211529</v>
      </c>
      <c r="J1152">
        <v>0</v>
      </c>
      <c r="K1152" t="s">
        <v>1812</v>
      </c>
      <c r="L1152">
        <v>1.091022122562485</v>
      </c>
      <c r="M1152">
        <v>43.96</v>
      </c>
      <c r="N1152">
        <v>23.68</v>
      </c>
    </row>
    <row r="1153" spans="1:14">
      <c r="A1153" s="1" t="s">
        <v>1165</v>
      </c>
      <c r="B1153">
        <f>HYPERLINK("https://www.suredividend.com/sure-analysis-research-database/","Orion Office REIT Inc")</f>
        <v>0</v>
      </c>
      <c r="C1153" t="s">
        <v>1812</v>
      </c>
      <c r="D1153">
        <v>6.16</v>
      </c>
      <c r="E1153">
        <v>0.063513430802665</v>
      </c>
      <c r="F1153" t="s">
        <v>1812</v>
      </c>
      <c r="G1153" t="s">
        <v>1812</v>
      </c>
      <c r="H1153">
        <v>0.391242733744419</v>
      </c>
      <c r="I1153">
        <v>349.04979</v>
      </c>
      <c r="J1153" t="s">
        <v>1812</v>
      </c>
      <c r="K1153" t="s">
        <v>1812</v>
      </c>
      <c r="L1153">
        <v>1.006606428843205</v>
      </c>
      <c r="M1153">
        <v>10.47</v>
      </c>
      <c r="N1153">
        <v>5.19</v>
      </c>
    </row>
    <row r="1154" spans="1:14">
      <c r="A1154" s="1" t="s">
        <v>1166</v>
      </c>
      <c r="B1154">
        <f>HYPERLINK("https://www.suredividend.com/sure-analysis-research-database/","ON24 Inc")</f>
        <v>0</v>
      </c>
      <c r="C1154" t="s">
        <v>1812</v>
      </c>
      <c r="D1154">
        <v>8.390000000000001</v>
      </c>
      <c r="E1154">
        <v>0</v>
      </c>
      <c r="F1154" t="s">
        <v>1812</v>
      </c>
      <c r="G1154" t="s">
        <v>1812</v>
      </c>
      <c r="H1154">
        <v>0</v>
      </c>
      <c r="I1154">
        <v>384.801091</v>
      </c>
      <c r="J1154">
        <v>0</v>
      </c>
      <c r="K1154" t="s">
        <v>1812</v>
      </c>
      <c r="L1154">
        <v>1.040935089851878</v>
      </c>
      <c r="M1154">
        <v>9.94</v>
      </c>
      <c r="N1154">
        <v>6</v>
      </c>
    </row>
    <row r="1155" spans="1:14">
      <c r="A1155" s="1" t="s">
        <v>1167</v>
      </c>
      <c r="B1155">
        <f>HYPERLINK("https://www.suredividend.com/sure-analysis-research-database/","Onto Innovation Inc.")</f>
        <v>0</v>
      </c>
      <c r="C1155" t="s">
        <v>1818</v>
      </c>
      <c r="D1155">
        <v>119.46</v>
      </c>
      <c r="E1155">
        <v>0</v>
      </c>
      <c r="F1155" t="s">
        <v>1812</v>
      </c>
      <c r="G1155" t="s">
        <v>1812</v>
      </c>
      <c r="H1155">
        <v>0</v>
      </c>
      <c r="I1155">
        <v>5841.594</v>
      </c>
      <c r="J1155">
        <v>29.34412674811124</v>
      </c>
      <c r="K1155">
        <v>0</v>
      </c>
      <c r="L1155">
        <v>1.593118494910632</v>
      </c>
      <c r="M1155">
        <v>126.64</v>
      </c>
      <c r="N1155">
        <v>56.02</v>
      </c>
    </row>
    <row r="1156" spans="1:14">
      <c r="A1156" s="1" t="s">
        <v>1168</v>
      </c>
      <c r="B1156">
        <f>HYPERLINK("https://www.suredividend.com/sure-analysis-research-database/","Ooma Inc")</f>
        <v>0</v>
      </c>
      <c r="C1156" t="s">
        <v>1821</v>
      </c>
      <c r="D1156">
        <v>15.03</v>
      </c>
      <c r="E1156">
        <v>0</v>
      </c>
      <c r="F1156" t="s">
        <v>1812</v>
      </c>
      <c r="G1156" t="s">
        <v>1812</v>
      </c>
      <c r="H1156">
        <v>0</v>
      </c>
      <c r="I1156">
        <v>380.259</v>
      </c>
      <c r="J1156" t="s">
        <v>1812</v>
      </c>
      <c r="K1156">
        <v>-0</v>
      </c>
      <c r="L1156">
        <v>0.8151064579940031</v>
      </c>
      <c r="M1156">
        <v>16.77</v>
      </c>
      <c r="N1156">
        <v>11.08</v>
      </c>
    </row>
    <row r="1157" spans="1:14">
      <c r="A1157" s="1" t="s">
        <v>1169</v>
      </c>
      <c r="B1157">
        <f>HYPERLINK("https://www.suredividend.com/sure-analysis-research-database/","Offerpad Solutions Inc")</f>
        <v>0</v>
      </c>
      <c r="C1157" t="s">
        <v>1812</v>
      </c>
      <c r="D1157">
        <v>11.24</v>
      </c>
      <c r="E1157">
        <v>0</v>
      </c>
      <c r="F1157" t="s">
        <v>1812</v>
      </c>
      <c r="G1157" t="s">
        <v>1812</v>
      </c>
      <c r="H1157">
        <v>0</v>
      </c>
      <c r="I1157">
        <v>306.014744</v>
      </c>
      <c r="J1157">
        <v>0</v>
      </c>
      <c r="K1157" t="s">
        <v>1812</v>
      </c>
      <c r="L1157">
        <v>2.357517464894841</v>
      </c>
      <c r="M1157">
        <v>34.8</v>
      </c>
      <c r="N1157">
        <v>5.63</v>
      </c>
    </row>
    <row r="1158" spans="1:14">
      <c r="A1158" s="1" t="s">
        <v>1170</v>
      </c>
      <c r="B1158">
        <f>HYPERLINK("https://www.suredividend.com/sure-analysis-research-database/","Option Care Health Inc.")</f>
        <v>0</v>
      </c>
      <c r="C1158" t="s">
        <v>1817</v>
      </c>
      <c r="D1158">
        <v>33.61</v>
      </c>
      <c r="E1158">
        <v>0</v>
      </c>
      <c r="F1158" t="s">
        <v>1812</v>
      </c>
      <c r="G1158" t="s">
        <v>1812</v>
      </c>
      <c r="H1158">
        <v>0</v>
      </c>
      <c r="I1158">
        <v>6045.656089</v>
      </c>
      <c r="J1158">
        <v>25.19411779591021</v>
      </c>
      <c r="K1158">
        <v>0</v>
      </c>
      <c r="L1158">
        <v>0.834784986211586</v>
      </c>
      <c r="M1158">
        <v>35.87</v>
      </c>
      <c r="N1158">
        <v>24.23</v>
      </c>
    </row>
    <row r="1159" spans="1:14">
      <c r="A1159" s="1" t="s">
        <v>1171</v>
      </c>
      <c r="B1159">
        <f>HYPERLINK("https://www.suredividend.com/sure-analysis-research-database/","OppFi Inc")</f>
        <v>0</v>
      </c>
      <c r="C1159" t="s">
        <v>1812</v>
      </c>
      <c r="D1159">
        <v>2.17</v>
      </c>
      <c r="E1159">
        <v>0</v>
      </c>
      <c r="F1159" t="s">
        <v>1812</v>
      </c>
      <c r="G1159" t="s">
        <v>1812</v>
      </c>
      <c r="H1159">
        <v>0</v>
      </c>
      <c r="I1159">
        <v>33.095284</v>
      </c>
      <c r="J1159">
        <v>0</v>
      </c>
      <c r="K1159" t="s">
        <v>1812</v>
      </c>
      <c r="L1159">
        <v>0.936482737583447</v>
      </c>
      <c r="M1159">
        <v>3.7</v>
      </c>
      <c r="N1159">
        <v>1.7</v>
      </c>
    </row>
    <row r="1160" spans="1:14">
      <c r="A1160" s="1" t="s">
        <v>1172</v>
      </c>
      <c r="B1160">
        <f>HYPERLINK("https://www.suredividend.com/sure-analysis-OPI/","Office Properties Income Trust")</f>
        <v>0</v>
      </c>
      <c r="C1160" t="s">
        <v>1814</v>
      </c>
      <c r="D1160">
        <v>7.38</v>
      </c>
      <c r="E1160">
        <v>0.1355013550135502</v>
      </c>
      <c r="F1160">
        <v>-0.5454545454545454</v>
      </c>
      <c r="G1160">
        <v>-0.1027895761164154</v>
      </c>
      <c r="H1160">
        <v>1.434556573741127</v>
      </c>
      <c r="I1160">
        <v>358.570104</v>
      </c>
      <c r="J1160">
        <v>33.61804840615039</v>
      </c>
      <c r="K1160">
        <v>6.500029785868269</v>
      </c>
      <c r="L1160">
        <v>1.13128456287066</v>
      </c>
      <c r="M1160">
        <v>16.98</v>
      </c>
      <c r="N1160">
        <v>5.51</v>
      </c>
    </row>
    <row r="1161" spans="1:14">
      <c r="A1161" s="1" t="s">
        <v>1173</v>
      </c>
      <c r="B1161">
        <f>HYPERLINK("https://www.suredividend.com/sure-analysis-research-database/","Opko Health Inc")</f>
        <v>0</v>
      </c>
      <c r="C1161" t="s">
        <v>1817</v>
      </c>
      <c r="D1161">
        <v>1.85</v>
      </c>
      <c r="E1161">
        <v>0</v>
      </c>
      <c r="F1161" t="s">
        <v>1812</v>
      </c>
      <c r="G1161" t="s">
        <v>1812</v>
      </c>
      <c r="H1161">
        <v>0</v>
      </c>
      <c r="I1161">
        <v>1429.404002</v>
      </c>
      <c r="J1161" t="s">
        <v>1812</v>
      </c>
      <c r="K1161">
        <v>-0</v>
      </c>
      <c r="L1161">
        <v>1.441705739850387</v>
      </c>
      <c r="M1161">
        <v>2.77</v>
      </c>
      <c r="N1161">
        <v>1</v>
      </c>
    </row>
    <row r="1162" spans="1:14">
      <c r="A1162" s="1" t="s">
        <v>1174</v>
      </c>
      <c r="B1162">
        <f>HYPERLINK("https://www.suredividend.com/sure-analysis-research-database/","Oportun Financial Corp")</f>
        <v>0</v>
      </c>
      <c r="C1162" t="s">
        <v>1815</v>
      </c>
      <c r="D1162">
        <v>5.56</v>
      </c>
      <c r="E1162">
        <v>0</v>
      </c>
      <c r="F1162" t="s">
        <v>1812</v>
      </c>
      <c r="G1162" t="s">
        <v>1812</v>
      </c>
      <c r="H1162">
        <v>0</v>
      </c>
      <c r="I1162">
        <v>188.417236</v>
      </c>
      <c r="J1162">
        <v>0</v>
      </c>
      <c r="K1162" t="s">
        <v>1812</v>
      </c>
      <c r="L1162">
        <v>1.734246035285114</v>
      </c>
      <c r="M1162">
        <v>10.86</v>
      </c>
      <c r="N1162">
        <v>2.19</v>
      </c>
    </row>
    <row r="1163" spans="1:14">
      <c r="A1163" s="1" t="s">
        <v>1175</v>
      </c>
      <c r="B1163">
        <f>HYPERLINK("https://www.suredividend.com/sure-analysis-research-database/","OptimizeRx Corp")</f>
        <v>0</v>
      </c>
      <c r="C1163" t="s">
        <v>1817</v>
      </c>
      <c r="D1163">
        <v>13.89</v>
      </c>
      <c r="E1163">
        <v>0</v>
      </c>
      <c r="F1163" t="s">
        <v>1812</v>
      </c>
      <c r="G1163" t="s">
        <v>1812</v>
      </c>
      <c r="H1163">
        <v>0</v>
      </c>
      <c r="I1163">
        <v>237.903864</v>
      </c>
      <c r="J1163" t="s">
        <v>1812</v>
      </c>
      <c r="K1163">
        <v>-0</v>
      </c>
      <c r="L1163">
        <v>1.056940337705633</v>
      </c>
      <c r="M1163">
        <v>24.97</v>
      </c>
      <c r="N1163">
        <v>11.59</v>
      </c>
    </row>
    <row r="1164" spans="1:14">
      <c r="A1164" s="1" t="s">
        <v>1176</v>
      </c>
      <c r="B1164">
        <f>HYPERLINK("https://www.suredividend.com/sure-analysis-research-database/","Oppenheimer Holdings Inc")</f>
        <v>0</v>
      </c>
      <c r="C1164" t="s">
        <v>1815</v>
      </c>
      <c r="D1164">
        <v>38.16</v>
      </c>
      <c r="E1164">
        <v>0.015602653640914</v>
      </c>
      <c r="F1164">
        <v>0</v>
      </c>
      <c r="G1164">
        <v>0.04563955259127317</v>
      </c>
      <c r="H1164">
        <v>0.595397262937286</v>
      </c>
      <c r="I1164">
        <v>398.839429</v>
      </c>
      <c r="J1164">
        <v>12.40558098662519</v>
      </c>
      <c r="K1164">
        <v>0.2221631578124201</v>
      </c>
      <c r="L1164">
        <v>0.6816782151432751</v>
      </c>
      <c r="M1164">
        <v>48.96</v>
      </c>
      <c r="N1164">
        <v>27.97</v>
      </c>
    </row>
    <row r="1165" spans="1:14">
      <c r="A1165" s="1" t="s">
        <v>1177</v>
      </c>
      <c r="B1165">
        <f>HYPERLINK("https://www.suredividend.com/sure-analysis-research-database/","Ormat Technologies Inc")</f>
        <v>0</v>
      </c>
      <c r="C1165" t="s">
        <v>1820</v>
      </c>
      <c r="D1165">
        <v>75.81999999999999</v>
      </c>
      <c r="E1165">
        <v>0.006317762676303001</v>
      </c>
      <c r="F1165">
        <v>0</v>
      </c>
      <c r="G1165">
        <v>0.03713728933664817</v>
      </c>
      <c r="H1165">
        <v>0.479012766117302</v>
      </c>
      <c r="I1165">
        <v>4526.454</v>
      </c>
      <c r="J1165">
        <v>59.21577708006279</v>
      </c>
      <c r="K1165">
        <v>0.3548242711980015</v>
      </c>
      <c r="L1165">
        <v>0.7907244033976151</v>
      </c>
      <c r="M1165">
        <v>101.4</v>
      </c>
      <c r="N1165">
        <v>75.70999999999999</v>
      </c>
    </row>
    <row r="1166" spans="1:14">
      <c r="A1166" s="1" t="s">
        <v>1178</v>
      </c>
      <c r="B1166">
        <f>HYPERLINK("https://www.suredividend.com/sure-analysis-ORC/","Orchid Island Capital Inc")</f>
        <v>0</v>
      </c>
      <c r="C1166" t="s">
        <v>1814</v>
      </c>
      <c r="D1166">
        <v>10.05</v>
      </c>
      <c r="E1166">
        <v>0.191044776119403</v>
      </c>
      <c r="F1166">
        <v>0</v>
      </c>
      <c r="G1166">
        <v>0.1974057110829954</v>
      </c>
      <c r="H1166">
        <v>2.312432221357147</v>
      </c>
      <c r="I1166">
        <v>441.161925</v>
      </c>
      <c r="J1166" t="s">
        <v>1812</v>
      </c>
      <c r="K1166" t="s">
        <v>1812</v>
      </c>
      <c r="L1166">
        <v>1.022611107307706</v>
      </c>
      <c r="M1166">
        <v>13.1</v>
      </c>
      <c r="N1166">
        <v>6.85</v>
      </c>
    </row>
    <row r="1167" spans="1:14">
      <c r="A1167" s="1" t="s">
        <v>1179</v>
      </c>
      <c r="B1167">
        <f>HYPERLINK("https://www.suredividend.com/sure-analysis-research-database/","Origin Materials Inc")</f>
        <v>0</v>
      </c>
      <c r="C1167" t="s">
        <v>1812</v>
      </c>
      <c r="D1167">
        <v>4.3</v>
      </c>
      <c r="E1167">
        <v>0</v>
      </c>
      <c r="F1167" t="s">
        <v>1812</v>
      </c>
      <c r="G1167" t="s">
        <v>1812</v>
      </c>
      <c r="H1167">
        <v>0</v>
      </c>
      <c r="I1167">
        <v>616.052361</v>
      </c>
      <c r="J1167">
        <v>0</v>
      </c>
      <c r="K1167" t="s">
        <v>1812</v>
      </c>
      <c r="L1167">
        <v>1.416427542982624</v>
      </c>
      <c r="M1167">
        <v>7.42</v>
      </c>
      <c r="N1167">
        <v>3.64</v>
      </c>
    </row>
    <row r="1168" spans="1:14">
      <c r="A1168" s="1" t="s">
        <v>1180</v>
      </c>
      <c r="B1168">
        <f>HYPERLINK("https://www.suredividend.com/sure-analysis-research-database/","Organogenesis Holdings Inc")</f>
        <v>0</v>
      </c>
      <c r="C1168" t="s">
        <v>1817</v>
      </c>
      <c r="D1168">
        <v>4.22</v>
      </c>
      <c r="E1168">
        <v>0</v>
      </c>
      <c r="F1168" t="s">
        <v>1812</v>
      </c>
      <c r="G1168" t="s">
        <v>1812</v>
      </c>
      <c r="H1168">
        <v>0</v>
      </c>
      <c r="I1168">
        <v>553.924935</v>
      </c>
      <c r="J1168">
        <v>44.3992413642193</v>
      </c>
      <c r="K1168">
        <v>0</v>
      </c>
      <c r="L1168">
        <v>1.020825985548959</v>
      </c>
      <c r="M1168">
        <v>6.52</v>
      </c>
      <c r="N1168">
        <v>1.8</v>
      </c>
    </row>
    <row r="1169" spans="1:14">
      <c r="A1169" s="1" t="s">
        <v>1181</v>
      </c>
      <c r="B1169">
        <f>HYPERLINK("https://www.suredividend.com/sure-analysis-research-database/","Orrstown Financial Services, Inc.")</f>
        <v>0</v>
      </c>
      <c r="C1169" t="s">
        <v>1815</v>
      </c>
      <c r="D1169">
        <v>23.46</v>
      </c>
      <c r="E1169">
        <v>0.024678698896017</v>
      </c>
      <c r="F1169" t="s">
        <v>1812</v>
      </c>
      <c r="G1169" t="s">
        <v>1812</v>
      </c>
      <c r="H1169">
        <v>0.578962276100574</v>
      </c>
      <c r="I1169">
        <v>250.038228</v>
      </c>
      <c r="J1169">
        <v>10.95457736516977</v>
      </c>
      <c r="K1169">
        <v>0.2680380907873028</v>
      </c>
      <c r="L1169">
        <v>0.603654584605517</v>
      </c>
      <c r="M1169">
        <v>27.5</v>
      </c>
      <c r="N1169">
        <v>15.52</v>
      </c>
    </row>
    <row r="1170" spans="1:14">
      <c r="A1170" s="1" t="s">
        <v>1182</v>
      </c>
      <c r="B1170">
        <f>HYPERLINK("https://www.suredividend.com/sure-analysis-research-database/","Old Second Bancorporation Inc.")</f>
        <v>0</v>
      </c>
      <c r="C1170" t="s">
        <v>1815</v>
      </c>
      <c r="D1170">
        <v>16.28</v>
      </c>
      <c r="E1170">
        <v>0.012196746996413</v>
      </c>
      <c r="F1170">
        <v>0</v>
      </c>
      <c r="G1170">
        <v>0.3797296614612149</v>
      </c>
      <c r="H1170">
        <v>0.198563041101607</v>
      </c>
      <c r="I1170">
        <v>727.148268</v>
      </c>
      <c r="J1170">
        <v>9.205340636520155</v>
      </c>
      <c r="K1170">
        <v>0.113464594915204</v>
      </c>
      <c r="L1170">
        <v>0.9617617699568941</v>
      </c>
      <c r="M1170">
        <v>17.54</v>
      </c>
      <c r="N1170">
        <v>10.76</v>
      </c>
    </row>
    <row r="1171" spans="1:14">
      <c r="A1171" s="1" t="s">
        <v>1183</v>
      </c>
      <c r="B1171">
        <f>HYPERLINK("https://www.suredividend.com/sure-analysis-research-database/","Oscar Health Inc")</f>
        <v>0</v>
      </c>
      <c r="C1171" t="s">
        <v>1812</v>
      </c>
      <c r="D1171">
        <v>7.12</v>
      </c>
      <c r="E1171">
        <v>0</v>
      </c>
      <c r="F1171" t="s">
        <v>1812</v>
      </c>
      <c r="G1171" t="s">
        <v>1812</v>
      </c>
      <c r="H1171">
        <v>0</v>
      </c>
      <c r="I1171">
        <v>1304.623339</v>
      </c>
      <c r="J1171">
        <v>0</v>
      </c>
      <c r="K1171" t="s">
        <v>1812</v>
      </c>
      <c r="L1171">
        <v>1.895553050744037</v>
      </c>
      <c r="M1171">
        <v>9.890000000000001</v>
      </c>
      <c r="N1171">
        <v>2.05</v>
      </c>
    </row>
    <row r="1172" spans="1:14">
      <c r="A1172" s="1" t="s">
        <v>1184</v>
      </c>
      <c r="B1172">
        <f>HYPERLINK("https://www.suredividend.com/sure-analysis-research-database/","OSI Systems, Inc.")</f>
        <v>0</v>
      </c>
      <c r="C1172" t="s">
        <v>1818</v>
      </c>
      <c r="D1172">
        <v>118.92</v>
      </c>
      <c r="E1172">
        <v>0</v>
      </c>
      <c r="F1172" t="s">
        <v>1812</v>
      </c>
      <c r="G1172" t="s">
        <v>1812</v>
      </c>
      <c r="H1172">
        <v>0</v>
      </c>
      <c r="I1172">
        <v>1989.29376</v>
      </c>
      <c r="J1172">
        <v>23.92128138528138</v>
      </c>
      <c r="K1172">
        <v>0</v>
      </c>
      <c r="L1172">
        <v>0.7986397756858651</v>
      </c>
      <c r="M1172">
        <v>127.07</v>
      </c>
      <c r="N1172">
        <v>69.31</v>
      </c>
    </row>
    <row r="1173" spans="1:14">
      <c r="A1173" s="1" t="s">
        <v>1185</v>
      </c>
      <c r="B1173">
        <f>HYPERLINK("https://www.suredividend.com/sure-analysis-research-database/","OneSpan Inc")</f>
        <v>0</v>
      </c>
      <c r="C1173" t="s">
        <v>1818</v>
      </c>
      <c r="D1173">
        <v>13.36</v>
      </c>
      <c r="E1173">
        <v>0</v>
      </c>
      <c r="F1173" t="s">
        <v>1812</v>
      </c>
      <c r="G1173" t="s">
        <v>1812</v>
      </c>
      <c r="H1173">
        <v>0</v>
      </c>
      <c r="I1173">
        <v>533.725681</v>
      </c>
      <c r="J1173" t="s">
        <v>1812</v>
      </c>
      <c r="K1173">
        <v>-0</v>
      </c>
      <c r="L1173">
        <v>0.9248252220920161</v>
      </c>
      <c r="M1173">
        <v>19.25</v>
      </c>
      <c r="N1173">
        <v>8.15</v>
      </c>
    </row>
    <row r="1174" spans="1:14">
      <c r="A1174" s="1" t="s">
        <v>1186</v>
      </c>
      <c r="B1174">
        <f>HYPERLINK("https://www.suredividend.com/sure-analysis-research-database/","Overstock.com Inc")</f>
        <v>0</v>
      </c>
      <c r="C1174" t="s">
        <v>1816</v>
      </c>
      <c r="D1174">
        <v>36.22</v>
      </c>
      <c r="E1174">
        <v>0</v>
      </c>
      <c r="F1174" t="s">
        <v>1812</v>
      </c>
      <c r="G1174" t="s">
        <v>1812</v>
      </c>
      <c r="H1174">
        <v>0</v>
      </c>
      <c r="I1174">
        <v>1637.258165</v>
      </c>
      <c r="J1174" t="s">
        <v>1812</v>
      </c>
      <c r="K1174">
        <v>-0</v>
      </c>
      <c r="L1174">
        <v>1.818806877865953</v>
      </c>
      <c r="M1174">
        <v>39.27</v>
      </c>
      <c r="N1174">
        <v>17.05</v>
      </c>
    </row>
    <row r="1175" spans="1:14">
      <c r="A1175" s="1" t="s">
        <v>1187</v>
      </c>
      <c r="B1175">
        <f>HYPERLINK("https://www.suredividend.com/sure-analysis-research-database/","Orasure Technologies Inc.")</f>
        <v>0</v>
      </c>
      <c r="C1175" t="s">
        <v>1817</v>
      </c>
      <c r="D1175">
        <v>4.49</v>
      </c>
      <c r="E1175">
        <v>0</v>
      </c>
      <c r="F1175" t="s">
        <v>1812</v>
      </c>
      <c r="G1175" t="s">
        <v>1812</v>
      </c>
      <c r="H1175">
        <v>0</v>
      </c>
      <c r="I1175">
        <v>328.948041</v>
      </c>
      <c r="J1175">
        <v>11.24531797142076</v>
      </c>
      <c r="K1175">
        <v>0</v>
      </c>
      <c r="L1175">
        <v>1.358514294300252</v>
      </c>
      <c r="M1175">
        <v>7.82</v>
      </c>
      <c r="N1175">
        <v>3.11</v>
      </c>
    </row>
    <row r="1176" spans="1:14">
      <c r="A1176" s="1" t="s">
        <v>1188</v>
      </c>
      <c r="B1176">
        <f>HYPERLINK("https://www.suredividend.com/sure-analysis-research-database/","OneSpaWorld Holdings Limited")</f>
        <v>0</v>
      </c>
      <c r="C1176" t="s">
        <v>1816</v>
      </c>
      <c r="D1176">
        <v>12.02</v>
      </c>
      <c r="E1176">
        <v>0</v>
      </c>
      <c r="F1176" t="s">
        <v>1812</v>
      </c>
      <c r="G1176" t="s">
        <v>1812</v>
      </c>
      <c r="H1176">
        <v>0</v>
      </c>
      <c r="I1176">
        <v>1120.359295</v>
      </c>
      <c r="J1176">
        <v>0</v>
      </c>
      <c r="K1176" t="s">
        <v>1812</v>
      </c>
      <c r="L1176">
        <v>0.6307356254321841</v>
      </c>
      <c r="M1176">
        <v>13.01</v>
      </c>
      <c r="N1176">
        <v>7.92</v>
      </c>
    </row>
    <row r="1177" spans="1:14">
      <c r="A1177" s="1" t="s">
        <v>1189</v>
      </c>
      <c r="B1177">
        <f>HYPERLINK("https://www.suredividend.com/sure-analysis-research-database/","Outlook Therapeutics Inc")</f>
        <v>0</v>
      </c>
      <c r="C1177" t="s">
        <v>1817</v>
      </c>
      <c r="D1177">
        <v>1.65</v>
      </c>
      <c r="E1177">
        <v>0</v>
      </c>
      <c r="F1177" t="s">
        <v>1812</v>
      </c>
      <c r="G1177" t="s">
        <v>1812</v>
      </c>
      <c r="H1177">
        <v>0</v>
      </c>
      <c r="I1177">
        <v>423.50021</v>
      </c>
      <c r="J1177" t="s">
        <v>1812</v>
      </c>
      <c r="K1177">
        <v>-0</v>
      </c>
      <c r="L1177">
        <v>0.7541836088409291</v>
      </c>
      <c r="M1177">
        <v>2.03</v>
      </c>
      <c r="N1177">
        <v>0.8</v>
      </c>
    </row>
    <row r="1178" spans="1:14">
      <c r="A1178" s="1" t="s">
        <v>1190</v>
      </c>
      <c r="B1178">
        <f>HYPERLINK("https://www.suredividend.com/sure-analysis-OTTR/","Otter Tail Corporation")</f>
        <v>0</v>
      </c>
      <c r="C1178" t="s">
        <v>1820</v>
      </c>
      <c r="D1178">
        <v>89.37</v>
      </c>
      <c r="E1178">
        <v>0.01958151504979299</v>
      </c>
      <c r="F1178">
        <v>0.06060606060606055</v>
      </c>
      <c r="G1178">
        <v>0.05484014571098439</v>
      </c>
      <c r="H1178">
        <v>1.677206024737966</v>
      </c>
      <c r="I1178">
        <v>3727.669262</v>
      </c>
      <c r="J1178">
        <v>13.57184197948752</v>
      </c>
      <c r="K1178">
        <v>0.2560619885096131</v>
      </c>
      <c r="L1178">
        <v>0.7747408290994551</v>
      </c>
      <c r="M1178">
        <v>90.55</v>
      </c>
      <c r="N1178">
        <v>51.27</v>
      </c>
    </row>
    <row r="1179" spans="1:14">
      <c r="A1179" s="1" t="s">
        <v>1191</v>
      </c>
      <c r="B1179">
        <f>HYPERLINK("https://www.suredividend.com/sure-analysis-research-database/","Ouster Inc")</f>
        <v>0</v>
      </c>
      <c r="C1179" t="s">
        <v>1812</v>
      </c>
      <c r="D1179">
        <v>5.81</v>
      </c>
      <c r="E1179">
        <v>0</v>
      </c>
      <c r="F1179" t="s">
        <v>1812</v>
      </c>
      <c r="G1179" t="s">
        <v>1812</v>
      </c>
      <c r="H1179">
        <v>0</v>
      </c>
      <c r="I1179">
        <v>225.512948</v>
      </c>
      <c r="J1179">
        <v>0</v>
      </c>
      <c r="K1179" t="s">
        <v>1812</v>
      </c>
      <c r="L1179">
        <v>2.229015201181473</v>
      </c>
      <c r="M1179">
        <v>20</v>
      </c>
      <c r="N1179">
        <v>3.21</v>
      </c>
    </row>
    <row r="1180" spans="1:14">
      <c r="A1180" s="1" t="s">
        <v>1192</v>
      </c>
      <c r="B1180">
        <f>HYPERLINK("https://www.suredividend.com/sure-analysis-research-database/","Outfront Media Inc")</f>
        <v>0</v>
      </c>
      <c r="C1180" t="s">
        <v>1814</v>
      </c>
      <c r="D1180">
        <v>14.51</v>
      </c>
      <c r="E1180">
        <v>0.08037824984111401</v>
      </c>
      <c r="F1180" t="s">
        <v>1812</v>
      </c>
      <c r="G1180" t="s">
        <v>1812</v>
      </c>
      <c r="H1180">
        <v>1.166288405194564</v>
      </c>
      <c r="I1180">
        <v>2393.960586</v>
      </c>
      <c r="J1180">
        <v>21.70408509936536</v>
      </c>
      <c r="K1180">
        <v>1.743852280494264</v>
      </c>
      <c r="L1180">
        <v>1.444856443571257</v>
      </c>
      <c r="M1180">
        <v>20.83</v>
      </c>
      <c r="N1180">
        <v>13.58</v>
      </c>
    </row>
    <row r="1181" spans="1:14">
      <c r="A1181" s="1" t="s">
        <v>1193</v>
      </c>
      <c r="B1181">
        <f>HYPERLINK("https://www.suredividend.com/sure-analysis-research-database/","Oxford Industries, Inc.")</f>
        <v>0</v>
      </c>
      <c r="C1181" t="s">
        <v>1816</v>
      </c>
      <c r="D1181">
        <v>105.13</v>
      </c>
      <c r="E1181">
        <v>0.022630942916355</v>
      </c>
      <c r="F1181">
        <v>0.1818181818181817</v>
      </c>
      <c r="G1181">
        <v>0.1383790323022041</v>
      </c>
      <c r="H1181">
        <v>2.379191028796467</v>
      </c>
      <c r="I1181">
        <v>1652.704575</v>
      </c>
      <c r="J1181">
        <v>9.904441167410781</v>
      </c>
      <c r="K1181">
        <v>0.2298735293523157</v>
      </c>
      <c r="L1181">
        <v>1.172196369492961</v>
      </c>
      <c r="M1181">
        <v>121.81</v>
      </c>
      <c r="N1181">
        <v>82.97</v>
      </c>
    </row>
    <row r="1182" spans="1:14">
      <c r="A1182" s="1" t="s">
        <v>1194</v>
      </c>
      <c r="B1182">
        <f>HYPERLINK("https://www.suredividend.com/sure-analysis-research-database/","Pacific Biosciences of California Inc")</f>
        <v>0</v>
      </c>
      <c r="C1182" t="s">
        <v>1817</v>
      </c>
      <c r="D1182">
        <v>11.52</v>
      </c>
      <c r="E1182">
        <v>0</v>
      </c>
      <c r="F1182" t="s">
        <v>1812</v>
      </c>
      <c r="G1182" t="s">
        <v>1812</v>
      </c>
      <c r="H1182">
        <v>0</v>
      </c>
      <c r="I1182">
        <v>2878.748974</v>
      </c>
      <c r="J1182" t="s">
        <v>1812</v>
      </c>
      <c r="K1182">
        <v>-0</v>
      </c>
      <c r="L1182">
        <v>2.914951078901148</v>
      </c>
      <c r="M1182">
        <v>14.55</v>
      </c>
      <c r="N1182">
        <v>4.97</v>
      </c>
    </row>
    <row r="1183" spans="1:14">
      <c r="A1183" s="1" t="s">
        <v>1195</v>
      </c>
      <c r="B1183">
        <f>HYPERLINK("https://www.suredividend.com/sure-analysis-research-database/","Ranpak Holdings Corp")</f>
        <v>0</v>
      </c>
      <c r="C1183" t="s">
        <v>1816</v>
      </c>
      <c r="D1183">
        <v>6.39</v>
      </c>
      <c r="E1183">
        <v>0</v>
      </c>
      <c r="F1183" t="s">
        <v>1812</v>
      </c>
      <c r="G1183" t="s">
        <v>1812</v>
      </c>
      <c r="H1183">
        <v>0</v>
      </c>
      <c r="I1183">
        <v>507.919176</v>
      </c>
      <c r="J1183">
        <v>0</v>
      </c>
      <c r="K1183" t="s">
        <v>1812</v>
      </c>
      <c r="L1183">
        <v>1.523044398927665</v>
      </c>
      <c r="M1183">
        <v>8.24</v>
      </c>
      <c r="N1183">
        <v>2.66</v>
      </c>
    </row>
    <row r="1184" spans="1:14">
      <c r="A1184" s="1" t="s">
        <v>1196</v>
      </c>
      <c r="B1184">
        <f>HYPERLINK("https://www.suredividend.com/sure-analysis-research-database/","Phibro Animal Health Corp.")</f>
        <v>0</v>
      </c>
      <c r="C1184" t="s">
        <v>1817</v>
      </c>
      <c r="D1184">
        <v>14.91</v>
      </c>
      <c r="E1184">
        <v>0.031560778400143</v>
      </c>
      <c r="F1184">
        <v>0</v>
      </c>
      <c r="G1184">
        <v>0.03713728933664817</v>
      </c>
      <c r="H1184">
        <v>0.4705712059461331</v>
      </c>
      <c r="I1184">
        <v>303.233228</v>
      </c>
      <c r="J1184">
        <v>10.6044143500612</v>
      </c>
      <c r="K1184">
        <v>0.6665314531814917</v>
      </c>
      <c r="L1184">
        <v>0.803195071403064</v>
      </c>
      <c r="M1184">
        <v>19.14</v>
      </c>
      <c r="N1184">
        <v>11.45</v>
      </c>
    </row>
    <row r="1185" spans="1:14">
      <c r="A1185" s="1" t="s">
        <v>1197</v>
      </c>
      <c r="B1185">
        <f>HYPERLINK("https://www.suredividend.com/sure-analysis-research-database/","Par Technology Corp.")</f>
        <v>0</v>
      </c>
      <c r="C1185" t="s">
        <v>1818</v>
      </c>
      <c r="D1185">
        <v>35.79</v>
      </c>
      <c r="E1185">
        <v>0</v>
      </c>
      <c r="F1185" t="s">
        <v>1812</v>
      </c>
      <c r="G1185" t="s">
        <v>1812</v>
      </c>
      <c r="H1185">
        <v>0</v>
      </c>
      <c r="I1185">
        <v>980.861957</v>
      </c>
      <c r="J1185" t="s">
        <v>1812</v>
      </c>
      <c r="K1185">
        <v>-0</v>
      </c>
      <c r="L1185">
        <v>1.684000863460075</v>
      </c>
      <c r="M1185">
        <v>47.03</v>
      </c>
      <c r="N1185">
        <v>20.37</v>
      </c>
    </row>
    <row r="1186" spans="1:14">
      <c r="A1186" s="1" t="s">
        <v>1198</v>
      </c>
      <c r="B1186">
        <f>HYPERLINK("https://www.suredividend.com/sure-analysis-research-database/","Par Pacific Holdings Inc")</f>
        <v>0</v>
      </c>
      <c r="C1186" t="s">
        <v>1822</v>
      </c>
      <c r="D1186">
        <v>32.02</v>
      </c>
      <c r="E1186">
        <v>0</v>
      </c>
      <c r="F1186" t="s">
        <v>1812</v>
      </c>
      <c r="G1186" t="s">
        <v>1812</v>
      </c>
      <c r="H1186">
        <v>0</v>
      </c>
      <c r="I1186">
        <v>1954.453987</v>
      </c>
      <c r="J1186">
        <v>2.644262831653431</v>
      </c>
      <c r="K1186">
        <v>0</v>
      </c>
      <c r="L1186">
        <v>0.9493670405826281</v>
      </c>
      <c r="M1186">
        <v>32.3</v>
      </c>
      <c r="N1186">
        <v>14.42</v>
      </c>
    </row>
    <row r="1187" spans="1:14">
      <c r="A1187" s="1" t="s">
        <v>1199</v>
      </c>
      <c r="B1187">
        <f>HYPERLINK("https://www.suredividend.com/sure-analysis-research-database/","Patrick Industries, Inc.")</f>
        <v>0</v>
      </c>
      <c r="C1187" t="s">
        <v>1813</v>
      </c>
      <c r="D1187">
        <v>84.72</v>
      </c>
      <c r="E1187">
        <v>0.019607514663782</v>
      </c>
      <c r="F1187" t="s">
        <v>1812</v>
      </c>
      <c r="G1187" t="s">
        <v>1812</v>
      </c>
      <c r="H1187">
        <v>1.661148642315684</v>
      </c>
      <c r="I1187">
        <v>1891.084003</v>
      </c>
      <c r="J1187">
        <v>7.696844895480594</v>
      </c>
      <c r="K1187">
        <v>0.1614332985729528</v>
      </c>
      <c r="L1187">
        <v>1.286953585761268</v>
      </c>
      <c r="M1187">
        <v>87.36</v>
      </c>
      <c r="N1187">
        <v>41.02</v>
      </c>
    </row>
    <row r="1188" spans="1:14">
      <c r="A1188" s="1" t="s">
        <v>1200</v>
      </c>
      <c r="B1188">
        <f>HYPERLINK("https://www.suredividend.com/sure-analysis-research-database/","Payoneer Global Inc")</f>
        <v>0</v>
      </c>
      <c r="C1188" t="s">
        <v>1812</v>
      </c>
      <c r="D1188">
        <v>5.06</v>
      </c>
      <c r="E1188">
        <v>0</v>
      </c>
      <c r="F1188" t="s">
        <v>1812</v>
      </c>
      <c r="G1188" t="s">
        <v>1812</v>
      </c>
      <c r="H1188">
        <v>0</v>
      </c>
      <c r="I1188">
        <v>1820.150017</v>
      </c>
      <c r="J1188" t="s">
        <v>1812</v>
      </c>
      <c r="K1188">
        <v>-0</v>
      </c>
      <c r="L1188">
        <v>0.9667672105118441</v>
      </c>
      <c r="M1188">
        <v>8.039999999999999</v>
      </c>
      <c r="N1188">
        <v>4.02</v>
      </c>
    </row>
    <row r="1189" spans="1:14">
      <c r="A1189" s="1" t="s">
        <v>1201</v>
      </c>
      <c r="B1189">
        <f>HYPERLINK("https://www.suredividend.com/sure-analysis-research-database/","PBF Energy Inc")</f>
        <v>0</v>
      </c>
      <c r="C1189" t="s">
        <v>1822</v>
      </c>
      <c r="D1189">
        <v>45.43</v>
      </c>
      <c r="E1189">
        <v>0.013120428579466</v>
      </c>
      <c r="F1189" t="s">
        <v>1812</v>
      </c>
      <c r="G1189" t="s">
        <v>1812</v>
      </c>
      <c r="H1189">
        <v>0.5960610703651701</v>
      </c>
      <c r="I1189">
        <v>5728.589345</v>
      </c>
      <c r="J1189">
        <v>1.74652114175</v>
      </c>
      <c r="K1189">
        <v>0.02370024136640836</v>
      </c>
      <c r="L1189">
        <v>0.8474504609800441</v>
      </c>
      <c r="M1189">
        <v>48.59</v>
      </c>
      <c r="N1189">
        <v>26.5</v>
      </c>
    </row>
    <row r="1190" spans="1:14">
      <c r="A1190" s="1" t="s">
        <v>1202</v>
      </c>
      <c r="B1190">
        <f>HYPERLINK("https://www.suredividend.com/sure-analysis-research-database/","Pioneer Bancorp Inc")</f>
        <v>0</v>
      </c>
      <c r="C1190" t="s">
        <v>1815</v>
      </c>
      <c r="D1190">
        <v>9.98</v>
      </c>
      <c r="E1190">
        <v>0</v>
      </c>
      <c r="F1190" t="s">
        <v>1812</v>
      </c>
      <c r="G1190" t="s">
        <v>1812</v>
      </c>
      <c r="H1190">
        <v>0</v>
      </c>
      <c r="I1190">
        <v>259.257236</v>
      </c>
      <c r="J1190">
        <v>0</v>
      </c>
      <c r="K1190" t="s">
        <v>1812</v>
      </c>
      <c r="L1190">
        <v>0.4761442962310861</v>
      </c>
      <c r="M1190">
        <v>11.97</v>
      </c>
      <c r="N1190">
        <v>7.96</v>
      </c>
    </row>
    <row r="1191" spans="1:14">
      <c r="A1191" s="1" t="s">
        <v>1203</v>
      </c>
      <c r="B1191">
        <f>HYPERLINK("https://www.suredividend.com/sure-analysis-research-database/","Prestige Consumer Healthcare Inc")</f>
        <v>0</v>
      </c>
      <c r="C1191" t="s">
        <v>1817</v>
      </c>
      <c r="D1191">
        <v>66.52</v>
      </c>
      <c r="E1191">
        <v>0</v>
      </c>
      <c r="F1191" t="s">
        <v>1812</v>
      </c>
      <c r="G1191" t="s">
        <v>1812</v>
      </c>
      <c r="H1191">
        <v>0</v>
      </c>
      <c r="I1191">
        <v>3294.024435</v>
      </c>
      <c r="J1191" t="s">
        <v>1812</v>
      </c>
      <c r="K1191">
        <v>-0</v>
      </c>
      <c r="L1191">
        <v>0.49394103226959</v>
      </c>
      <c r="M1191">
        <v>67.45</v>
      </c>
      <c r="N1191">
        <v>48.51</v>
      </c>
    </row>
    <row r="1192" spans="1:14">
      <c r="A1192" s="1" t="s">
        <v>1204</v>
      </c>
      <c r="B1192">
        <f>HYPERLINK("https://www.suredividend.com/sure-analysis-research-database/","Pitney Bowes, Inc.")</f>
        <v>0</v>
      </c>
      <c r="C1192" t="s">
        <v>1813</v>
      </c>
      <c r="D1192">
        <v>3.42</v>
      </c>
      <c r="E1192">
        <v>0.057255370056102</v>
      </c>
      <c r="F1192">
        <v>0</v>
      </c>
      <c r="G1192">
        <v>-0.2322961007252451</v>
      </c>
      <c r="H1192">
        <v>0.195813365591869</v>
      </c>
      <c r="I1192">
        <v>600.639757</v>
      </c>
      <c r="J1192">
        <v>71.6582864710093</v>
      </c>
      <c r="K1192">
        <v>4.122386644039348</v>
      </c>
      <c r="L1192">
        <v>1.362827612913999</v>
      </c>
      <c r="M1192">
        <v>4.72</v>
      </c>
      <c r="N1192">
        <v>2.2</v>
      </c>
    </row>
    <row r="1193" spans="1:14">
      <c r="A1193" s="1" t="s">
        <v>1205</v>
      </c>
      <c r="B1193">
        <f>HYPERLINK("https://www.suredividend.com/sure-analysis-research-database/","PCB Bancorp.")</f>
        <v>0</v>
      </c>
      <c r="C1193" t="s">
        <v>1815</v>
      </c>
      <c r="D1193">
        <v>16.46</v>
      </c>
      <c r="E1193">
        <v>0.037353703435012</v>
      </c>
      <c r="F1193">
        <v>0.2</v>
      </c>
      <c r="G1193">
        <v>0.4309690811052556</v>
      </c>
      <c r="H1193">
        <v>0.6148419585403021</v>
      </c>
      <c r="I1193">
        <v>235.664239</v>
      </c>
      <c r="J1193">
        <v>0</v>
      </c>
      <c r="K1193" t="s">
        <v>1812</v>
      </c>
      <c r="L1193">
        <v>0.692567344524964</v>
      </c>
      <c r="M1193">
        <v>19.52</v>
      </c>
      <c r="N1193">
        <v>12.53</v>
      </c>
    </row>
    <row r="1194" spans="1:14">
      <c r="A1194" s="1" t="s">
        <v>1206</v>
      </c>
      <c r="B1194">
        <f>HYPERLINK("https://www.suredividend.com/sure-analysis-research-database/","PotlatchDeltic Corp")</f>
        <v>0</v>
      </c>
      <c r="C1194" t="s">
        <v>1814</v>
      </c>
      <c r="D1194">
        <v>51.23</v>
      </c>
      <c r="E1194">
        <v>0.033834864115055</v>
      </c>
      <c r="F1194">
        <v>0.02272727272727271</v>
      </c>
      <c r="G1194">
        <v>0.02383625553960966</v>
      </c>
      <c r="H1194">
        <v>1.733360088614276</v>
      </c>
      <c r="I1194">
        <v>4094.092684</v>
      </c>
      <c r="J1194">
        <v>21.97816557902082</v>
      </c>
      <c r="K1194">
        <v>0.70176521806246</v>
      </c>
      <c r="L1194">
        <v>0.9867241751333371</v>
      </c>
      <c r="M1194">
        <v>54.44</v>
      </c>
      <c r="N1194">
        <v>36.82</v>
      </c>
    </row>
    <row r="1195" spans="1:14">
      <c r="A1195" s="1" t="s">
        <v>1207</v>
      </c>
      <c r="B1195">
        <f>HYPERLINK("https://www.suredividend.com/sure-analysis-research-database/","Pacira BioSciences Inc")</f>
        <v>0</v>
      </c>
      <c r="C1195" t="s">
        <v>1817</v>
      </c>
      <c r="D1195">
        <v>38.75</v>
      </c>
      <c r="E1195">
        <v>0</v>
      </c>
      <c r="F1195" t="s">
        <v>1812</v>
      </c>
      <c r="G1195" t="s">
        <v>1812</v>
      </c>
      <c r="H1195">
        <v>0</v>
      </c>
      <c r="I1195">
        <v>1798.659719</v>
      </c>
      <c r="J1195" t="s">
        <v>1812</v>
      </c>
      <c r="K1195">
        <v>-0</v>
      </c>
      <c r="L1195">
        <v>0.786868756370916</v>
      </c>
      <c r="M1195">
        <v>59.2</v>
      </c>
      <c r="N1195">
        <v>34.08</v>
      </c>
    </row>
    <row r="1196" spans="1:14">
      <c r="A1196" s="1" t="s">
        <v>1208</v>
      </c>
      <c r="B1196">
        <f>HYPERLINK("https://www.suredividend.com/sure-analysis-research-database/","PureCycle Technologies Inc")</f>
        <v>0</v>
      </c>
      <c r="C1196" t="s">
        <v>1812</v>
      </c>
      <c r="D1196">
        <v>10.96</v>
      </c>
      <c r="E1196">
        <v>0</v>
      </c>
      <c r="F1196" t="s">
        <v>1812</v>
      </c>
      <c r="G1196" t="s">
        <v>1812</v>
      </c>
      <c r="H1196">
        <v>0</v>
      </c>
      <c r="I1196">
        <v>1793.82754</v>
      </c>
      <c r="J1196">
        <v>0</v>
      </c>
      <c r="K1196" t="s">
        <v>1812</v>
      </c>
      <c r="L1196">
        <v>1.745168927517945</v>
      </c>
      <c r="M1196">
        <v>11.89</v>
      </c>
      <c r="N1196">
        <v>4.44</v>
      </c>
    </row>
    <row r="1197" spans="1:14">
      <c r="A1197" s="1" t="s">
        <v>1209</v>
      </c>
      <c r="B1197">
        <f>HYPERLINK("https://www.suredividend.com/sure-analysis-research-database/","Vaxcyte Inc")</f>
        <v>0</v>
      </c>
      <c r="C1197" t="s">
        <v>1812</v>
      </c>
      <c r="D1197">
        <v>48.82</v>
      </c>
      <c r="E1197">
        <v>0</v>
      </c>
      <c r="F1197" t="s">
        <v>1812</v>
      </c>
      <c r="G1197" t="s">
        <v>1812</v>
      </c>
      <c r="H1197">
        <v>0</v>
      </c>
      <c r="I1197">
        <v>4574.765488</v>
      </c>
      <c r="J1197">
        <v>0</v>
      </c>
      <c r="K1197" t="s">
        <v>1812</v>
      </c>
      <c r="L1197">
        <v>0.8046973496541221</v>
      </c>
      <c r="M1197">
        <v>54.97</v>
      </c>
      <c r="N1197">
        <v>20.49</v>
      </c>
    </row>
    <row r="1198" spans="1:14">
      <c r="A1198" s="1" t="s">
        <v>1210</v>
      </c>
      <c r="B1198">
        <f>HYPERLINK("https://www.suredividend.com/sure-analysis-research-database/","Pure Cycle Corp.")</f>
        <v>0</v>
      </c>
      <c r="C1198" t="s">
        <v>1820</v>
      </c>
      <c r="D1198">
        <v>12.47</v>
      </c>
      <c r="E1198">
        <v>0</v>
      </c>
      <c r="F1198" t="s">
        <v>1812</v>
      </c>
      <c r="G1198" t="s">
        <v>1812</v>
      </c>
      <c r="H1198">
        <v>0</v>
      </c>
      <c r="I1198">
        <v>299.963892</v>
      </c>
      <c r="J1198">
        <v>0</v>
      </c>
      <c r="K1198" t="s">
        <v>1812</v>
      </c>
      <c r="L1198">
        <v>0.8583031312320371</v>
      </c>
      <c r="M1198">
        <v>13.07</v>
      </c>
      <c r="N1198">
        <v>7.77</v>
      </c>
    </row>
    <row r="1199" spans="1:14">
      <c r="A1199" s="1" t="s">
        <v>1211</v>
      </c>
      <c r="B1199">
        <f>HYPERLINK("https://www.suredividend.com/sure-analysis-research-database/","Pagerduty Inc")</f>
        <v>0</v>
      </c>
      <c r="C1199" t="s">
        <v>1818</v>
      </c>
      <c r="D1199">
        <v>24.42</v>
      </c>
      <c r="E1199">
        <v>0</v>
      </c>
      <c r="F1199" t="s">
        <v>1812</v>
      </c>
      <c r="G1199" t="s">
        <v>1812</v>
      </c>
      <c r="H1199">
        <v>0</v>
      </c>
      <c r="I1199">
        <v>2251.654207</v>
      </c>
      <c r="J1199" t="s">
        <v>1812</v>
      </c>
      <c r="K1199">
        <v>-0</v>
      </c>
      <c r="L1199">
        <v>1.797484962910494</v>
      </c>
      <c r="M1199">
        <v>35.33</v>
      </c>
      <c r="N1199">
        <v>19.51</v>
      </c>
    </row>
    <row r="1200" spans="1:14">
      <c r="A1200" s="1" t="s">
        <v>1212</v>
      </c>
      <c r="B1200">
        <f>HYPERLINK("https://www.suredividend.com/sure-analysis-PDCO/","Patterson Companies Inc.")</f>
        <v>0</v>
      </c>
      <c r="C1200" t="s">
        <v>1817</v>
      </c>
      <c r="D1200">
        <v>33.02</v>
      </c>
      <c r="E1200">
        <v>0.03149606299212598</v>
      </c>
      <c r="F1200">
        <v>0</v>
      </c>
      <c r="G1200">
        <v>0</v>
      </c>
      <c r="H1200">
        <v>1.02029353391656</v>
      </c>
      <c r="I1200">
        <v>3157.161898</v>
      </c>
      <c r="J1200">
        <v>15.21105960049529</v>
      </c>
      <c r="K1200">
        <v>0.4812705348663018</v>
      </c>
      <c r="L1200">
        <v>0.853433048421625</v>
      </c>
      <c r="M1200">
        <v>33.45</v>
      </c>
      <c r="N1200">
        <v>22.82</v>
      </c>
    </row>
    <row r="1201" spans="1:14">
      <c r="A1201" s="1" t="s">
        <v>1213</v>
      </c>
      <c r="B1201">
        <f>HYPERLINK("https://www.suredividend.com/sure-analysis-research-database/","PDF Solutions Inc.")</f>
        <v>0</v>
      </c>
      <c r="C1201" t="s">
        <v>1818</v>
      </c>
      <c r="D1201">
        <v>43.75</v>
      </c>
      <c r="E1201">
        <v>0</v>
      </c>
      <c r="F1201" t="s">
        <v>1812</v>
      </c>
      <c r="G1201" t="s">
        <v>1812</v>
      </c>
      <c r="H1201">
        <v>0</v>
      </c>
      <c r="I1201">
        <v>1656.036331</v>
      </c>
      <c r="J1201">
        <v>1539.067222351301</v>
      </c>
      <c r="K1201">
        <v>0</v>
      </c>
      <c r="L1201">
        <v>1.146508522758695</v>
      </c>
      <c r="M1201">
        <v>48.02</v>
      </c>
      <c r="N1201">
        <v>21.36</v>
      </c>
    </row>
    <row r="1202" spans="1:14">
      <c r="A1202" s="1" t="s">
        <v>1214</v>
      </c>
      <c r="B1202">
        <f>HYPERLINK("https://www.suredividend.com/sure-analysis-research-database/","PDL Biopharma Inc")</f>
        <v>0</v>
      </c>
      <c r="C1202" t="s">
        <v>1817</v>
      </c>
      <c r="D1202">
        <v>2.47</v>
      </c>
      <c r="E1202">
        <v>0</v>
      </c>
      <c r="F1202" t="s">
        <v>1812</v>
      </c>
      <c r="G1202" t="s">
        <v>1812</v>
      </c>
      <c r="H1202">
        <v>0.07587900012731501</v>
      </c>
      <c r="I1202">
        <v>0</v>
      </c>
      <c r="J1202">
        <v>0</v>
      </c>
      <c r="K1202" t="s">
        <v>1812</v>
      </c>
    </row>
    <row r="1203" spans="1:14">
      <c r="A1203" s="1" t="s">
        <v>1215</v>
      </c>
      <c r="B1203">
        <f>HYPERLINK("https://www.suredividend.com/sure-analysis-PDM/","Piedmont Office Realty Trust Inc")</f>
        <v>0</v>
      </c>
      <c r="C1203" t="s">
        <v>1814</v>
      </c>
      <c r="D1203">
        <v>7.25</v>
      </c>
      <c r="E1203">
        <v>0.06896551724137931</v>
      </c>
      <c r="F1203">
        <v>0</v>
      </c>
      <c r="G1203">
        <v>0</v>
      </c>
      <c r="H1203">
        <v>0.8067423195927701</v>
      </c>
      <c r="I1203">
        <v>896.799444</v>
      </c>
      <c r="J1203">
        <v>11.87106285988484</v>
      </c>
      <c r="K1203">
        <v>1.319284251173786</v>
      </c>
      <c r="L1203">
        <v>1.103235402223597</v>
      </c>
      <c r="M1203">
        <v>12.41</v>
      </c>
      <c r="N1203">
        <v>5.79</v>
      </c>
    </row>
    <row r="1204" spans="1:14">
      <c r="A1204" s="1" t="s">
        <v>1216</v>
      </c>
      <c r="B1204">
        <f>HYPERLINK("https://www.suredividend.com/sure-analysis-research-database/","Pebblebrook Hotel Trust")</f>
        <v>0</v>
      </c>
      <c r="C1204" t="s">
        <v>1814</v>
      </c>
      <c r="D1204">
        <v>14.48</v>
      </c>
      <c r="E1204">
        <v>0.00275935528651</v>
      </c>
      <c r="F1204">
        <v>0</v>
      </c>
      <c r="G1204">
        <v>-0.4737760302171469</v>
      </c>
      <c r="H1204">
        <v>0.039955464548667</v>
      </c>
      <c r="I1204">
        <v>1744.866947</v>
      </c>
      <c r="J1204" t="s">
        <v>1812</v>
      </c>
      <c r="K1204" t="s">
        <v>1812</v>
      </c>
      <c r="L1204">
        <v>1.34588922612033</v>
      </c>
      <c r="M1204">
        <v>20.48</v>
      </c>
      <c r="N1204">
        <v>12.35</v>
      </c>
    </row>
    <row r="1205" spans="1:14">
      <c r="A1205" s="1" t="s">
        <v>1217</v>
      </c>
      <c r="B1205">
        <f>HYPERLINK("https://www.suredividend.com/sure-analysis-research-database/","Peoples Bancorp, Inc. (Marietta, OH)")</f>
        <v>0</v>
      </c>
      <c r="C1205" t="s">
        <v>1815</v>
      </c>
      <c r="D1205">
        <v>27.96</v>
      </c>
      <c r="E1205">
        <v>0.052936945224791</v>
      </c>
      <c r="F1205">
        <v>0.02631578947368429</v>
      </c>
      <c r="G1205">
        <v>0.0685167022962101</v>
      </c>
      <c r="H1205">
        <v>1.480116988485159</v>
      </c>
      <c r="I1205">
        <v>796.446555</v>
      </c>
      <c r="J1205">
        <v>7.681109428001042</v>
      </c>
      <c r="K1205">
        <v>0.3989533661685065</v>
      </c>
      <c r="L1205">
        <v>0.6571166542404751</v>
      </c>
      <c r="M1205">
        <v>30.43</v>
      </c>
      <c r="N1205">
        <v>22.86</v>
      </c>
    </row>
    <row r="1206" spans="1:14">
      <c r="A1206" s="1" t="s">
        <v>1218</v>
      </c>
      <c r="B1206">
        <f>HYPERLINK("https://www.suredividend.com/sure-analysis-PECO/","Phillips Edison &amp; Company Inc")</f>
        <v>0</v>
      </c>
      <c r="C1206" t="s">
        <v>1812</v>
      </c>
      <c r="D1206">
        <v>35.53</v>
      </c>
      <c r="E1206">
        <v>0.03152265690965381</v>
      </c>
      <c r="F1206">
        <v>0</v>
      </c>
      <c r="G1206">
        <v>0.007228084911208521</v>
      </c>
      <c r="H1206">
        <v>1.093476142595751</v>
      </c>
      <c r="I1206">
        <v>4167.669</v>
      </c>
      <c r="J1206">
        <v>0</v>
      </c>
      <c r="K1206" t="s">
        <v>1812</v>
      </c>
      <c r="L1206">
        <v>0.8884129741857971</v>
      </c>
      <c r="M1206">
        <v>35.97</v>
      </c>
      <c r="N1206">
        <v>26.15</v>
      </c>
    </row>
    <row r="1207" spans="1:14">
      <c r="A1207" s="1" t="s">
        <v>1219</v>
      </c>
      <c r="B1207">
        <f>HYPERLINK("https://www.suredividend.com/sure-analysis-research-database/","PepGen Inc")</f>
        <v>0</v>
      </c>
      <c r="C1207" t="s">
        <v>1812</v>
      </c>
      <c r="D1207">
        <v>5.7</v>
      </c>
      <c r="E1207">
        <v>0</v>
      </c>
      <c r="F1207" t="s">
        <v>1812</v>
      </c>
      <c r="G1207" t="s">
        <v>1812</v>
      </c>
      <c r="H1207">
        <v>0</v>
      </c>
      <c r="I1207">
        <v>135.559093</v>
      </c>
      <c r="J1207">
        <v>0</v>
      </c>
      <c r="K1207" t="s">
        <v>1812</v>
      </c>
      <c r="L1207">
        <v>1.918862646343045</v>
      </c>
      <c r="M1207">
        <v>20</v>
      </c>
      <c r="N1207">
        <v>4.32</v>
      </c>
    </row>
    <row r="1208" spans="1:14">
      <c r="A1208" s="1" t="s">
        <v>1220</v>
      </c>
      <c r="B1208">
        <f>HYPERLINK("https://www.suredividend.com/sure-analysis-research-database/","PetIQ Inc")</f>
        <v>0</v>
      </c>
      <c r="C1208" t="s">
        <v>1817</v>
      </c>
      <c r="D1208">
        <v>16.11</v>
      </c>
      <c r="E1208">
        <v>0</v>
      </c>
      <c r="F1208" t="s">
        <v>1812</v>
      </c>
      <c r="G1208" t="s">
        <v>1812</v>
      </c>
      <c r="H1208">
        <v>0</v>
      </c>
      <c r="I1208">
        <v>469.409217</v>
      </c>
      <c r="J1208" t="s">
        <v>1812</v>
      </c>
      <c r="K1208">
        <v>-0</v>
      </c>
      <c r="L1208">
        <v>1.680602953807274</v>
      </c>
      <c r="M1208">
        <v>18.42</v>
      </c>
      <c r="N1208">
        <v>6.66</v>
      </c>
    </row>
    <row r="1209" spans="1:14">
      <c r="A1209" s="1" t="s">
        <v>1221</v>
      </c>
      <c r="B1209">
        <f>HYPERLINK("https://www.suredividend.com/sure-analysis-PETS/","Petmed Express, Inc.")</f>
        <v>0</v>
      </c>
      <c r="C1209" t="s">
        <v>1817</v>
      </c>
      <c r="D1209">
        <v>13.27</v>
      </c>
      <c r="E1209">
        <v>0.0904295403165034</v>
      </c>
      <c r="F1209" t="s">
        <v>1812</v>
      </c>
      <c r="G1209" t="s">
        <v>1812</v>
      </c>
      <c r="H1209">
        <v>1.186451985640825</v>
      </c>
      <c r="I1209">
        <v>280.916969</v>
      </c>
      <c r="J1209">
        <v>1205.652228712446</v>
      </c>
      <c r="K1209">
        <v>103.1697378818109</v>
      </c>
      <c r="L1209">
        <v>0.92875521101042</v>
      </c>
      <c r="M1209">
        <v>23.28</v>
      </c>
      <c r="N1209">
        <v>12.92</v>
      </c>
    </row>
    <row r="1210" spans="1:14">
      <c r="A1210" s="1" t="s">
        <v>1222</v>
      </c>
      <c r="B1210">
        <f>HYPERLINK("https://www.suredividend.com/sure-analysis-research-database/","Preferred Bank (Los Angeles, CA)")</f>
        <v>0</v>
      </c>
      <c r="C1210" t="s">
        <v>1815</v>
      </c>
      <c r="D1210">
        <v>66.97</v>
      </c>
      <c r="E1210">
        <v>0.038152304643576</v>
      </c>
      <c r="F1210">
        <v>0.2790697674418605</v>
      </c>
      <c r="G1210">
        <v>0.1708049129648923</v>
      </c>
      <c r="H1210">
        <v>2.55505984198034</v>
      </c>
      <c r="I1210">
        <v>883.26733</v>
      </c>
      <c r="J1210">
        <v>6.269198168784158</v>
      </c>
      <c r="K1210">
        <v>0.2669863993709864</v>
      </c>
      <c r="L1210">
        <v>0.8241906521266621</v>
      </c>
      <c r="M1210">
        <v>74.09</v>
      </c>
      <c r="N1210">
        <v>41.59</v>
      </c>
    </row>
    <row r="1211" spans="1:14">
      <c r="A1211" s="1" t="s">
        <v>1223</v>
      </c>
      <c r="B1211">
        <f>HYPERLINK("https://www.suredividend.com/sure-analysis-research-database/","Premier Financial Corp")</f>
        <v>0</v>
      </c>
      <c r="C1211" t="s">
        <v>1812</v>
      </c>
      <c r="D1211">
        <v>21.21</v>
      </c>
      <c r="E1211">
        <v>0.055304104887283</v>
      </c>
      <c r="F1211">
        <v>0.03333333333333321</v>
      </c>
      <c r="G1211">
        <v>0.1276713701237631</v>
      </c>
      <c r="H1211">
        <v>1.173000064659283</v>
      </c>
      <c r="I1211">
        <v>757.796522</v>
      </c>
      <c r="J1211">
        <v>8.072915678871619</v>
      </c>
      <c r="K1211">
        <v>0.4460076291480164</v>
      </c>
      <c r="L1211">
        <v>0.9999894191781711</v>
      </c>
      <c r="M1211">
        <v>28.34</v>
      </c>
      <c r="N1211">
        <v>13.2</v>
      </c>
    </row>
    <row r="1212" spans="1:14">
      <c r="A1212" s="1" t="s">
        <v>1224</v>
      </c>
      <c r="B1212">
        <f>HYPERLINK("https://www.suredividend.com/sure-analysis-research-database/","ProFrac Holding Corp")</f>
        <v>0</v>
      </c>
      <c r="C1212" t="s">
        <v>1812</v>
      </c>
      <c r="D1212">
        <v>21.25</v>
      </c>
      <c r="E1212">
        <v>0</v>
      </c>
      <c r="F1212" t="s">
        <v>1812</v>
      </c>
      <c r="G1212" t="s">
        <v>1812</v>
      </c>
      <c r="H1212">
        <v>0</v>
      </c>
      <c r="I1212">
        <v>910.578251</v>
      </c>
      <c r="J1212">
        <v>0</v>
      </c>
      <c r="K1212" t="s">
        <v>1812</v>
      </c>
    </row>
    <row r="1213" spans="1:14">
      <c r="A1213" s="1" t="s">
        <v>1225</v>
      </c>
      <c r="B1213">
        <f>HYPERLINK("https://www.suredividend.com/sure-analysis-research-database/","Peoples Financial Services Corp")</f>
        <v>0</v>
      </c>
      <c r="C1213" t="s">
        <v>1815</v>
      </c>
      <c r="D1213">
        <v>45.93</v>
      </c>
      <c r="E1213">
        <v>0.03448673384364701</v>
      </c>
      <c r="F1213">
        <v>0.05128205128205132</v>
      </c>
      <c r="G1213">
        <v>0.04436902690230249</v>
      </c>
      <c r="H1213">
        <v>1.583975685438712</v>
      </c>
      <c r="I1213">
        <v>328.434269</v>
      </c>
      <c r="J1213">
        <v>0</v>
      </c>
      <c r="K1213" t="s">
        <v>1812</v>
      </c>
      <c r="L1213">
        <v>0.934593900639449</v>
      </c>
      <c r="M1213">
        <v>56.32</v>
      </c>
      <c r="N1213">
        <v>29.92</v>
      </c>
    </row>
    <row r="1214" spans="1:14">
      <c r="A1214" s="1" t="s">
        <v>1226</v>
      </c>
      <c r="B1214">
        <f>HYPERLINK("https://www.suredividend.com/sure-analysis-research-database/","Provident Financial Services Inc")</f>
        <v>0</v>
      </c>
      <c r="C1214" t="s">
        <v>1815</v>
      </c>
      <c r="D1214">
        <v>18.37</v>
      </c>
      <c r="E1214">
        <v>0.051250041949016</v>
      </c>
      <c r="F1214">
        <v>0</v>
      </c>
      <c r="G1214">
        <v>0.02706608708935176</v>
      </c>
      <c r="H1214">
        <v>0.941463270603431</v>
      </c>
      <c r="I1214">
        <v>1388.044217</v>
      </c>
      <c r="J1214">
        <v>8.059621984067077</v>
      </c>
      <c r="K1214">
        <v>0.4075598574040827</v>
      </c>
      <c r="L1214">
        <v>0.933570360014474</v>
      </c>
      <c r="M1214">
        <v>24.69</v>
      </c>
      <c r="N1214">
        <v>14.31</v>
      </c>
    </row>
    <row r="1215" spans="1:14">
      <c r="A1215" s="1" t="s">
        <v>1227</v>
      </c>
      <c r="B1215">
        <f>HYPERLINK("https://www.suredividend.com/sure-analysis-research-database/","PennyMac Financial Services Inc.")</f>
        <v>0</v>
      </c>
      <c r="C1215" t="s">
        <v>1815</v>
      </c>
      <c r="D1215">
        <v>73.76000000000001</v>
      </c>
      <c r="E1215">
        <v>0.010772481742406</v>
      </c>
      <c r="F1215" t="s">
        <v>1812</v>
      </c>
      <c r="G1215" t="s">
        <v>1812</v>
      </c>
      <c r="H1215">
        <v>0.794578253319922</v>
      </c>
      <c r="I1215">
        <v>3682.435251</v>
      </c>
      <c r="J1215">
        <v>0</v>
      </c>
      <c r="K1215" t="s">
        <v>1812</v>
      </c>
      <c r="L1215">
        <v>1.425120864053592</v>
      </c>
      <c r="M1215">
        <v>82.92</v>
      </c>
      <c r="N1215">
        <v>41.19</v>
      </c>
    </row>
    <row r="1216" spans="1:14">
      <c r="A1216" s="1" t="s">
        <v>1228</v>
      </c>
      <c r="B1216">
        <f>HYPERLINK("https://www.suredividend.com/sure-analysis-research-database/","PFSWEB Inc")</f>
        <v>0</v>
      </c>
      <c r="C1216" t="s">
        <v>1813</v>
      </c>
      <c r="D1216">
        <v>4.7</v>
      </c>
      <c r="E1216">
        <v>0</v>
      </c>
      <c r="F1216" t="s">
        <v>1812</v>
      </c>
      <c r="G1216" t="s">
        <v>1812</v>
      </c>
      <c r="H1216">
        <v>0</v>
      </c>
      <c r="I1216">
        <v>106.807556</v>
      </c>
      <c r="J1216" t="s">
        <v>1812</v>
      </c>
      <c r="K1216">
        <v>-0</v>
      </c>
      <c r="L1216">
        <v>0.656166434167739</v>
      </c>
      <c r="M1216">
        <v>7.36</v>
      </c>
      <c r="N1216">
        <v>3.8</v>
      </c>
    </row>
    <row r="1217" spans="1:14">
      <c r="A1217" s="1" t="s">
        <v>1229</v>
      </c>
      <c r="B1217">
        <f>HYPERLINK("https://www.suredividend.com/sure-analysis-research-database/","Peapack-Gladstone Financial Corp.")</f>
        <v>0</v>
      </c>
      <c r="C1217" t="s">
        <v>1815</v>
      </c>
      <c r="D1217">
        <v>29.08</v>
      </c>
      <c r="E1217">
        <v>0.006849799023829001</v>
      </c>
      <c r="F1217">
        <v>0</v>
      </c>
      <c r="G1217">
        <v>0</v>
      </c>
      <c r="H1217">
        <v>0.19919215561295</v>
      </c>
      <c r="I1217">
        <v>523.933284</v>
      </c>
      <c r="J1217">
        <v>6.618662001515919</v>
      </c>
      <c r="K1217">
        <v>0.0463237571192907</v>
      </c>
      <c r="L1217">
        <v>1.008345253203737</v>
      </c>
      <c r="M1217">
        <v>41.96</v>
      </c>
      <c r="N1217">
        <v>22.79</v>
      </c>
    </row>
    <row r="1218" spans="1:14">
      <c r="A1218" s="1" t="s">
        <v>1230</v>
      </c>
      <c r="B1218">
        <f>HYPERLINK("https://www.suredividend.com/sure-analysis-research-database/","Precigen Inc")</f>
        <v>0</v>
      </c>
      <c r="C1218" t="s">
        <v>1817</v>
      </c>
      <c r="D1218">
        <v>1.12</v>
      </c>
      <c r="E1218">
        <v>0</v>
      </c>
      <c r="F1218" t="s">
        <v>1812</v>
      </c>
      <c r="G1218" t="s">
        <v>1812</v>
      </c>
      <c r="H1218">
        <v>0</v>
      </c>
      <c r="I1218">
        <v>286.140683</v>
      </c>
      <c r="J1218">
        <v>11.52259829098377</v>
      </c>
      <c r="K1218">
        <v>0</v>
      </c>
      <c r="L1218">
        <v>2.201376456255803</v>
      </c>
      <c r="M1218">
        <v>2.9</v>
      </c>
      <c r="N1218">
        <v>0.805</v>
      </c>
    </row>
    <row r="1219" spans="1:14">
      <c r="A1219" s="1" t="s">
        <v>1231</v>
      </c>
      <c r="B1219">
        <f>HYPERLINK("https://www.suredividend.com/sure-analysis-research-database/","Progyny Inc")</f>
        <v>0</v>
      </c>
      <c r="C1219" t="s">
        <v>1817</v>
      </c>
      <c r="D1219">
        <v>40.43</v>
      </c>
      <c r="E1219">
        <v>0</v>
      </c>
      <c r="F1219" t="s">
        <v>1812</v>
      </c>
      <c r="G1219" t="s">
        <v>1812</v>
      </c>
      <c r="H1219">
        <v>0</v>
      </c>
      <c r="I1219">
        <v>3816.885401</v>
      </c>
      <c r="J1219">
        <v>88.63079996540114</v>
      </c>
      <c r="K1219">
        <v>0</v>
      </c>
      <c r="L1219">
        <v>1.244170547602201</v>
      </c>
      <c r="M1219">
        <v>46.5</v>
      </c>
      <c r="N1219">
        <v>28.03</v>
      </c>
    </row>
    <row r="1220" spans="1:14">
      <c r="A1220" s="1" t="s">
        <v>1232</v>
      </c>
      <c r="B1220">
        <f>HYPERLINK("https://www.suredividend.com/sure-analysis-PGRE/","Paramount Group Inc")</f>
        <v>0</v>
      </c>
      <c r="C1220" t="s">
        <v>1814</v>
      </c>
      <c r="D1220">
        <v>4.84</v>
      </c>
      <c r="E1220">
        <v>0.02892561983471075</v>
      </c>
      <c r="F1220">
        <v>-0.5483870967741935</v>
      </c>
      <c r="G1220">
        <v>-0.1893869169010509</v>
      </c>
      <c r="H1220">
        <v>0.262034432065092</v>
      </c>
      <c r="I1220">
        <v>1051.76345</v>
      </c>
      <c r="J1220" t="s">
        <v>1812</v>
      </c>
      <c r="K1220" t="s">
        <v>1812</v>
      </c>
      <c r="L1220">
        <v>1.130280452414073</v>
      </c>
      <c r="M1220">
        <v>7.56</v>
      </c>
      <c r="N1220">
        <v>3.8</v>
      </c>
    </row>
    <row r="1221" spans="1:14">
      <c r="A1221" s="1" t="s">
        <v>1233</v>
      </c>
      <c r="B1221">
        <f>HYPERLINK("https://www.suredividend.com/sure-analysis-research-database/","PGT Innovations Inc")</f>
        <v>0</v>
      </c>
      <c r="C1221" t="s">
        <v>1813</v>
      </c>
      <c r="D1221">
        <v>26.06</v>
      </c>
      <c r="E1221">
        <v>0</v>
      </c>
      <c r="F1221" t="s">
        <v>1812</v>
      </c>
      <c r="G1221" t="s">
        <v>1812</v>
      </c>
      <c r="H1221">
        <v>0</v>
      </c>
      <c r="I1221">
        <v>1530.291385</v>
      </c>
      <c r="J1221">
        <v>13.87868336271789</v>
      </c>
      <c r="K1221">
        <v>0</v>
      </c>
      <c r="L1221">
        <v>1.241407295223121</v>
      </c>
      <c r="M1221">
        <v>29.64</v>
      </c>
      <c r="N1221">
        <v>17.43</v>
      </c>
    </row>
    <row r="1222" spans="1:14">
      <c r="A1222" s="1" t="s">
        <v>1234</v>
      </c>
      <c r="B1222">
        <f>HYPERLINK("https://www.suredividend.com/sure-analysis-research-database/","Phathom Pharmaceuticals Inc")</f>
        <v>0</v>
      </c>
      <c r="C1222" t="s">
        <v>1817</v>
      </c>
      <c r="D1222">
        <v>14.54</v>
      </c>
      <c r="E1222">
        <v>0</v>
      </c>
      <c r="F1222" t="s">
        <v>1812</v>
      </c>
      <c r="G1222" t="s">
        <v>1812</v>
      </c>
      <c r="H1222">
        <v>0</v>
      </c>
      <c r="I1222">
        <v>634.148651</v>
      </c>
      <c r="J1222">
        <v>0</v>
      </c>
      <c r="K1222" t="s">
        <v>1812</v>
      </c>
      <c r="L1222">
        <v>1.31409256470561</v>
      </c>
      <c r="M1222">
        <v>15.6</v>
      </c>
      <c r="N1222">
        <v>5.84</v>
      </c>
    </row>
    <row r="1223" spans="1:14">
      <c r="A1223" s="1" t="s">
        <v>1235</v>
      </c>
      <c r="B1223">
        <f>HYPERLINK("https://www.suredividend.com/sure-analysis-research-database/","Phreesia Inc")</f>
        <v>0</v>
      </c>
      <c r="C1223" t="s">
        <v>1817</v>
      </c>
      <c r="D1223">
        <v>29.3</v>
      </c>
      <c r="E1223">
        <v>0</v>
      </c>
      <c r="F1223" t="s">
        <v>1812</v>
      </c>
      <c r="G1223" t="s">
        <v>1812</v>
      </c>
      <c r="H1223">
        <v>0</v>
      </c>
      <c r="I1223">
        <v>1572.21623</v>
      </c>
      <c r="J1223">
        <v>0</v>
      </c>
      <c r="K1223" t="s">
        <v>1812</v>
      </c>
      <c r="L1223">
        <v>1.59728996141005</v>
      </c>
      <c r="M1223">
        <v>40</v>
      </c>
      <c r="N1223">
        <v>21.96</v>
      </c>
    </row>
    <row r="1224" spans="1:14">
      <c r="A1224" s="1" t="s">
        <v>1236</v>
      </c>
      <c r="B1224">
        <f>HYPERLINK("https://www.suredividend.com/sure-analysis-research-database/","Impinj Inc")</f>
        <v>0</v>
      </c>
      <c r="C1224" t="s">
        <v>1818</v>
      </c>
      <c r="D1224">
        <v>61.45</v>
      </c>
      <c r="E1224">
        <v>0</v>
      </c>
      <c r="F1224" t="s">
        <v>1812</v>
      </c>
      <c r="G1224" t="s">
        <v>1812</v>
      </c>
      <c r="H1224">
        <v>0</v>
      </c>
      <c r="I1224">
        <v>1650.520146</v>
      </c>
      <c r="J1224" t="s">
        <v>1812</v>
      </c>
      <c r="K1224">
        <v>-0</v>
      </c>
      <c r="L1224">
        <v>1.176696157251644</v>
      </c>
      <c r="M1224">
        <v>144.9</v>
      </c>
      <c r="N1224">
        <v>60.38</v>
      </c>
    </row>
    <row r="1225" spans="1:14">
      <c r="A1225" s="1" t="s">
        <v>1237</v>
      </c>
      <c r="B1225">
        <f>HYPERLINK("https://www.suredividend.com/sure-analysis-research-database/","P3 Health Partners Inc")</f>
        <v>0</v>
      </c>
      <c r="C1225" t="s">
        <v>1812</v>
      </c>
      <c r="D1225">
        <v>2.16</v>
      </c>
      <c r="E1225">
        <v>0</v>
      </c>
      <c r="F1225" t="s">
        <v>1812</v>
      </c>
      <c r="G1225" t="s">
        <v>1812</v>
      </c>
      <c r="H1225">
        <v>0</v>
      </c>
      <c r="I1225">
        <v>244.867134</v>
      </c>
      <c r="J1225">
        <v>0</v>
      </c>
      <c r="K1225" t="s">
        <v>1812</v>
      </c>
      <c r="L1225">
        <v>1.017014519296049</v>
      </c>
      <c r="M1225">
        <v>7.05</v>
      </c>
      <c r="N1225">
        <v>0.7003</v>
      </c>
    </row>
    <row r="1226" spans="1:14">
      <c r="A1226" s="1" t="s">
        <v>1238</v>
      </c>
      <c r="B1226">
        <f>HYPERLINK("https://www.suredividend.com/sure-analysis-research-database/","Piper Sandler Co`s")</f>
        <v>0</v>
      </c>
      <c r="C1226" t="s">
        <v>1815</v>
      </c>
      <c r="D1226">
        <v>149.2</v>
      </c>
      <c r="E1226">
        <v>0.02431856007383</v>
      </c>
      <c r="F1226">
        <v>0</v>
      </c>
      <c r="G1226">
        <v>0.09856054330611785</v>
      </c>
      <c r="H1226">
        <v>3.628329163015513</v>
      </c>
      <c r="I1226">
        <v>2647.111025</v>
      </c>
      <c r="J1226">
        <v>0</v>
      </c>
      <c r="K1226" t="s">
        <v>1812</v>
      </c>
      <c r="L1226">
        <v>1.13311310502064</v>
      </c>
      <c r="M1226">
        <v>160.79</v>
      </c>
      <c r="N1226">
        <v>101.41</v>
      </c>
    </row>
    <row r="1227" spans="1:14">
      <c r="A1227" s="1" t="s">
        <v>1239</v>
      </c>
      <c r="B1227">
        <f>HYPERLINK("https://www.suredividend.com/sure-analysis-research-database/","PJT Partners Inc")</f>
        <v>0</v>
      </c>
      <c r="C1227" t="s">
        <v>1815</v>
      </c>
      <c r="D1227">
        <v>80.78</v>
      </c>
      <c r="E1227">
        <v>0.012315376550108</v>
      </c>
      <c r="F1227">
        <v>0</v>
      </c>
      <c r="G1227">
        <v>0.3797296614612149</v>
      </c>
      <c r="H1227">
        <v>0.9948361177177431</v>
      </c>
      <c r="I1227">
        <v>1954.363128</v>
      </c>
      <c r="J1227">
        <v>22.95496925944632</v>
      </c>
      <c r="K1227">
        <v>0.3118608519491358</v>
      </c>
      <c r="L1227">
        <v>0.642606760554272</v>
      </c>
      <c r="M1227">
        <v>86.92</v>
      </c>
      <c r="N1227">
        <v>59.39</v>
      </c>
    </row>
    <row r="1228" spans="1:14">
      <c r="A1228" s="1" t="s">
        <v>1240</v>
      </c>
      <c r="B1228">
        <f>HYPERLINK("https://www.suredividend.com/sure-analysis-research-database/","Parke Bancorp Inc")</f>
        <v>0</v>
      </c>
      <c r="C1228" t="s">
        <v>1815</v>
      </c>
      <c r="D1228">
        <v>18.91</v>
      </c>
      <c r="E1228">
        <v>0.03708974312980001</v>
      </c>
      <c r="F1228">
        <v>0.125</v>
      </c>
      <c r="G1228">
        <v>0.05154749679728043</v>
      </c>
      <c r="H1228">
        <v>0.7013670425845241</v>
      </c>
      <c r="I1228">
        <v>225.911549</v>
      </c>
      <c r="J1228">
        <v>0</v>
      </c>
      <c r="K1228" t="s">
        <v>1812</v>
      </c>
      <c r="L1228">
        <v>0.6197340897915831</v>
      </c>
      <c r="M1228">
        <v>22.93</v>
      </c>
      <c r="N1228">
        <v>14.54</v>
      </c>
    </row>
    <row r="1229" spans="1:14">
      <c r="A1229" s="1" t="s">
        <v>1241</v>
      </c>
      <c r="B1229">
        <f>HYPERLINK("https://www.suredividend.com/sure-analysis-research-database/","Park Aerospace Corp")</f>
        <v>0</v>
      </c>
      <c r="C1229" t="s">
        <v>1813</v>
      </c>
      <c r="D1229">
        <v>14.84</v>
      </c>
      <c r="E1229">
        <v>0.029118074616116</v>
      </c>
      <c r="F1229">
        <v>0.25</v>
      </c>
      <c r="G1229">
        <v>0.04563955259127317</v>
      </c>
      <c r="H1229">
        <v>0.432112227303164</v>
      </c>
      <c r="I1229">
        <v>300.513131</v>
      </c>
      <c r="J1229">
        <v>28.15111299672131</v>
      </c>
      <c r="K1229">
        <v>0.8303463245641123</v>
      </c>
      <c r="L1229">
        <v>0.697678563418318</v>
      </c>
      <c r="M1229">
        <v>15.5</v>
      </c>
      <c r="N1229">
        <v>9.23</v>
      </c>
    </row>
    <row r="1230" spans="1:14">
      <c r="A1230" s="1" t="s">
        <v>1242</v>
      </c>
      <c r="B1230">
        <f>HYPERLINK("https://www.suredividend.com/sure-analysis-research-database/","Planet Labs PBC")</f>
        <v>0</v>
      </c>
      <c r="C1230" t="s">
        <v>1812</v>
      </c>
      <c r="D1230">
        <v>3.44</v>
      </c>
      <c r="E1230">
        <v>0</v>
      </c>
      <c r="F1230" t="s">
        <v>1812</v>
      </c>
      <c r="G1230" t="s">
        <v>1812</v>
      </c>
      <c r="H1230">
        <v>0</v>
      </c>
      <c r="I1230">
        <v>851.5032</v>
      </c>
      <c r="J1230">
        <v>0</v>
      </c>
      <c r="K1230" t="s">
        <v>1812</v>
      </c>
      <c r="L1230">
        <v>1.270435669784996</v>
      </c>
      <c r="M1230">
        <v>7.52</v>
      </c>
      <c r="N1230">
        <v>3</v>
      </c>
    </row>
    <row r="1231" spans="1:14">
      <c r="A1231" s="1" t="s">
        <v>1243</v>
      </c>
      <c r="B1231">
        <f>HYPERLINK("https://www.suredividend.com/sure-analysis-research-database/","Photronics, Inc.")</f>
        <v>0</v>
      </c>
      <c r="C1231" t="s">
        <v>1818</v>
      </c>
      <c r="D1231">
        <v>26.01</v>
      </c>
      <c r="E1231">
        <v>0</v>
      </c>
      <c r="F1231" t="s">
        <v>1812</v>
      </c>
      <c r="G1231" t="s">
        <v>1812</v>
      </c>
      <c r="H1231">
        <v>0</v>
      </c>
      <c r="I1231">
        <v>1626.097888</v>
      </c>
      <c r="J1231">
        <v>13.30631224426169</v>
      </c>
      <c r="K1231">
        <v>0</v>
      </c>
      <c r="L1231">
        <v>1.475847825590829</v>
      </c>
      <c r="M1231">
        <v>26.98</v>
      </c>
      <c r="N1231">
        <v>13.86</v>
      </c>
    </row>
    <row r="1232" spans="1:14">
      <c r="A1232" s="1" t="s">
        <v>1244</v>
      </c>
      <c r="B1232">
        <f>HYPERLINK("https://www.suredividend.com/sure-analysis-research-database/","Dave &amp; Buster`s Entertainment Inc")</f>
        <v>0</v>
      </c>
      <c r="C1232" t="s">
        <v>1816</v>
      </c>
      <c r="D1232">
        <v>42.83</v>
      </c>
      <c r="E1232">
        <v>0</v>
      </c>
      <c r="F1232" t="s">
        <v>1812</v>
      </c>
      <c r="G1232" t="s">
        <v>1812</v>
      </c>
      <c r="H1232">
        <v>0</v>
      </c>
      <c r="I1232">
        <v>1838.2636</v>
      </c>
      <c r="J1232">
        <v>13.10695538712736</v>
      </c>
      <c r="K1232">
        <v>0</v>
      </c>
      <c r="L1232">
        <v>1.097068000924897</v>
      </c>
      <c r="M1232">
        <v>47.29</v>
      </c>
      <c r="N1232">
        <v>30.36</v>
      </c>
    </row>
    <row r="1233" spans="1:14">
      <c r="A1233" s="1" t="s">
        <v>1245</v>
      </c>
      <c r="B1233">
        <f>HYPERLINK("https://www.suredividend.com/sure-analysis-research-database/","PLBY Group Inc")</f>
        <v>0</v>
      </c>
      <c r="C1233" t="s">
        <v>1812</v>
      </c>
      <c r="D1233">
        <v>1.76</v>
      </c>
      <c r="E1233">
        <v>0</v>
      </c>
      <c r="F1233" t="s">
        <v>1812</v>
      </c>
      <c r="G1233" t="s">
        <v>1812</v>
      </c>
      <c r="H1233">
        <v>0</v>
      </c>
      <c r="I1233">
        <v>129.575387</v>
      </c>
      <c r="J1233">
        <v>0</v>
      </c>
      <c r="K1233" t="s">
        <v>1812</v>
      </c>
      <c r="L1233">
        <v>1.399383285340392</v>
      </c>
      <c r="M1233">
        <v>7.68</v>
      </c>
      <c r="N1233">
        <v>1.43</v>
      </c>
    </row>
    <row r="1234" spans="1:14">
      <c r="A1234" s="1" t="s">
        <v>1246</v>
      </c>
      <c r="B1234">
        <f>HYPERLINK("https://www.suredividend.com/sure-analysis-research-database/","Childrens Place Inc")</f>
        <v>0</v>
      </c>
      <c r="C1234" t="s">
        <v>1816</v>
      </c>
      <c r="D1234">
        <v>31.12</v>
      </c>
      <c r="E1234">
        <v>0</v>
      </c>
      <c r="F1234" t="s">
        <v>1812</v>
      </c>
      <c r="G1234" t="s">
        <v>1812</v>
      </c>
      <c r="H1234">
        <v>0</v>
      </c>
      <c r="I1234">
        <v>388.278203</v>
      </c>
      <c r="J1234" t="s">
        <v>1812</v>
      </c>
      <c r="K1234">
        <v>-0</v>
      </c>
      <c r="L1234">
        <v>1.606744319067248</v>
      </c>
      <c r="M1234">
        <v>57</v>
      </c>
      <c r="N1234">
        <v>14.27</v>
      </c>
    </row>
    <row r="1235" spans="1:14">
      <c r="A1235" s="1" t="s">
        <v>1247</v>
      </c>
      <c r="B1235">
        <f>HYPERLINK("https://www.suredividend.com/sure-analysis-research-database/","Piedmont Lithium Inc")</f>
        <v>0</v>
      </c>
      <c r="C1235" t="s">
        <v>1823</v>
      </c>
      <c r="D1235">
        <v>51.51</v>
      </c>
      <c r="E1235">
        <v>0</v>
      </c>
      <c r="F1235" t="s">
        <v>1812</v>
      </c>
      <c r="G1235" t="s">
        <v>1812</v>
      </c>
      <c r="H1235">
        <v>0</v>
      </c>
      <c r="I1235">
        <v>988.1324530000001</v>
      </c>
      <c r="J1235">
        <v>0</v>
      </c>
      <c r="K1235" t="s">
        <v>1812</v>
      </c>
      <c r="L1235">
        <v>1.879054947996616</v>
      </c>
      <c r="M1235">
        <v>76.78</v>
      </c>
      <c r="N1235">
        <v>41.02</v>
      </c>
    </row>
    <row r="1236" spans="1:14">
      <c r="A1236" s="1" t="s">
        <v>1248</v>
      </c>
      <c r="B1236">
        <f>HYPERLINK("https://www.suredividend.com/sure-analysis-research-database/","Polymet Mining Corp")</f>
        <v>0</v>
      </c>
      <c r="C1236" t="s">
        <v>1823</v>
      </c>
      <c r="D1236">
        <v>2.08</v>
      </c>
      <c r="E1236">
        <v>0</v>
      </c>
      <c r="F1236" t="s">
        <v>1812</v>
      </c>
      <c r="G1236" t="s">
        <v>1812</v>
      </c>
      <c r="H1236">
        <v>0</v>
      </c>
      <c r="I1236">
        <v>404.477322</v>
      </c>
      <c r="J1236">
        <v>0</v>
      </c>
      <c r="K1236" t="s">
        <v>1812</v>
      </c>
      <c r="L1236">
        <v>1.07969261745205</v>
      </c>
      <c r="M1236">
        <v>3.43</v>
      </c>
      <c r="N1236">
        <v>0.751</v>
      </c>
    </row>
    <row r="1237" spans="1:14">
      <c r="A1237" s="1" t="s">
        <v>1249</v>
      </c>
      <c r="B1237">
        <f>HYPERLINK("https://www.suredividend.com/sure-analysis-research-database/","Palomar Holdings Inc")</f>
        <v>0</v>
      </c>
      <c r="C1237" t="s">
        <v>1815</v>
      </c>
      <c r="D1237">
        <v>57.76</v>
      </c>
      <c r="E1237">
        <v>0</v>
      </c>
      <c r="F1237" t="s">
        <v>1812</v>
      </c>
      <c r="G1237" t="s">
        <v>1812</v>
      </c>
      <c r="H1237">
        <v>0</v>
      </c>
      <c r="I1237">
        <v>1435.790687</v>
      </c>
      <c r="J1237">
        <v>26.130941046118</v>
      </c>
      <c r="K1237">
        <v>0</v>
      </c>
      <c r="L1237">
        <v>0.895799465073106</v>
      </c>
      <c r="M1237">
        <v>95.2</v>
      </c>
      <c r="N1237">
        <v>43.64</v>
      </c>
    </row>
    <row r="1238" spans="1:14">
      <c r="A1238" s="1" t="s">
        <v>1250</v>
      </c>
      <c r="B1238">
        <f>HYPERLINK("https://www.suredividend.com/sure-analysis-research-database/","Douglas Dynamics Inc")</f>
        <v>0</v>
      </c>
      <c r="C1238" t="s">
        <v>1816</v>
      </c>
      <c r="D1238">
        <v>32.71</v>
      </c>
      <c r="E1238">
        <v>0.035277158334829</v>
      </c>
      <c r="F1238">
        <v>0.01724137931034475</v>
      </c>
      <c r="G1238">
        <v>0.02168079166422654</v>
      </c>
      <c r="H1238">
        <v>1.15391584913226</v>
      </c>
      <c r="I1238">
        <v>751.805495</v>
      </c>
      <c r="J1238">
        <v>21.65962244742149</v>
      </c>
      <c r="K1238">
        <v>0.7641826815445431</v>
      </c>
      <c r="L1238">
        <v>0.9235846637559381</v>
      </c>
      <c r="M1238">
        <v>40.62</v>
      </c>
      <c r="N1238">
        <v>25.24</v>
      </c>
    </row>
    <row r="1239" spans="1:14">
      <c r="A1239" s="1" t="s">
        <v>1251</v>
      </c>
      <c r="B1239">
        <f>HYPERLINK("https://www.suredividend.com/sure-analysis-research-database/","Preformed Line Products Co.")</f>
        <v>0</v>
      </c>
      <c r="C1239" t="s">
        <v>1813</v>
      </c>
      <c r="D1239">
        <v>164.07</v>
      </c>
      <c r="E1239">
        <v>0.004859774944002001</v>
      </c>
      <c r="F1239">
        <v>0</v>
      </c>
      <c r="G1239">
        <v>0</v>
      </c>
      <c r="H1239">
        <v>0.7973432750624191</v>
      </c>
      <c r="I1239">
        <v>811.81836</v>
      </c>
      <c r="J1239">
        <v>12.78293065440574</v>
      </c>
      <c r="K1239">
        <v>0.06293159234904649</v>
      </c>
      <c r="L1239">
        <v>0.907229604440669</v>
      </c>
      <c r="M1239">
        <v>184.82</v>
      </c>
      <c r="N1239">
        <v>61.42</v>
      </c>
    </row>
    <row r="1240" spans="1:14">
      <c r="A1240" s="1" t="s">
        <v>1252</v>
      </c>
      <c r="B1240">
        <f>HYPERLINK("https://www.suredividend.com/sure-analysis-research-database/","ePlus Inc")</f>
        <v>0</v>
      </c>
      <c r="C1240" t="s">
        <v>1818</v>
      </c>
      <c r="D1240">
        <v>58.53</v>
      </c>
      <c r="E1240">
        <v>0</v>
      </c>
      <c r="F1240" t="s">
        <v>1812</v>
      </c>
      <c r="G1240" t="s">
        <v>1812</v>
      </c>
      <c r="H1240">
        <v>0</v>
      </c>
      <c r="I1240">
        <v>1576.831211</v>
      </c>
      <c r="J1240">
        <v>13.21115998290828</v>
      </c>
      <c r="K1240">
        <v>0</v>
      </c>
      <c r="L1240">
        <v>1.126954766283418</v>
      </c>
      <c r="M1240">
        <v>61.2</v>
      </c>
      <c r="N1240">
        <v>40.37</v>
      </c>
    </row>
    <row r="1241" spans="1:14">
      <c r="A1241" s="1" t="s">
        <v>1253</v>
      </c>
      <c r="B1241">
        <f>HYPERLINK("https://www.suredividend.com/sure-analysis-research-database/","Plexus Corp.")</f>
        <v>0</v>
      </c>
      <c r="C1241" t="s">
        <v>1818</v>
      </c>
      <c r="D1241">
        <v>97.7</v>
      </c>
      <c r="E1241">
        <v>0</v>
      </c>
      <c r="F1241" t="s">
        <v>1812</v>
      </c>
      <c r="G1241" t="s">
        <v>1812</v>
      </c>
      <c r="H1241">
        <v>0</v>
      </c>
      <c r="I1241">
        <v>2696.52</v>
      </c>
      <c r="J1241">
        <v>15.77050618475305</v>
      </c>
      <c r="K1241">
        <v>0</v>
      </c>
      <c r="L1241">
        <v>0.8181974631191561</v>
      </c>
      <c r="M1241">
        <v>115.36</v>
      </c>
      <c r="N1241">
        <v>83.84</v>
      </c>
    </row>
    <row r="1242" spans="1:14">
      <c r="A1242" s="1" t="s">
        <v>1254</v>
      </c>
      <c r="B1242">
        <f>HYPERLINK("https://www.suredividend.com/sure-analysis-PLYM/","Plymouth Industrial Reit Inc")</f>
        <v>0</v>
      </c>
      <c r="C1242" t="s">
        <v>1814</v>
      </c>
      <c r="D1242">
        <v>22.44</v>
      </c>
      <c r="E1242">
        <v>0.04010695187165775</v>
      </c>
      <c r="F1242">
        <v>0.02272727272727271</v>
      </c>
      <c r="G1242">
        <v>-0.09711954855256577</v>
      </c>
      <c r="H1242">
        <v>0.876116471545451</v>
      </c>
      <c r="I1242">
        <v>965.612588</v>
      </c>
      <c r="J1242">
        <v>0</v>
      </c>
      <c r="K1242" t="s">
        <v>1812</v>
      </c>
      <c r="L1242">
        <v>0.9933289408661071</v>
      </c>
      <c r="M1242">
        <v>23.79</v>
      </c>
      <c r="N1242">
        <v>15.09</v>
      </c>
    </row>
    <row r="1243" spans="1:14">
      <c r="A1243" s="1" t="s">
        <v>1255</v>
      </c>
      <c r="B1243">
        <f>HYPERLINK("https://www.suredividend.com/sure-analysis-PMT/","Pennymac Mortgage Investment Trust")</f>
        <v>0</v>
      </c>
      <c r="C1243" t="s">
        <v>1814</v>
      </c>
      <c r="D1243">
        <v>12.32</v>
      </c>
      <c r="E1243">
        <v>0.1298701298701299</v>
      </c>
      <c r="F1243">
        <v>-0.148936170212766</v>
      </c>
      <c r="G1243">
        <v>-0.03173902863120104</v>
      </c>
      <c r="H1243">
        <v>1.592203895408513</v>
      </c>
      <c r="I1243">
        <v>1078.694257</v>
      </c>
      <c r="J1243" t="s">
        <v>1812</v>
      </c>
      <c r="K1243" t="s">
        <v>1812</v>
      </c>
      <c r="L1243">
        <v>1.185437537838899</v>
      </c>
      <c r="M1243">
        <v>14.64</v>
      </c>
      <c r="N1243">
        <v>9.640000000000001</v>
      </c>
    </row>
    <row r="1244" spans="1:14">
      <c r="A1244" s="1" t="s">
        <v>1256</v>
      </c>
      <c r="B1244">
        <f>HYPERLINK("https://www.suredividend.com/sure-analysis-research-database/","PMV Pharmaceuticals Inc")</f>
        <v>0</v>
      </c>
      <c r="C1244" t="s">
        <v>1812</v>
      </c>
      <c r="D1244">
        <v>6.52</v>
      </c>
      <c r="E1244">
        <v>0</v>
      </c>
      <c r="F1244" t="s">
        <v>1812</v>
      </c>
      <c r="G1244" t="s">
        <v>1812</v>
      </c>
      <c r="H1244">
        <v>0</v>
      </c>
      <c r="I1244">
        <v>298.456006</v>
      </c>
      <c r="J1244">
        <v>0</v>
      </c>
      <c r="K1244" t="s">
        <v>1812</v>
      </c>
      <c r="L1244">
        <v>1.494563814456309</v>
      </c>
      <c r="M1244">
        <v>17.77</v>
      </c>
      <c r="N1244">
        <v>3.84</v>
      </c>
    </row>
    <row r="1245" spans="1:14">
      <c r="A1245" s="1" t="s">
        <v>1257</v>
      </c>
      <c r="B1245">
        <f>HYPERLINK("https://www.suredividend.com/sure-analysis-PNM/","PNM Resources Inc")</f>
        <v>0</v>
      </c>
      <c r="C1245" t="s">
        <v>1820</v>
      </c>
      <c r="D1245">
        <v>44.54</v>
      </c>
      <c r="E1245">
        <v>0.03300404131118096</v>
      </c>
      <c r="F1245" t="s">
        <v>1812</v>
      </c>
      <c r="G1245" t="s">
        <v>1812</v>
      </c>
      <c r="H1245">
        <v>1.41426493055477</v>
      </c>
      <c r="I1245">
        <v>3823.085288</v>
      </c>
      <c r="J1245">
        <v>18.33148066899061</v>
      </c>
      <c r="K1245">
        <v>0.5844069960970124</v>
      </c>
      <c r="L1245">
        <v>0.171061709801683</v>
      </c>
      <c r="M1245">
        <v>49.1</v>
      </c>
      <c r="N1245">
        <v>44.03</v>
      </c>
    </row>
    <row r="1246" spans="1:14">
      <c r="A1246" s="1" t="s">
        <v>1258</v>
      </c>
      <c r="B1246">
        <f>HYPERLINK("https://www.suredividend.com/sure-analysis-research-database/","POINT Biopharma Global Inc")</f>
        <v>0</v>
      </c>
      <c r="C1246" t="s">
        <v>1812</v>
      </c>
      <c r="D1246">
        <v>8.6</v>
      </c>
      <c r="E1246">
        <v>0</v>
      </c>
      <c r="F1246" t="s">
        <v>1812</v>
      </c>
      <c r="G1246" t="s">
        <v>1812</v>
      </c>
      <c r="H1246">
        <v>0</v>
      </c>
      <c r="I1246">
        <v>908.876862</v>
      </c>
      <c r="J1246">
        <v>0</v>
      </c>
      <c r="K1246" t="s">
        <v>1812</v>
      </c>
      <c r="L1246">
        <v>1.270067309502476</v>
      </c>
      <c r="M1246">
        <v>11.13</v>
      </c>
      <c r="N1246">
        <v>5.59</v>
      </c>
    </row>
    <row r="1247" spans="1:14">
      <c r="A1247" s="1" t="s">
        <v>1259</v>
      </c>
      <c r="B1247">
        <f>HYPERLINK("https://www.suredividend.com/sure-analysis-research-database/","Pennant Group Inc")</f>
        <v>0</v>
      </c>
      <c r="C1247" t="s">
        <v>1817</v>
      </c>
      <c r="D1247">
        <v>11.34</v>
      </c>
      <c r="E1247">
        <v>0</v>
      </c>
      <c r="F1247" t="s">
        <v>1812</v>
      </c>
      <c r="G1247" t="s">
        <v>1812</v>
      </c>
      <c r="H1247">
        <v>0</v>
      </c>
      <c r="I1247">
        <v>337.251634</v>
      </c>
      <c r="J1247">
        <v>45.09314534296029</v>
      </c>
      <c r="K1247">
        <v>0</v>
      </c>
      <c r="L1247">
        <v>1.080496382451252</v>
      </c>
      <c r="M1247">
        <v>17.8</v>
      </c>
      <c r="N1247">
        <v>8.68</v>
      </c>
    </row>
    <row r="1248" spans="1:14">
      <c r="A1248" s="1" t="s">
        <v>1260</v>
      </c>
      <c r="B1248">
        <f>HYPERLINK("https://www.suredividend.com/sure-analysis-POR/","Portland General Electric Co")</f>
        <v>0</v>
      </c>
      <c r="C1248" t="s">
        <v>1820</v>
      </c>
      <c r="D1248">
        <v>46.83</v>
      </c>
      <c r="E1248">
        <v>0.0405722827247491</v>
      </c>
      <c r="F1248">
        <v>0.04972375690607733</v>
      </c>
      <c r="G1248">
        <v>0.05554589164848389</v>
      </c>
      <c r="H1248">
        <v>1.805815941736074</v>
      </c>
      <c r="I1248">
        <v>4734.256091</v>
      </c>
      <c r="J1248">
        <v>21.32547788567567</v>
      </c>
      <c r="K1248">
        <v>0.7524233090566975</v>
      </c>
      <c r="L1248">
        <v>0.7712106861519911</v>
      </c>
      <c r="M1248">
        <v>54.24</v>
      </c>
      <c r="N1248">
        <v>40.37</v>
      </c>
    </row>
    <row r="1249" spans="1:14">
      <c r="A1249" s="1" t="s">
        <v>1261</v>
      </c>
      <c r="B1249">
        <f>HYPERLINK("https://www.suredividend.com/sure-analysis-research-database/","Power Integrations Inc.")</f>
        <v>0</v>
      </c>
      <c r="C1249" t="s">
        <v>1818</v>
      </c>
      <c r="D1249">
        <v>90.01000000000001</v>
      </c>
      <c r="E1249">
        <v>0.008207385803443001</v>
      </c>
      <c r="F1249">
        <v>0.05555555555555558</v>
      </c>
      <c r="G1249">
        <v>0.03496752704080697</v>
      </c>
      <c r="H1249">
        <v>0.738746796167943</v>
      </c>
      <c r="I1249">
        <v>5162.190153</v>
      </c>
      <c r="J1249">
        <v>39.26276755776632</v>
      </c>
      <c r="K1249">
        <v>0.3240117527052381</v>
      </c>
      <c r="L1249">
        <v>1.393081451057524</v>
      </c>
      <c r="M1249">
        <v>99.59999999999999</v>
      </c>
      <c r="N1249">
        <v>58.88</v>
      </c>
    </row>
    <row r="1250" spans="1:14">
      <c r="A1250" s="1" t="s">
        <v>1262</v>
      </c>
      <c r="B1250">
        <f>HYPERLINK("https://www.suredividend.com/sure-analysis-research-database/","Powell Industries, Inc.")</f>
        <v>0</v>
      </c>
      <c r="C1250" t="s">
        <v>1813</v>
      </c>
      <c r="D1250">
        <v>82.5</v>
      </c>
      <c r="E1250">
        <v>0.012510595291778</v>
      </c>
      <c r="F1250">
        <v>0.009615384615384581</v>
      </c>
      <c r="G1250">
        <v>0.001915722860066582</v>
      </c>
      <c r="H1250">
        <v>1.032124111571719</v>
      </c>
      <c r="I1250">
        <v>978.498098</v>
      </c>
      <c r="J1250">
        <v>35.6660505740842</v>
      </c>
      <c r="K1250">
        <v>0.4546802253619908</v>
      </c>
      <c r="L1250">
        <v>0.731558946719259</v>
      </c>
      <c r="M1250">
        <v>90</v>
      </c>
      <c r="N1250">
        <v>19.66</v>
      </c>
    </row>
    <row r="1251" spans="1:14">
      <c r="A1251" s="1" t="s">
        <v>1263</v>
      </c>
      <c r="B1251">
        <f>HYPERLINK("https://www.suredividend.com/sure-analysis-research-database/","AMMO Inc")</f>
        <v>0</v>
      </c>
      <c r="C1251" t="s">
        <v>1816</v>
      </c>
      <c r="D1251">
        <v>2.1</v>
      </c>
      <c r="E1251">
        <v>0</v>
      </c>
      <c r="F1251" t="s">
        <v>1812</v>
      </c>
      <c r="G1251" t="s">
        <v>1812</v>
      </c>
      <c r="H1251">
        <v>0</v>
      </c>
      <c r="I1251">
        <v>246.919592</v>
      </c>
      <c r="J1251">
        <v>0</v>
      </c>
      <c r="K1251" t="s">
        <v>1812</v>
      </c>
      <c r="L1251">
        <v>1.276267868594996</v>
      </c>
      <c r="M1251">
        <v>6.06</v>
      </c>
      <c r="N1251">
        <v>1.56</v>
      </c>
    </row>
    <row r="1252" spans="1:14">
      <c r="A1252" s="1" t="s">
        <v>1264</v>
      </c>
      <c r="B1252">
        <f>HYPERLINK("https://www.suredividend.com/sure-analysis-research-database/","Pacific Premier Bancorp, Inc.")</f>
        <v>0</v>
      </c>
      <c r="C1252" t="s">
        <v>1815</v>
      </c>
      <c r="D1252">
        <v>25.4</v>
      </c>
      <c r="E1252">
        <v>0.037928598618345</v>
      </c>
      <c r="F1252" t="s">
        <v>1812</v>
      </c>
      <c r="G1252" t="s">
        <v>1812</v>
      </c>
      <c r="H1252">
        <v>0.9633864049059681</v>
      </c>
      <c r="I1252">
        <v>2435.892106</v>
      </c>
      <c r="J1252">
        <v>9.2421626161487</v>
      </c>
      <c r="K1252">
        <v>0.3440665731807029</v>
      </c>
      <c r="L1252">
        <v>1.264695858879386</v>
      </c>
      <c r="M1252">
        <v>35.81</v>
      </c>
      <c r="N1252">
        <v>17.03</v>
      </c>
    </row>
    <row r="1253" spans="1:14">
      <c r="A1253" s="1" t="s">
        <v>1265</v>
      </c>
      <c r="B1253">
        <f>HYPERLINK("https://www.suredividend.com/sure-analysis-research-database/","Permian Resources Corp")</f>
        <v>0</v>
      </c>
      <c r="C1253" t="s">
        <v>1812</v>
      </c>
      <c r="D1253">
        <v>11.59</v>
      </c>
      <c r="E1253">
        <v>0.012878627994113</v>
      </c>
      <c r="F1253" t="s">
        <v>1812</v>
      </c>
      <c r="G1253" t="s">
        <v>1812</v>
      </c>
      <c r="H1253">
        <v>0.149263298451778</v>
      </c>
      <c r="I1253">
        <v>3642.590213</v>
      </c>
      <c r="J1253">
        <v>6.057304275594283</v>
      </c>
      <c r="K1253">
        <v>0.08112135785422719</v>
      </c>
      <c r="L1253">
        <v>1.384055226340209</v>
      </c>
      <c r="M1253">
        <v>11.94</v>
      </c>
      <c r="N1253">
        <v>5.98</v>
      </c>
    </row>
    <row r="1254" spans="1:14">
      <c r="A1254" s="1" t="s">
        <v>1266</v>
      </c>
      <c r="B1254">
        <f>HYPERLINK("https://www.suredividend.com/sure-analysis-research-database/","Proassurance Corporation")</f>
        <v>0</v>
      </c>
      <c r="C1254" t="s">
        <v>1815</v>
      </c>
      <c r="D1254">
        <v>16.74</v>
      </c>
      <c r="E1254">
        <v>0.008935462338647001</v>
      </c>
      <c r="F1254">
        <v>0</v>
      </c>
      <c r="G1254">
        <v>-0.3057407703118492</v>
      </c>
      <c r="H1254">
        <v>0.149579639548954</v>
      </c>
      <c r="I1254">
        <v>904.423447</v>
      </c>
      <c r="J1254" t="s">
        <v>1812</v>
      </c>
      <c r="K1254" t="s">
        <v>1812</v>
      </c>
      <c r="L1254">
        <v>0.5842916354198701</v>
      </c>
      <c r="M1254">
        <v>24.3</v>
      </c>
      <c r="N1254">
        <v>11.87</v>
      </c>
    </row>
    <row r="1255" spans="1:14">
      <c r="A1255" s="1" t="s">
        <v>1267</v>
      </c>
      <c r="B1255">
        <f>HYPERLINK("https://www.suredividend.com/sure-analysis-research-database/","PRA Group Inc")</f>
        <v>0</v>
      </c>
      <c r="C1255" t="s">
        <v>1815</v>
      </c>
      <c r="D1255">
        <v>21.56</v>
      </c>
      <c r="E1255">
        <v>0</v>
      </c>
      <c r="F1255" t="s">
        <v>1812</v>
      </c>
      <c r="G1255" t="s">
        <v>1812</v>
      </c>
      <c r="H1255">
        <v>0</v>
      </c>
      <c r="I1255">
        <v>844.50009</v>
      </c>
      <c r="J1255">
        <v>45.5354302965599</v>
      </c>
      <c r="K1255">
        <v>0</v>
      </c>
      <c r="L1255">
        <v>0.580766477652068</v>
      </c>
      <c r="M1255">
        <v>43.34</v>
      </c>
      <c r="N1255">
        <v>17.74</v>
      </c>
    </row>
    <row r="1256" spans="1:14">
      <c r="A1256" s="1" t="s">
        <v>1268</v>
      </c>
      <c r="B1256">
        <f>HYPERLINK("https://www.suredividend.com/sure-analysis-research-database/","Praxis Precision Medicines Inc")</f>
        <v>0</v>
      </c>
      <c r="C1256" t="s">
        <v>1812</v>
      </c>
      <c r="D1256">
        <v>0.9824000000000001</v>
      </c>
      <c r="E1256">
        <v>0</v>
      </c>
      <c r="F1256" t="s">
        <v>1812</v>
      </c>
      <c r="G1256" t="s">
        <v>1812</v>
      </c>
      <c r="H1256">
        <v>0</v>
      </c>
      <c r="I1256">
        <v>62.960385</v>
      </c>
      <c r="J1256">
        <v>0</v>
      </c>
      <c r="K1256" t="s">
        <v>1812</v>
      </c>
      <c r="L1256">
        <v>0.8900387662068561</v>
      </c>
      <c r="M1256">
        <v>5.25</v>
      </c>
      <c r="N1256">
        <v>0.79</v>
      </c>
    </row>
    <row r="1257" spans="1:14">
      <c r="A1257" s="1" t="s">
        <v>1269</v>
      </c>
      <c r="B1257">
        <f>HYPERLINK("https://www.suredividend.com/sure-analysis-research-database/","Porch Group Inc")</f>
        <v>0</v>
      </c>
      <c r="C1257" t="s">
        <v>1812</v>
      </c>
      <c r="D1257">
        <v>1.26</v>
      </c>
      <c r="E1257">
        <v>0</v>
      </c>
      <c r="F1257" t="s">
        <v>1812</v>
      </c>
      <c r="G1257" t="s">
        <v>1812</v>
      </c>
      <c r="H1257">
        <v>0</v>
      </c>
      <c r="I1257">
        <v>123.248607</v>
      </c>
      <c r="J1257">
        <v>0</v>
      </c>
      <c r="K1257" t="s">
        <v>1812</v>
      </c>
      <c r="L1257">
        <v>2.172433607804868</v>
      </c>
      <c r="M1257">
        <v>3.99</v>
      </c>
      <c r="N1257">
        <v>0.7852</v>
      </c>
    </row>
    <row r="1258" spans="1:14">
      <c r="A1258" s="1" t="s">
        <v>1270</v>
      </c>
      <c r="B1258">
        <f>HYPERLINK("https://www.suredividend.com/sure-analysis-research-database/","Procept BioRobotics Corp")</f>
        <v>0</v>
      </c>
      <c r="C1258" t="s">
        <v>1812</v>
      </c>
      <c r="D1258">
        <v>35.22</v>
      </c>
      <c r="E1258">
        <v>0</v>
      </c>
      <c r="F1258" t="s">
        <v>1812</v>
      </c>
      <c r="G1258" t="s">
        <v>1812</v>
      </c>
      <c r="H1258">
        <v>0</v>
      </c>
      <c r="I1258">
        <v>1594.724443</v>
      </c>
      <c r="J1258" t="s">
        <v>1812</v>
      </c>
      <c r="K1258">
        <v>-0</v>
      </c>
      <c r="L1258">
        <v>0.875977832731311</v>
      </c>
      <c r="M1258">
        <v>52.4</v>
      </c>
      <c r="N1258">
        <v>25.29</v>
      </c>
    </row>
    <row r="1259" spans="1:14">
      <c r="A1259" s="1" t="s">
        <v>1271</v>
      </c>
      <c r="B1259">
        <f>HYPERLINK("https://www.suredividend.com/sure-analysis-research-database/","Perdoceo Education Corporation")</f>
        <v>0</v>
      </c>
      <c r="C1259" t="s">
        <v>1819</v>
      </c>
      <c r="D1259">
        <v>13.94</v>
      </c>
      <c r="E1259">
        <v>0</v>
      </c>
      <c r="F1259" t="s">
        <v>1812</v>
      </c>
      <c r="G1259" t="s">
        <v>1812</v>
      </c>
      <c r="H1259">
        <v>0</v>
      </c>
      <c r="I1259">
        <v>940.95</v>
      </c>
      <c r="J1259">
        <v>9.574857794104179</v>
      </c>
      <c r="K1259">
        <v>0</v>
      </c>
      <c r="L1259">
        <v>0.6040344107295731</v>
      </c>
      <c r="M1259">
        <v>15.65</v>
      </c>
      <c r="N1259">
        <v>9.970000000000001</v>
      </c>
    </row>
    <row r="1260" spans="1:14">
      <c r="A1260" s="1" t="s">
        <v>1272</v>
      </c>
      <c r="B1260">
        <f>HYPERLINK("https://www.suredividend.com/sure-analysis-research-database/","Pardes Biosciences Inc")</f>
        <v>0</v>
      </c>
      <c r="C1260" t="s">
        <v>1812</v>
      </c>
      <c r="D1260">
        <v>2.13</v>
      </c>
      <c r="E1260">
        <v>0</v>
      </c>
      <c r="F1260" t="s">
        <v>1812</v>
      </c>
      <c r="G1260" t="s">
        <v>1812</v>
      </c>
      <c r="H1260">
        <v>0</v>
      </c>
      <c r="I1260">
        <v>132.078118</v>
      </c>
      <c r="J1260">
        <v>0</v>
      </c>
      <c r="K1260" t="s">
        <v>1812</v>
      </c>
      <c r="L1260">
        <v>0.9728477167230151</v>
      </c>
      <c r="M1260">
        <v>3.93</v>
      </c>
      <c r="N1260">
        <v>0.75</v>
      </c>
    </row>
    <row r="1261" spans="1:14">
      <c r="A1261" s="1" t="s">
        <v>1273</v>
      </c>
      <c r="B1261">
        <f>HYPERLINK("https://www.suredividend.com/sure-analysis-research-database/","Perficient Inc.")</f>
        <v>0</v>
      </c>
      <c r="C1261" t="s">
        <v>1818</v>
      </c>
      <c r="D1261">
        <v>58.31</v>
      </c>
      <c r="E1261">
        <v>0</v>
      </c>
      <c r="F1261" t="s">
        <v>1812</v>
      </c>
      <c r="G1261" t="s">
        <v>1812</v>
      </c>
      <c r="H1261">
        <v>0</v>
      </c>
      <c r="I1261">
        <v>2030.056702</v>
      </c>
      <c r="J1261">
        <v>19.779187637671</v>
      </c>
      <c r="K1261">
        <v>0</v>
      </c>
      <c r="L1261">
        <v>1.195370763186439</v>
      </c>
      <c r="M1261">
        <v>96.93000000000001</v>
      </c>
      <c r="N1261">
        <v>58</v>
      </c>
    </row>
    <row r="1262" spans="1:14">
      <c r="A1262" s="1" t="s">
        <v>1274</v>
      </c>
      <c r="B1262">
        <f>HYPERLINK("https://www.suredividend.com/sure-analysis-research-database/","PROG Holdings Inc")</f>
        <v>0</v>
      </c>
      <c r="C1262" t="s">
        <v>1812</v>
      </c>
      <c r="D1262">
        <v>38.49</v>
      </c>
      <c r="E1262">
        <v>0</v>
      </c>
      <c r="F1262" t="s">
        <v>1812</v>
      </c>
      <c r="G1262" t="s">
        <v>1812</v>
      </c>
      <c r="H1262">
        <v>0</v>
      </c>
      <c r="I1262">
        <v>1759.390679</v>
      </c>
      <c r="J1262">
        <v>12.81038203216811</v>
      </c>
      <c r="K1262">
        <v>0</v>
      </c>
      <c r="L1262">
        <v>1.465276032898716</v>
      </c>
      <c r="M1262">
        <v>44.81</v>
      </c>
      <c r="N1262">
        <v>12.11</v>
      </c>
    </row>
    <row r="1263" spans="1:14">
      <c r="A1263" s="1" t="s">
        <v>1275</v>
      </c>
      <c r="B1263">
        <f>HYPERLINK("https://www.suredividend.com/sure-analysis-research-database/","Progress Software Corp.")</f>
        <v>0</v>
      </c>
      <c r="C1263" t="s">
        <v>1818</v>
      </c>
      <c r="D1263">
        <v>60.68</v>
      </c>
      <c r="E1263">
        <v>0.011441227836308</v>
      </c>
      <c r="F1263">
        <v>0</v>
      </c>
      <c r="G1263">
        <v>0.04563955259127317</v>
      </c>
      <c r="H1263">
        <v>0.6942537051071941</v>
      </c>
      <c r="I1263">
        <v>2631.447242</v>
      </c>
      <c r="J1263">
        <v>32.37947115923661</v>
      </c>
      <c r="K1263">
        <v>0.3773117962539099</v>
      </c>
      <c r="L1263">
        <v>0.813459112273288</v>
      </c>
      <c r="M1263">
        <v>61.79</v>
      </c>
      <c r="N1263">
        <v>39.72</v>
      </c>
    </row>
    <row r="1264" spans="1:14">
      <c r="A1264" s="1" t="s">
        <v>1276</v>
      </c>
      <c r="B1264">
        <f>HYPERLINK("https://www.suredividend.com/sure-analysis-research-database/","Primoris Services Corp")</f>
        <v>0</v>
      </c>
      <c r="C1264" t="s">
        <v>1813</v>
      </c>
      <c r="D1264">
        <v>32.4</v>
      </c>
      <c r="E1264">
        <v>0.001851851810459</v>
      </c>
      <c r="F1264">
        <v>0</v>
      </c>
      <c r="G1264">
        <v>0</v>
      </c>
      <c r="H1264">
        <v>0.05999999865889501</v>
      </c>
      <c r="I1264">
        <v>1726.357406</v>
      </c>
      <c r="J1264">
        <v>12.69333779199294</v>
      </c>
      <c r="K1264">
        <v>0.02380952327733929</v>
      </c>
      <c r="L1264">
        <v>1.10906599404156</v>
      </c>
      <c r="M1264">
        <v>32.69</v>
      </c>
      <c r="N1264">
        <v>15.75</v>
      </c>
    </row>
    <row r="1265" spans="1:14">
      <c r="A1265" s="1" t="s">
        <v>1277</v>
      </c>
      <c r="B1265">
        <f>HYPERLINK("https://www.suredividend.com/sure-analysis-research-database/","Park National Corp.")</f>
        <v>0</v>
      </c>
      <c r="C1265" t="s">
        <v>1815</v>
      </c>
      <c r="D1265">
        <v>110.55</v>
      </c>
      <c r="E1265">
        <v>0.037071119347375</v>
      </c>
      <c r="F1265">
        <v>0.009615384615384581</v>
      </c>
      <c r="G1265">
        <v>0.007798215589783331</v>
      </c>
      <c r="H1265">
        <v>4.09821224385235</v>
      </c>
      <c r="I1265">
        <v>1788.524884</v>
      </c>
      <c r="J1265">
        <v>12.73252378638703</v>
      </c>
      <c r="K1265">
        <v>0.4765363074246919</v>
      </c>
      <c r="L1265">
        <v>0.8968926712724841</v>
      </c>
      <c r="M1265">
        <v>147.39</v>
      </c>
      <c r="N1265">
        <v>90.28</v>
      </c>
    </row>
    <row r="1266" spans="1:14">
      <c r="A1266" s="1" t="s">
        <v>1278</v>
      </c>
      <c r="B1266">
        <f>HYPERLINK("https://www.suredividend.com/sure-analysis-research-database/","Proto Labs Inc")</f>
        <v>0</v>
      </c>
      <c r="C1266" t="s">
        <v>1813</v>
      </c>
      <c r="D1266">
        <v>31.79</v>
      </c>
      <c r="E1266">
        <v>0</v>
      </c>
      <c r="F1266" t="s">
        <v>1812</v>
      </c>
      <c r="G1266" t="s">
        <v>1812</v>
      </c>
      <c r="H1266">
        <v>0</v>
      </c>
      <c r="I1266">
        <v>832.984564</v>
      </c>
      <c r="J1266" t="s">
        <v>1812</v>
      </c>
      <c r="K1266">
        <v>-0</v>
      </c>
      <c r="L1266">
        <v>1.236393947151595</v>
      </c>
      <c r="M1266">
        <v>53</v>
      </c>
      <c r="N1266">
        <v>22.04</v>
      </c>
    </row>
    <row r="1267" spans="1:14">
      <c r="A1267" s="1" t="s">
        <v>1279</v>
      </c>
      <c r="B1267">
        <f>HYPERLINK("https://www.suredividend.com/sure-analysis-research-database/","Perimeter Solutions SA")</f>
        <v>0</v>
      </c>
      <c r="C1267" t="s">
        <v>1812</v>
      </c>
      <c r="D1267">
        <v>6.01</v>
      </c>
      <c r="E1267">
        <v>0</v>
      </c>
      <c r="F1267" t="s">
        <v>1812</v>
      </c>
      <c r="G1267" t="s">
        <v>1812</v>
      </c>
      <c r="H1267">
        <v>0</v>
      </c>
      <c r="I1267">
        <v>943.774725</v>
      </c>
      <c r="J1267">
        <v>0</v>
      </c>
      <c r="K1267" t="s">
        <v>1812</v>
      </c>
      <c r="L1267">
        <v>1.162488267626843</v>
      </c>
      <c r="M1267">
        <v>12.21</v>
      </c>
      <c r="N1267">
        <v>5.28</v>
      </c>
    </row>
    <row r="1268" spans="1:14">
      <c r="A1268" s="1" t="s">
        <v>1280</v>
      </c>
      <c r="B1268">
        <f>HYPERLINK("https://www.suredividend.com/sure-analysis-research-database/","Prime Medicine Inc")</f>
        <v>0</v>
      </c>
      <c r="C1268" t="s">
        <v>1812</v>
      </c>
      <c r="D1268">
        <v>13.75</v>
      </c>
      <c r="E1268">
        <v>0</v>
      </c>
      <c r="F1268" t="s">
        <v>1812</v>
      </c>
      <c r="G1268" t="s">
        <v>1812</v>
      </c>
      <c r="H1268">
        <v>0</v>
      </c>
      <c r="I1268">
        <v>1336.899685</v>
      </c>
      <c r="J1268">
        <v>0</v>
      </c>
      <c r="K1268" t="s">
        <v>1812</v>
      </c>
      <c r="L1268">
        <v>1.069900504980342</v>
      </c>
      <c r="M1268">
        <v>21.73</v>
      </c>
      <c r="N1268">
        <v>11.07</v>
      </c>
    </row>
    <row r="1269" spans="1:14">
      <c r="A1269" s="1" t="s">
        <v>1281</v>
      </c>
      <c r="B1269">
        <f>HYPERLINK("https://www.suredividend.com/sure-analysis-research-database/","Primo Water Corporation")</f>
        <v>0</v>
      </c>
      <c r="C1269" t="s">
        <v>1819</v>
      </c>
      <c r="D1269">
        <v>14.06</v>
      </c>
      <c r="E1269">
        <v>0.022626800521408</v>
      </c>
      <c r="F1269">
        <v>0.1428571428571428</v>
      </c>
      <c r="G1269">
        <v>0.05922384104881218</v>
      </c>
      <c r="H1269">
        <v>0.318132815331008</v>
      </c>
      <c r="I1269">
        <v>2237.431548</v>
      </c>
      <c r="J1269">
        <v>0</v>
      </c>
      <c r="K1269" t="s">
        <v>1812</v>
      </c>
      <c r="L1269">
        <v>0.9555779346882011</v>
      </c>
      <c r="M1269">
        <v>16.28</v>
      </c>
      <c r="N1269">
        <v>11.9</v>
      </c>
    </row>
    <row r="1270" spans="1:14">
      <c r="A1270" s="1" t="s">
        <v>1282</v>
      </c>
      <c r="B1270">
        <f>HYPERLINK("https://www.suredividend.com/sure-analysis-research-database/","Pros Holdings Inc")</f>
        <v>0</v>
      </c>
      <c r="C1270" t="s">
        <v>1818</v>
      </c>
      <c r="D1270">
        <v>36.45</v>
      </c>
      <c r="E1270">
        <v>0</v>
      </c>
      <c r="F1270" t="s">
        <v>1812</v>
      </c>
      <c r="G1270" t="s">
        <v>1812</v>
      </c>
      <c r="H1270">
        <v>0</v>
      </c>
      <c r="I1270">
        <v>1684.087358</v>
      </c>
      <c r="J1270" t="s">
        <v>1812</v>
      </c>
      <c r="K1270">
        <v>-0</v>
      </c>
      <c r="L1270">
        <v>1.432106241177377</v>
      </c>
      <c r="M1270">
        <v>38.96</v>
      </c>
      <c r="N1270">
        <v>18.09</v>
      </c>
    </row>
    <row r="1271" spans="1:14">
      <c r="A1271" s="1" t="s">
        <v>1283</v>
      </c>
      <c r="B1271">
        <f>HYPERLINK("https://www.suredividend.com/sure-analysis-research-database/","Purple Innovation Inc")</f>
        <v>0</v>
      </c>
      <c r="C1271" t="s">
        <v>1816</v>
      </c>
      <c r="D1271">
        <v>3.18</v>
      </c>
      <c r="E1271">
        <v>0</v>
      </c>
      <c r="F1271" t="s">
        <v>1812</v>
      </c>
      <c r="G1271" t="s">
        <v>1812</v>
      </c>
      <c r="H1271">
        <v>0</v>
      </c>
      <c r="I1271">
        <v>334.107056</v>
      </c>
      <c r="J1271" t="s">
        <v>1812</v>
      </c>
      <c r="K1271">
        <v>-0</v>
      </c>
      <c r="L1271">
        <v>1.858223260193825</v>
      </c>
      <c r="M1271">
        <v>6.76</v>
      </c>
      <c r="N1271">
        <v>2.2</v>
      </c>
    </row>
    <row r="1272" spans="1:14">
      <c r="A1272" s="1" t="s">
        <v>1284</v>
      </c>
      <c r="B1272">
        <f>HYPERLINK("https://www.suredividend.com/sure-analysis-research-database/","Prothena Corporation plc")</f>
        <v>0</v>
      </c>
      <c r="C1272" t="s">
        <v>1817</v>
      </c>
      <c r="D1272">
        <v>66.53</v>
      </c>
      <c r="E1272">
        <v>0</v>
      </c>
      <c r="F1272" t="s">
        <v>1812</v>
      </c>
      <c r="G1272" t="s">
        <v>1812</v>
      </c>
      <c r="H1272">
        <v>0</v>
      </c>
      <c r="I1272">
        <v>3509.575591</v>
      </c>
      <c r="J1272" t="s">
        <v>1812</v>
      </c>
      <c r="K1272">
        <v>-0</v>
      </c>
      <c r="L1272">
        <v>1.655849992024612</v>
      </c>
      <c r="M1272">
        <v>79.65000000000001</v>
      </c>
      <c r="N1272">
        <v>25.02</v>
      </c>
    </row>
    <row r="1273" spans="1:14">
      <c r="A1273" s="1" t="s">
        <v>1285</v>
      </c>
      <c r="B1273">
        <f>HYPERLINK("https://www.suredividend.com/sure-analysis-research-database/","Priority Technology Holdings Inc")</f>
        <v>0</v>
      </c>
      <c r="C1273" t="s">
        <v>1818</v>
      </c>
      <c r="D1273">
        <v>4.21</v>
      </c>
      <c r="E1273">
        <v>0</v>
      </c>
      <c r="F1273" t="s">
        <v>1812</v>
      </c>
      <c r="G1273" t="s">
        <v>1812</v>
      </c>
      <c r="H1273">
        <v>0</v>
      </c>
      <c r="I1273">
        <v>322.048669</v>
      </c>
      <c r="J1273">
        <v>0</v>
      </c>
      <c r="K1273" t="s">
        <v>1812</v>
      </c>
      <c r="L1273">
        <v>1.414900213514126</v>
      </c>
      <c r="M1273">
        <v>6.16</v>
      </c>
      <c r="N1273">
        <v>2.99</v>
      </c>
    </row>
    <row r="1274" spans="1:14">
      <c r="A1274" s="1" t="s">
        <v>1286</v>
      </c>
      <c r="B1274">
        <f>HYPERLINK("https://www.suredividend.com/sure-analysis-research-database/","CarParts.com Inc")</f>
        <v>0</v>
      </c>
      <c r="C1274" t="s">
        <v>1816</v>
      </c>
      <c r="D1274">
        <v>4.41</v>
      </c>
      <c r="E1274">
        <v>0</v>
      </c>
      <c r="F1274" t="s">
        <v>1812</v>
      </c>
      <c r="G1274" t="s">
        <v>1812</v>
      </c>
      <c r="H1274">
        <v>0</v>
      </c>
      <c r="I1274">
        <v>251.444423</v>
      </c>
      <c r="J1274" t="s">
        <v>1812</v>
      </c>
      <c r="K1274">
        <v>-0</v>
      </c>
      <c r="L1274">
        <v>1.659343968767372</v>
      </c>
      <c r="M1274">
        <v>9.24</v>
      </c>
      <c r="N1274">
        <v>3.82</v>
      </c>
    </row>
    <row r="1275" spans="1:14">
      <c r="A1275" s="1" t="s">
        <v>1287</v>
      </c>
      <c r="B1275">
        <f>HYPERLINK("https://www.suredividend.com/sure-analysis-research-database/","Privia Health Group Inc")</f>
        <v>0</v>
      </c>
      <c r="C1275" t="s">
        <v>1812</v>
      </c>
      <c r="D1275">
        <v>26.46</v>
      </c>
      <c r="E1275">
        <v>0</v>
      </c>
      <c r="F1275" t="s">
        <v>1812</v>
      </c>
      <c r="G1275" t="s">
        <v>1812</v>
      </c>
      <c r="H1275">
        <v>0</v>
      </c>
      <c r="I1275">
        <v>3060.424828</v>
      </c>
      <c r="J1275">
        <v>188.3454260840667</v>
      </c>
      <c r="K1275">
        <v>0</v>
      </c>
      <c r="L1275">
        <v>1.004372445303914</v>
      </c>
      <c r="M1275">
        <v>44.64</v>
      </c>
      <c r="N1275">
        <v>20.64</v>
      </c>
    </row>
    <row r="1276" spans="1:14">
      <c r="A1276" s="1" t="s">
        <v>1288</v>
      </c>
      <c r="B1276">
        <f>HYPERLINK("https://www.suredividend.com/sure-analysis-research-database/","Paysafe Limited")</f>
        <v>0</v>
      </c>
      <c r="C1276" t="s">
        <v>1812</v>
      </c>
      <c r="D1276">
        <v>11.49</v>
      </c>
      <c r="E1276">
        <v>0</v>
      </c>
      <c r="F1276" t="s">
        <v>1812</v>
      </c>
      <c r="G1276" t="s">
        <v>1812</v>
      </c>
      <c r="H1276">
        <v>0</v>
      </c>
      <c r="I1276">
        <v>698.463496</v>
      </c>
      <c r="J1276">
        <v>0</v>
      </c>
      <c r="K1276" t="s">
        <v>1812</v>
      </c>
      <c r="L1276">
        <v>1.907680778501822</v>
      </c>
      <c r="M1276">
        <v>28.8</v>
      </c>
      <c r="N1276">
        <v>9.34</v>
      </c>
    </row>
    <row r="1277" spans="1:14">
      <c r="A1277" s="1" t="s">
        <v>1289</v>
      </c>
      <c r="B1277">
        <f>HYPERLINK("https://www.suredividend.com/sure-analysis-research-database/","Pricesmart Inc.")</f>
        <v>0</v>
      </c>
      <c r="C1277" t="s">
        <v>1819</v>
      </c>
      <c r="D1277">
        <v>78.43000000000001</v>
      </c>
      <c r="E1277">
        <v>0.011313052573124</v>
      </c>
      <c r="F1277" t="s">
        <v>1812</v>
      </c>
      <c r="G1277" t="s">
        <v>1812</v>
      </c>
      <c r="H1277">
        <v>0.8872827133101271</v>
      </c>
      <c r="I1277">
        <v>2435.175109</v>
      </c>
      <c r="J1277">
        <v>21.04004759961984</v>
      </c>
      <c r="K1277">
        <v>0.2353535048567976</v>
      </c>
      <c r="L1277">
        <v>0.8085438748886541</v>
      </c>
      <c r="M1277">
        <v>82</v>
      </c>
      <c r="N1277">
        <v>55.93</v>
      </c>
    </row>
    <row r="1278" spans="1:14">
      <c r="A1278" s="1" t="s">
        <v>1290</v>
      </c>
      <c r="B1278">
        <f>HYPERLINK("https://www.suredividend.com/sure-analysis-research-database/","Parsons Corp")</f>
        <v>0</v>
      </c>
      <c r="C1278" t="s">
        <v>1813</v>
      </c>
      <c r="D1278">
        <v>53.99</v>
      </c>
      <c r="E1278">
        <v>0</v>
      </c>
      <c r="F1278" t="s">
        <v>1812</v>
      </c>
      <c r="G1278" t="s">
        <v>1812</v>
      </c>
      <c r="H1278">
        <v>0</v>
      </c>
      <c r="I1278">
        <v>5662.759183</v>
      </c>
      <c r="J1278">
        <v>55.76326127680945</v>
      </c>
      <c r="K1278">
        <v>0</v>
      </c>
      <c r="L1278">
        <v>0.534566615607835</v>
      </c>
      <c r="M1278">
        <v>54.86</v>
      </c>
      <c r="N1278">
        <v>38.67</v>
      </c>
    </row>
    <row r="1279" spans="1:14">
      <c r="A1279" s="1" t="s">
        <v>1291</v>
      </c>
      <c r="B1279">
        <f>HYPERLINK("https://www.suredividend.com/sure-analysis-PSTL/","Postal Realty Trust Inc")</f>
        <v>0</v>
      </c>
      <c r="C1279" t="s">
        <v>1814</v>
      </c>
      <c r="D1279">
        <v>14.91</v>
      </c>
      <c r="E1279">
        <v>0.06371562709590878</v>
      </c>
      <c r="F1279" t="s">
        <v>1812</v>
      </c>
      <c r="G1279" t="s">
        <v>1812</v>
      </c>
      <c r="H1279">
        <v>0.9213372008984361</v>
      </c>
      <c r="I1279">
        <v>296.864645</v>
      </c>
      <c r="J1279">
        <v>0</v>
      </c>
      <c r="K1279" t="s">
        <v>1812</v>
      </c>
      <c r="L1279">
        <v>0.5781590417650381</v>
      </c>
      <c r="M1279">
        <v>16.11</v>
      </c>
      <c r="N1279">
        <v>13.6</v>
      </c>
    </row>
    <row r="1280" spans="1:14">
      <c r="A1280" s="1" t="s">
        <v>1292</v>
      </c>
      <c r="B1280">
        <f>HYPERLINK("https://www.suredividend.com/sure-analysis-research-database/","PTC Therapeutics Inc")</f>
        <v>0</v>
      </c>
      <c r="C1280" t="s">
        <v>1817</v>
      </c>
      <c r="D1280">
        <v>40.32</v>
      </c>
      <c r="E1280">
        <v>0</v>
      </c>
      <c r="F1280" t="s">
        <v>1812</v>
      </c>
      <c r="G1280" t="s">
        <v>1812</v>
      </c>
      <c r="H1280">
        <v>0</v>
      </c>
      <c r="I1280">
        <v>2991.369024</v>
      </c>
      <c r="J1280" t="s">
        <v>1812</v>
      </c>
      <c r="K1280">
        <v>-0</v>
      </c>
      <c r="L1280">
        <v>0.7767306742845651</v>
      </c>
      <c r="M1280">
        <v>59.84</v>
      </c>
      <c r="N1280">
        <v>33.25</v>
      </c>
    </row>
    <row r="1281" spans="1:14">
      <c r="A1281" s="1" t="s">
        <v>1293</v>
      </c>
      <c r="B1281">
        <f>HYPERLINK("https://www.suredividend.com/sure-analysis-research-database/","Patterson-UTI Energy Inc")</f>
        <v>0</v>
      </c>
      <c r="C1281" t="s">
        <v>1822</v>
      </c>
      <c r="D1281">
        <v>15.63</v>
      </c>
      <c r="E1281">
        <v>0.017658833607679</v>
      </c>
      <c r="F1281" t="s">
        <v>1812</v>
      </c>
      <c r="G1281" t="s">
        <v>1812</v>
      </c>
      <c r="H1281">
        <v>0.276007569288037</v>
      </c>
      <c r="I1281">
        <v>3250.939796</v>
      </c>
      <c r="J1281">
        <v>9.400099456310848</v>
      </c>
      <c r="K1281">
        <v>0.1735896662188912</v>
      </c>
      <c r="L1281">
        <v>1.287769538277141</v>
      </c>
      <c r="M1281">
        <v>19.3</v>
      </c>
      <c r="N1281">
        <v>9.699999999999999</v>
      </c>
    </row>
    <row r="1282" spans="1:14">
      <c r="A1282" s="1" t="s">
        <v>1294</v>
      </c>
      <c r="B1282">
        <f>HYPERLINK("https://www.suredividend.com/sure-analysis-research-database/","Protagonist Therapeutics Inc")</f>
        <v>0</v>
      </c>
      <c r="C1282" t="s">
        <v>1817</v>
      </c>
      <c r="D1282">
        <v>18.57</v>
      </c>
      <c r="E1282">
        <v>0</v>
      </c>
      <c r="F1282" t="s">
        <v>1812</v>
      </c>
      <c r="G1282" t="s">
        <v>1812</v>
      </c>
      <c r="H1282">
        <v>0</v>
      </c>
      <c r="I1282">
        <v>1063.155787</v>
      </c>
      <c r="J1282">
        <v>0</v>
      </c>
      <c r="K1282" t="s">
        <v>1812</v>
      </c>
      <c r="L1282">
        <v>1.011378492259714</v>
      </c>
      <c r="M1282">
        <v>30.1</v>
      </c>
      <c r="N1282">
        <v>7.24</v>
      </c>
    </row>
    <row r="1283" spans="1:14">
      <c r="A1283" s="1" t="s">
        <v>1295</v>
      </c>
      <c r="B1283">
        <f>HYPERLINK("https://www.suredividend.com/sure-analysis-research-database/","Portillos Inc")</f>
        <v>0</v>
      </c>
      <c r="C1283" t="s">
        <v>1812</v>
      </c>
      <c r="D1283">
        <v>19.51</v>
      </c>
      <c r="E1283">
        <v>0</v>
      </c>
      <c r="F1283" t="s">
        <v>1812</v>
      </c>
      <c r="G1283" t="s">
        <v>1812</v>
      </c>
      <c r="H1283">
        <v>0</v>
      </c>
      <c r="I1283">
        <v>1073.071929</v>
      </c>
      <c r="J1283">
        <v>0</v>
      </c>
      <c r="K1283" t="s">
        <v>1812</v>
      </c>
      <c r="L1283">
        <v>1.190877705050211</v>
      </c>
      <c r="M1283">
        <v>28.93</v>
      </c>
      <c r="N1283">
        <v>15.84</v>
      </c>
    </row>
    <row r="1284" spans="1:14">
      <c r="A1284" s="1" t="s">
        <v>1296</v>
      </c>
      <c r="B1284">
        <f>HYPERLINK("https://www.suredividend.com/sure-analysis-research-database/","Proterra Inc")</f>
        <v>0</v>
      </c>
      <c r="C1284" t="s">
        <v>1812</v>
      </c>
      <c r="D1284">
        <v>1.72</v>
      </c>
      <c r="E1284">
        <v>0</v>
      </c>
      <c r="F1284" t="s">
        <v>1812</v>
      </c>
      <c r="G1284" t="s">
        <v>1812</v>
      </c>
      <c r="H1284">
        <v>0</v>
      </c>
      <c r="I1284">
        <v>390.253469</v>
      </c>
      <c r="J1284">
        <v>0</v>
      </c>
      <c r="K1284" t="s">
        <v>1812</v>
      </c>
      <c r="L1284">
        <v>1.789855878212493</v>
      </c>
      <c r="M1284">
        <v>7.71</v>
      </c>
      <c r="N1284">
        <v>0.9117000000000001</v>
      </c>
    </row>
    <row r="1285" spans="1:14">
      <c r="A1285" s="1" t="s">
        <v>1297</v>
      </c>
      <c r="B1285">
        <f>HYPERLINK("https://www.suredividend.com/sure-analysis-research-database/","P.A.M. Transportation Services, Inc.")</f>
        <v>0</v>
      </c>
      <c r="C1285" t="s">
        <v>1813</v>
      </c>
      <c r="D1285">
        <v>25.73</v>
      </c>
      <c r="E1285">
        <v>0</v>
      </c>
      <c r="F1285" t="s">
        <v>1812</v>
      </c>
      <c r="G1285" t="s">
        <v>1812</v>
      </c>
      <c r="H1285">
        <v>0</v>
      </c>
      <c r="I1285">
        <v>566.94434</v>
      </c>
      <c r="J1285">
        <v>9.929320468317631</v>
      </c>
      <c r="K1285">
        <v>0</v>
      </c>
      <c r="L1285">
        <v>1.193543130748309</v>
      </c>
      <c r="M1285">
        <v>37.45</v>
      </c>
      <c r="N1285">
        <v>21.56</v>
      </c>
    </row>
    <row r="1286" spans="1:14">
      <c r="A1286" s="1" t="s">
        <v>1298</v>
      </c>
      <c r="B1286">
        <f>HYPERLINK("https://www.suredividend.com/sure-analysis-research-database/","Pactiv Evergreen Inc")</f>
        <v>0</v>
      </c>
      <c r="C1286" t="s">
        <v>1812</v>
      </c>
      <c r="D1286">
        <v>8.68</v>
      </c>
      <c r="E1286">
        <v>0.045700129155142</v>
      </c>
      <c r="F1286" t="s">
        <v>1812</v>
      </c>
      <c r="G1286" t="s">
        <v>1812</v>
      </c>
      <c r="H1286">
        <v>0.3966771210666371</v>
      </c>
      <c r="I1286">
        <v>1547.444768</v>
      </c>
      <c r="J1286">
        <v>0</v>
      </c>
      <c r="K1286" t="s">
        <v>1812</v>
      </c>
      <c r="L1286">
        <v>1.01797186291868</v>
      </c>
      <c r="M1286">
        <v>12.31</v>
      </c>
      <c r="N1286">
        <v>6.85</v>
      </c>
    </row>
    <row r="1287" spans="1:14">
      <c r="A1287" s="1" t="s">
        <v>1299</v>
      </c>
      <c r="B1287">
        <f>HYPERLINK("https://www.suredividend.com/sure-analysis-research-database/","PubMatic Inc")</f>
        <v>0</v>
      </c>
      <c r="C1287" t="s">
        <v>1812</v>
      </c>
      <c r="D1287">
        <v>19.42</v>
      </c>
      <c r="E1287">
        <v>0</v>
      </c>
      <c r="F1287" t="s">
        <v>1812</v>
      </c>
      <c r="G1287" t="s">
        <v>1812</v>
      </c>
      <c r="H1287">
        <v>0</v>
      </c>
      <c r="I1287">
        <v>828.991658</v>
      </c>
      <c r="J1287">
        <v>45.91479688839657</v>
      </c>
      <c r="K1287">
        <v>0</v>
      </c>
      <c r="L1287">
        <v>1.543025516783632</v>
      </c>
      <c r="M1287">
        <v>23.6</v>
      </c>
      <c r="N1287">
        <v>11.73</v>
      </c>
    </row>
    <row r="1288" spans="1:14">
      <c r="A1288" s="1" t="s">
        <v>1300</v>
      </c>
      <c r="B1288">
        <f>HYPERLINK("https://www.suredividend.com/sure-analysis-research-database/","ProPetro Holding Corp")</f>
        <v>0</v>
      </c>
      <c r="C1288" t="s">
        <v>1822</v>
      </c>
      <c r="D1288">
        <v>9.77</v>
      </c>
      <c r="E1288">
        <v>0</v>
      </c>
      <c r="F1288" t="s">
        <v>1812</v>
      </c>
      <c r="G1288" t="s">
        <v>1812</v>
      </c>
      <c r="H1288">
        <v>0</v>
      </c>
      <c r="I1288">
        <v>1125.810456</v>
      </c>
      <c r="J1288">
        <v>59.42206563865724</v>
      </c>
      <c r="K1288">
        <v>0</v>
      </c>
      <c r="L1288">
        <v>1.449967382040346</v>
      </c>
      <c r="M1288">
        <v>12.58</v>
      </c>
      <c r="N1288">
        <v>6.33</v>
      </c>
    </row>
    <row r="1289" spans="1:14">
      <c r="A1289" s="1" t="s">
        <v>1301</v>
      </c>
      <c r="B1289">
        <f>HYPERLINK("https://www.suredividend.com/sure-analysis-research-database/","Provident Bancorp Inc")</f>
        <v>0</v>
      </c>
      <c r="C1289" t="s">
        <v>1815</v>
      </c>
      <c r="D1289">
        <v>9.77</v>
      </c>
      <c r="E1289">
        <v>0.004094165722203</v>
      </c>
      <c r="F1289" t="s">
        <v>1812</v>
      </c>
      <c r="G1289" t="s">
        <v>1812</v>
      </c>
      <c r="H1289">
        <v>0.03999999910593</v>
      </c>
      <c r="I1289">
        <v>172.839565</v>
      </c>
      <c r="J1289">
        <v>0</v>
      </c>
      <c r="K1289" t="s">
        <v>1812</v>
      </c>
      <c r="L1289">
        <v>0.7988366404923241</v>
      </c>
      <c r="M1289">
        <v>15.34</v>
      </c>
      <c r="N1289">
        <v>5.76</v>
      </c>
    </row>
    <row r="1290" spans="1:14">
      <c r="A1290" s="1" t="s">
        <v>1302</v>
      </c>
      <c r="B1290">
        <f>HYPERLINK("https://www.suredividend.com/sure-analysis-research-database/","Perella Weinberg Partners")</f>
        <v>0</v>
      </c>
      <c r="C1290" t="s">
        <v>1812</v>
      </c>
      <c r="D1290">
        <v>10.45</v>
      </c>
      <c r="E1290">
        <v>0.026311275906203</v>
      </c>
      <c r="F1290" t="s">
        <v>1812</v>
      </c>
      <c r="G1290" t="s">
        <v>1812</v>
      </c>
      <c r="H1290">
        <v>0.274952833219821</v>
      </c>
      <c r="I1290">
        <v>437.434826</v>
      </c>
      <c r="J1290">
        <v>0</v>
      </c>
      <c r="K1290" t="s">
        <v>1812</v>
      </c>
      <c r="L1290">
        <v>1.103078706372554</v>
      </c>
      <c r="M1290">
        <v>11.71</v>
      </c>
      <c r="N1290">
        <v>5.95</v>
      </c>
    </row>
    <row r="1291" spans="1:14">
      <c r="A1291" s="1" t="s">
        <v>1303</v>
      </c>
      <c r="B1291">
        <f>HYPERLINK("https://www.suredividend.com/sure-analysis-research-database/","PowerSchool Holdings Inc")</f>
        <v>0</v>
      </c>
      <c r="C1291" t="s">
        <v>1812</v>
      </c>
      <c r="D1291">
        <v>23.05</v>
      </c>
      <c r="E1291">
        <v>0</v>
      </c>
      <c r="F1291" t="s">
        <v>1812</v>
      </c>
      <c r="G1291" t="s">
        <v>1812</v>
      </c>
      <c r="H1291">
        <v>0</v>
      </c>
      <c r="I1291">
        <v>4624.376585</v>
      </c>
      <c r="J1291">
        <v>0</v>
      </c>
      <c r="K1291" t="s">
        <v>1812</v>
      </c>
      <c r="L1291">
        <v>0.8625781349772741</v>
      </c>
      <c r="M1291">
        <v>26.05</v>
      </c>
      <c r="N1291">
        <v>15.17</v>
      </c>
    </row>
    <row r="1292" spans="1:14">
      <c r="A1292" s="1" t="s">
        <v>1304</v>
      </c>
      <c r="B1292">
        <f>HYPERLINK("https://www.suredividend.com/sure-analysis-research-database/","Papa John`s International, Inc.")</f>
        <v>0</v>
      </c>
      <c r="C1292" t="s">
        <v>1816</v>
      </c>
      <c r="D1292">
        <v>82.31</v>
      </c>
      <c r="E1292">
        <v>0.020123723373871</v>
      </c>
      <c r="F1292">
        <v>0</v>
      </c>
      <c r="G1292">
        <v>0.1329568106011707</v>
      </c>
      <c r="H1292">
        <v>1.656383670903347</v>
      </c>
      <c r="I1292">
        <v>2687.920216</v>
      </c>
      <c r="J1292">
        <v>33.89387945488248</v>
      </c>
      <c r="K1292">
        <v>0.7361705204014876</v>
      </c>
      <c r="L1292">
        <v>0.9296440179251511</v>
      </c>
      <c r="M1292">
        <v>96.73</v>
      </c>
      <c r="N1292">
        <v>65.05</v>
      </c>
    </row>
    <row r="1293" spans="1:14">
      <c r="A1293" s="1" t="s">
        <v>1305</v>
      </c>
      <c r="B1293">
        <f>HYPERLINK("https://www.suredividend.com/sure-analysis-research-database/","QCR Holding, Inc.")</f>
        <v>0</v>
      </c>
      <c r="C1293" t="s">
        <v>1815</v>
      </c>
      <c r="D1293">
        <v>52.76</v>
      </c>
      <c r="E1293">
        <v>0.004535080935793001</v>
      </c>
      <c r="F1293">
        <v>0</v>
      </c>
      <c r="G1293">
        <v>0</v>
      </c>
      <c r="H1293">
        <v>0.239270870172448</v>
      </c>
      <c r="I1293">
        <v>882.045743</v>
      </c>
      <c r="J1293">
        <v>0</v>
      </c>
      <c r="K1293" t="s">
        <v>1812</v>
      </c>
      <c r="L1293">
        <v>0.9299725229355241</v>
      </c>
      <c r="M1293">
        <v>62.45</v>
      </c>
      <c r="N1293">
        <v>35.04</v>
      </c>
    </row>
    <row r="1294" spans="1:14">
      <c r="A1294" s="1" t="s">
        <v>1306</v>
      </c>
      <c r="B1294">
        <f>HYPERLINK("https://www.suredividend.com/sure-analysis-research-database/","Qualys Inc")</f>
        <v>0</v>
      </c>
      <c r="C1294" t="s">
        <v>1818</v>
      </c>
      <c r="D1294">
        <v>138.04</v>
      </c>
      <c r="E1294">
        <v>0</v>
      </c>
      <c r="F1294" t="s">
        <v>1812</v>
      </c>
      <c r="G1294" t="s">
        <v>1812</v>
      </c>
      <c r="H1294">
        <v>0</v>
      </c>
      <c r="I1294">
        <v>5093.095818</v>
      </c>
      <c r="J1294">
        <v>45.60150973595852</v>
      </c>
      <c r="K1294">
        <v>0</v>
      </c>
      <c r="L1294">
        <v>1.221523828740021</v>
      </c>
      <c r="M1294">
        <v>162.36</v>
      </c>
      <c r="N1294">
        <v>101.1</v>
      </c>
    </row>
    <row r="1295" spans="1:14">
      <c r="A1295" s="1" t="s">
        <v>1307</v>
      </c>
      <c r="B1295">
        <f>HYPERLINK("https://www.suredividend.com/sure-analysis-research-database/","QuinStreet Inc")</f>
        <v>0</v>
      </c>
      <c r="C1295" t="s">
        <v>1821</v>
      </c>
      <c r="D1295">
        <v>8.82</v>
      </c>
      <c r="E1295">
        <v>0</v>
      </c>
      <c r="F1295" t="s">
        <v>1812</v>
      </c>
      <c r="G1295" t="s">
        <v>1812</v>
      </c>
      <c r="H1295">
        <v>0</v>
      </c>
      <c r="I1295">
        <v>477.318308</v>
      </c>
      <c r="J1295" t="s">
        <v>1812</v>
      </c>
      <c r="K1295">
        <v>-0</v>
      </c>
      <c r="L1295">
        <v>1.07811567627104</v>
      </c>
      <c r="M1295">
        <v>18.18</v>
      </c>
      <c r="N1295">
        <v>6.79</v>
      </c>
    </row>
    <row r="1296" spans="1:14">
      <c r="A1296" s="1" t="s">
        <v>1308</v>
      </c>
      <c r="B1296">
        <f>HYPERLINK("https://www.suredividend.com/sure-analysis-research-database/","Qurate Retail Inc")</f>
        <v>0</v>
      </c>
      <c r="C1296" t="s">
        <v>1816</v>
      </c>
      <c r="D1296">
        <v>0.9355</v>
      </c>
      <c r="E1296">
        <v>0</v>
      </c>
      <c r="F1296" t="s">
        <v>1812</v>
      </c>
      <c r="G1296" t="s">
        <v>1812</v>
      </c>
      <c r="H1296">
        <v>0</v>
      </c>
      <c r="I1296">
        <v>420.246084</v>
      </c>
      <c r="J1296">
        <v>0</v>
      </c>
      <c r="K1296" t="s">
        <v>1812</v>
      </c>
      <c r="L1296">
        <v>2.876046456635336</v>
      </c>
      <c r="M1296">
        <v>4.23</v>
      </c>
      <c r="N1296">
        <v>0.6702</v>
      </c>
    </row>
    <row r="1297" spans="1:14">
      <c r="A1297" s="1" t="s">
        <v>1309</v>
      </c>
      <c r="B1297">
        <f>HYPERLINK("https://www.suredividend.com/sure-analysis-research-database/","Quantum-Si Incorporated")</f>
        <v>0</v>
      </c>
      <c r="C1297" t="s">
        <v>1812</v>
      </c>
      <c r="D1297">
        <v>3.535</v>
      </c>
      <c r="E1297">
        <v>0</v>
      </c>
      <c r="F1297" t="s">
        <v>1812</v>
      </c>
      <c r="G1297" t="s">
        <v>1812</v>
      </c>
      <c r="H1297">
        <v>0</v>
      </c>
      <c r="I1297">
        <v>429.712267</v>
      </c>
      <c r="J1297">
        <v>0</v>
      </c>
      <c r="K1297" t="s">
        <v>1812</v>
      </c>
      <c r="L1297">
        <v>2.48258116688226</v>
      </c>
      <c r="M1297">
        <v>4.43</v>
      </c>
      <c r="N1297">
        <v>1.36</v>
      </c>
    </row>
    <row r="1298" spans="1:14">
      <c r="A1298" s="1" t="s">
        <v>1310</v>
      </c>
      <c r="B1298">
        <f>HYPERLINK("https://www.suredividend.com/sure-analysis-research-database/","Quanterix Corp")</f>
        <v>0</v>
      </c>
      <c r="C1298" t="s">
        <v>1817</v>
      </c>
      <c r="D1298">
        <v>22.43</v>
      </c>
      <c r="E1298">
        <v>0</v>
      </c>
      <c r="F1298" t="s">
        <v>1812</v>
      </c>
      <c r="G1298" t="s">
        <v>1812</v>
      </c>
      <c r="H1298">
        <v>0</v>
      </c>
      <c r="I1298">
        <v>839.077657</v>
      </c>
      <c r="J1298" t="s">
        <v>1812</v>
      </c>
      <c r="K1298">
        <v>-0</v>
      </c>
      <c r="L1298">
        <v>1.838368721630926</v>
      </c>
      <c r="M1298">
        <v>25.67</v>
      </c>
      <c r="N1298">
        <v>6.31</v>
      </c>
    </row>
    <row r="1299" spans="1:14">
      <c r="A1299" s="1" t="s">
        <v>1311</v>
      </c>
      <c r="B1299">
        <f>HYPERLINK("https://www.suredividend.com/sure-analysis-research-database/","Q2 Holdings Inc")</f>
        <v>0</v>
      </c>
      <c r="C1299" t="s">
        <v>1818</v>
      </c>
      <c r="D1299">
        <v>33.6</v>
      </c>
      <c r="E1299">
        <v>0</v>
      </c>
      <c r="F1299" t="s">
        <v>1812</v>
      </c>
      <c r="G1299" t="s">
        <v>1812</v>
      </c>
      <c r="H1299">
        <v>0</v>
      </c>
      <c r="I1299">
        <v>1963.803475</v>
      </c>
      <c r="J1299" t="s">
        <v>1812</v>
      </c>
      <c r="K1299">
        <v>-0</v>
      </c>
      <c r="L1299">
        <v>1.988017322675116</v>
      </c>
      <c r="M1299">
        <v>48.36</v>
      </c>
      <c r="N1299">
        <v>18.91</v>
      </c>
    </row>
    <row r="1300" spans="1:14">
      <c r="A1300" s="1" t="s">
        <v>1312</v>
      </c>
      <c r="B1300">
        <f>HYPERLINK("https://www.suredividend.com/sure-analysis-research-database/","Quad/Graphics Inc")</f>
        <v>0</v>
      </c>
      <c r="C1300" t="s">
        <v>1813</v>
      </c>
      <c r="D1300">
        <v>5.36</v>
      </c>
      <c r="E1300">
        <v>0</v>
      </c>
      <c r="F1300" t="s">
        <v>1812</v>
      </c>
      <c r="G1300" t="s">
        <v>1812</v>
      </c>
      <c r="H1300">
        <v>0</v>
      </c>
      <c r="I1300">
        <v>209.860182</v>
      </c>
      <c r="J1300">
        <v>0</v>
      </c>
      <c r="K1300" t="s">
        <v>1812</v>
      </c>
      <c r="L1300">
        <v>1.356402022218138</v>
      </c>
      <c r="M1300">
        <v>6.09</v>
      </c>
      <c r="N1300">
        <v>2.12</v>
      </c>
    </row>
    <row r="1301" spans="1:14">
      <c r="A1301" s="1" t="s">
        <v>1313</v>
      </c>
      <c r="B1301">
        <f>HYPERLINK("https://www.suredividend.com/sure-analysis-research-database/","Quotient Technology Inc")</f>
        <v>0</v>
      </c>
      <c r="C1301" t="s">
        <v>1821</v>
      </c>
      <c r="D1301">
        <v>3.97</v>
      </c>
      <c r="E1301">
        <v>0</v>
      </c>
      <c r="F1301" t="s">
        <v>1812</v>
      </c>
      <c r="G1301" t="s">
        <v>1812</v>
      </c>
      <c r="H1301">
        <v>0</v>
      </c>
      <c r="I1301">
        <v>391.707605</v>
      </c>
      <c r="J1301" t="s">
        <v>1812</v>
      </c>
      <c r="K1301">
        <v>-0</v>
      </c>
      <c r="L1301">
        <v>0.903447139762912</v>
      </c>
      <c r="M1301">
        <v>4.25</v>
      </c>
      <c r="N1301">
        <v>1.68</v>
      </c>
    </row>
    <row r="1302" spans="1:14">
      <c r="A1302" s="1" t="s">
        <v>1314</v>
      </c>
      <c r="B1302">
        <f>HYPERLINK("https://www.suredividend.com/sure-analysis-research-database/","Rite Aid Corp.")</f>
        <v>0</v>
      </c>
      <c r="C1302" t="s">
        <v>1817</v>
      </c>
      <c r="D1302">
        <v>2.57</v>
      </c>
      <c r="E1302">
        <v>0</v>
      </c>
      <c r="F1302" t="s">
        <v>1812</v>
      </c>
      <c r="G1302" t="s">
        <v>1812</v>
      </c>
      <c r="H1302">
        <v>0</v>
      </c>
      <c r="I1302">
        <v>145.709573</v>
      </c>
      <c r="J1302" t="s">
        <v>1812</v>
      </c>
      <c r="K1302">
        <v>-0</v>
      </c>
      <c r="L1302">
        <v>1.51319887339999</v>
      </c>
      <c r="M1302">
        <v>11.61</v>
      </c>
      <c r="N1302">
        <v>1.42</v>
      </c>
    </row>
    <row r="1303" spans="1:14">
      <c r="A1303" s="1" t="s">
        <v>1315</v>
      </c>
      <c r="B1303">
        <f>HYPERLINK("https://www.suredividend.com/sure-analysis-research-database/","Radius Global Infrastructure Inc")</f>
        <v>0</v>
      </c>
      <c r="C1303" t="s">
        <v>1812</v>
      </c>
      <c r="D1303">
        <v>14.89</v>
      </c>
      <c r="E1303">
        <v>0</v>
      </c>
      <c r="F1303" t="s">
        <v>1812</v>
      </c>
      <c r="G1303" t="s">
        <v>1812</v>
      </c>
      <c r="H1303">
        <v>0</v>
      </c>
      <c r="I1303">
        <v>1483.997556</v>
      </c>
      <c r="J1303">
        <v>0</v>
      </c>
      <c r="K1303" t="s">
        <v>1812</v>
      </c>
      <c r="L1303">
        <v>1.264122828669848</v>
      </c>
      <c r="M1303">
        <v>16</v>
      </c>
      <c r="N1303">
        <v>7.97</v>
      </c>
    </row>
    <row r="1304" spans="1:14">
      <c r="A1304" s="1" t="s">
        <v>1316</v>
      </c>
      <c r="B1304">
        <f>HYPERLINK("https://www.suredividend.com/sure-analysis-research-database/","LiveRamp Holdings Inc")</f>
        <v>0</v>
      </c>
      <c r="C1304" t="s">
        <v>1818</v>
      </c>
      <c r="D1304">
        <v>28.48</v>
      </c>
      <c r="E1304">
        <v>0</v>
      </c>
      <c r="F1304" t="s">
        <v>1812</v>
      </c>
      <c r="G1304" t="s">
        <v>1812</v>
      </c>
      <c r="H1304">
        <v>0</v>
      </c>
      <c r="I1304">
        <v>1891.144766</v>
      </c>
      <c r="J1304" t="s">
        <v>1812</v>
      </c>
      <c r="K1304">
        <v>-0</v>
      </c>
      <c r="L1304">
        <v>1.071205912536283</v>
      </c>
      <c r="M1304">
        <v>29.41</v>
      </c>
      <c r="N1304">
        <v>15.37</v>
      </c>
    </row>
    <row r="1305" spans="1:14">
      <c r="A1305" s="1" t="s">
        <v>1317</v>
      </c>
      <c r="B1305">
        <f>HYPERLINK("https://www.suredividend.com/sure-analysis-research-database/","RAPT Therapeutics Inc")</f>
        <v>0</v>
      </c>
      <c r="C1305" t="s">
        <v>1817</v>
      </c>
      <c r="D1305">
        <v>23.31</v>
      </c>
      <c r="E1305">
        <v>0</v>
      </c>
      <c r="F1305" t="s">
        <v>1812</v>
      </c>
      <c r="G1305" t="s">
        <v>1812</v>
      </c>
      <c r="H1305">
        <v>0</v>
      </c>
      <c r="I1305">
        <v>800.5827430000001</v>
      </c>
      <c r="J1305">
        <v>0</v>
      </c>
      <c r="K1305" t="s">
        <v>1812</v>
      </c>
      <c r="L1305">
        <v>1.822013586596599</v>
      </c>
      <c r="M1305">
        <v>32.45</v>
      </c>
      <c r="N1305">
        <v>15.59</v>
      </c>
    </row>
    <row r="1306" spans="1:14">
      <c r="A1306" s="1" t="s">
        <v>1318</v>
      </c>
      <c r="B1306">
        <f>HYPERLINK("https://www.suredividend.com/sure-analysis-research-database/","RBB Bancorp")</f>
        <v>0</v>
      </c>
      <c r="C1306" t="s">
        <v>1815</v>
      </c>
      <c r="D1306">
        <v>14.73</v>
      </c>
      <c r="E1306">
        <v>0.04082577382834601</v>
      </c>
      <c r="F1306">
        <v>0.1428571428571428</v>
      </c>
      <c r="G1306">
        <v>0.1219551454461996</v>
      </c>
      <c r="H1306">
        <v>0.601363648491541</v>
      </c>
      <c r="I1306">
        <v>279.765461</v>
      </c>
      <c r="J1306">
        <v>4.610657259468012</v>
      </c>
      <c r="K1306">
        <v>0.1897046209752495</v>
      </c>
      <c r="L1306">
        <v>1.045760795439298</v>
      </c>
      <c r="M1306">
        <v>22.03</v>
      </c>
      <c r="N1306">
        <v>8.43</v>
      </c>
    </row>
    <row r="1307" spans="1:14">
      <c r="A1307" s="1" t="s">
        <v>1319</v>
      </c>
      <c r="B1307">
        <f>HYPERLINK("https://www.suredividend.com/sure-analysis-research-database/","Ribbon Communications Inc")</f>
        <v>0</v>
      </c>
      <c r="C1307" t="s">
        <v>1821</v>
      </c>
      <c r="D1307">
        <v>3.08</v>
      </c>
      <c r="E1307">
        <v>0</v>
      </c>
      <c r="F1307" t="s">
        <v>1812</v>
      </c>
      <c r="G1307" t="s">
        <v>1812</v>
      </c>
      <c r="H1307">
        <v>0</v>
      </c>
      <c r="I1307">
        <v>527.133435</v>
      </c>
      <c r="J1307">
        <v>0</v>
      </c>
      <c r="K1307" t="s">
        <v>1812</v>
      </c>
      <c r="L1307">
        <v>1.559416856857085</v>
      </c>
      <c r="M1307">
        <v>4.84</v>
      </c>
      <c r="N1307">
        <v>2.19</v>
      </c>
    </row>
    <row r="1308" spans="1:14">
      <c r="A1308" s="1" t="s">
        <v>1320</v>
      </c>
      <c r="B1308">
        <f>HYPERLINK("https://www.suredividend.com/sure-analysis-research-database/","RBC Bearings Inc.")</f>
        <v>0</v>
      </c>
      <c r="C1308" t="s">
        <v>1813</v>
      </c>
      <c r="D1308">
        <v>214.45</v>
      </c>
      <c r="E1308">
        <v>0</v>
      </c>
      <c r="F1308" t="s">
        <v>1812</v>
      </c>
      <c r="G1308" t="s">
        <v>1812</v>
      </c>
      <c r="H1308">
        <v>0</v>
      </c>
      <c r="I1308">
        <v>6193.136505</v>
      </c>
      <c r="J1308">
        <v>43.06770866029207</v>
      </c>
      <c r="K1308">
        <v>0</v>
      </c>
      <c r="L1308">
        <v>1.025594205957747</v>
      </c>
      <c r="M1308">
        <v>264.94</v>
      </c>
      <c r="N1308">
        <v>195.18</v>
      </c>
    </row>
    <row r="1309" spans="1:14">
      <c r="A1309" s="1" t="s">
        <v>1321</v>
      </c>
      <c r="B1309">
        <f>HYPERLINK("https://www.suredividend.com/sure-analysis-RBCAA/","Republic Bancorp, Inc. (KY)")</f>
        <v>0</v>
      </c>
      <c r="C1309" t="s">
        <v>1815</v>
      </c>
      <c r="D1309">
        <v>46.62</v>
      </c>
      <c r="E1309">
        <v>0.03217503217503218</v>
      </c>
      <c r="F1309">
        <v>0.09677419354838701</v>
      </c>
      <c r="G1309">
        <v>0.09096607850144967</v>
      </c>
      <c r="H1309">
        <v>1.404024173093824</v>
      </c>
      <c r="I1309">
        <v>819.969996</v>
      </c>
      <c r="J1309">
        <v>8.983806598737839</v>
      </c>
      <c r="K1309">
        <v>0.308576741339302</v>
      </c>
      <c r="L1309">
        <v>0.7439994987263671</v>
      </c>
      <c r="M1309">
        <v>47.97</v>
      </c>
      <c r="N1309">
        <v>36.63</v>
      </c>
    </row>
    <row r="1310" spans="1:14">
      <c r="A1310" s="1" t="s">
        <v>1322</v>
      </c>
      <c r="B1310">
        <f>HYPERLINK("https://www.suredividend.com/sure-analysis-research-database/","Vicarious Surgical Inc")</f>
        <v>0</v>
      </c>
      <c r="C1310" t="s">
        <v>1812</v>
      </c>
      <c r="D1310">
        <v>0.9653</v>
      </c>
      <c r="E1310">
        <v>0</v>
      </c>
      <c r="F1310" t="s">
        <v>1812</v>
      </c>
      <c r="G1310" t="s">
        <v>1812</v>
      </c>
      <c r="H1310">
        <v>0</v>
      </c>
      <c r="I1310">
        <v>103.947961</v>
      </c>
      <c r="J1310">
        <v>0</v>
      </c>
      <c r="K1310" t="s">
        <v>1812</v>
      </c>
      <c r="L1310">
        <v>2.036613751751265</v>
      </c>
      <c r="M1310">
        <v>4.76</v>
      </c>
      <c r="N1310">
        <v>0.9011</v>
      </c>
    </row>
    <row r="1311" spans="1:14">
      <c r="A1311" s="1" t="s">
        <v>1323</v>
      </c>
      <c r="B1311">
        <f>HYPERLINK("https://www.suredividend.com/sure-analysis-research-database/","Ready Capital Corp")</f>
        <v>0</v>
      </c>
      <c r="C1311" t="s">
        <v>1814</v>
      </c>
      <c r="D1311">
        <v>11.07</v>
      </c>
      <c r="E1311">
        <v>0.148152747077948</v>
      </c>
      <c r="F1311">
        <v>-0.6666666666666666</v>
      </c>
      <c r="G1311">
        <v>-0.1893869169010509</v>
      </c>
      <c r="H1311">
        <v>1.640050910152893</v>
      </c>
      <c r="I1311">
        <v>1901.149092</v>
      </c>
      <c r="J1311">
        <v>12.00243118013599</v>
      </c>
      <c r="K1311">
        <v>1.281289773556948</v>
      </c>
      <c r="L1311">
        <v>1.149524710929096</v>
      </c>
      <c r="M1311">
        <v>12.48</v>
      </c>
      <c r="N1311">
        <v>8.65</v>
      </c>
    </row>
    <row r="1312" spans="1:14">
      <c r="A1312" s="1" t="s">
        <v>1324</v>
      </c>
      <c r="B1312">
        <f>HYPERLINK("https://www.suredividend.com/sure-analysis-research-database/","Rocket Pharmaceuticals Inc")</f>
        <v>0</v>
      </c>
      <c r="C1312" t="s">
        <v>1817</v>
      </c>
      <c r="D1312">
        <v>17.72</v>
      </c>
      <c r="E1312">
        <v>0</v>
      </c>
      <c r="F1312" t="s">
        <v>1812</v>
      </c>
      <c r="G1312" t="s">
        <v>1812</v>
      </c>
      <c r="H1312">
        <v>0</v>
      </c>
      <c r="I1312">
        <v>1425.774856</v>
      </c>
      <c r="J1312">
        <v>0</v>
      </c>
      <c r="K1312" t="s">
        <v>1812</v>
      </c>
      <c r="L1312">
        <v>1.767275185961187</v>
      </c>
      <c r="M1312">
        <v>24.53</v>
      </c>
      <c r="N1312">
        <v>11.78</v>
      </c>
    </row>
    <row r="1313" spans="1:14">
      <c r="A1313" s="1" t="s">
        <v>1325</v>
      </c>
      <c r="B1313">
        <f>HYPERLINK("https://www.suredividend.com/sure-analysis-research-database/","Rocky Brands, Inc")</f>
        <v>0</v>
      </c>
      <c r="C1313" t="s">
        <v>1816</v>
      </c>
      <c r="D1313">
        <v>21.07</v>
      </c>
      <c r="E1313">
        <v>0.028959142510733</v>
      </c>
      <c r="F1313">
        <v>0</v>
      </c>
      <c r="G1313">
        <v>0.05251935381426631</v>
      </c>
      <c r="H1313">
        <v>0.610169132701162</v>
      </c>
      <c r="I1313">
        <v>154.950044</v>
      </c>
      <c r="J1313">
        <v>0</v>
      </c>
      <c r="K1313" t="s">
        <v>1812</v>
      </c>
      <c r="L1313">
        <v>1.387697173133726</v>
      </c>
      <c r="M1313">
        <v>32.39</v>
      </c>
      <c r="N1313">
        <v>17.52</v>
      </c>
    </row>
    <row r="1314" spans="1:14">
      <c r="A1314" s="1" t="s">
        <v>1326</v>
      </c>
      <c r="B1314">
        <f>HYPERLINK("https://www.suredividend.com/sure-analysis-research-database/","R1 RCM Inc.")</f>
        <v>0</v>
      </c>
      <c r="C1314" t="s">
        <v>1817</v>
      </c>
      <c r="D1314">
        <v>17.53</v>
      </c>
      <c r="E1314">
        <v>0</v>
      </c>
      <c r="F1314" t="s">
        <v>1812</v>
      </c>
      <c r="G1314" t="s">
        <v>1812</v>
      </c>
      <c r="H1314">
        <v>0</v>
      </c>
      <c r="I1314">
        <v>4903.141</v>
      </c>
      <c r="J1314" t="s">
        <v>1812</v>
      </c>
      <c r="K1314">
        <v>-0</v>
      </c>
      <c r="L1314">
        <v>1.186553363004905</v>
      </c>
      <c r="M1314">
        <v>27.07</v>
      </c>
      <c r="N1314">
        <v>6.71</v>
      </c>
    </row>
    <row r="1315" spans="1:14">
      <c r="A1315" s="1" t="s">
        <v>1327</v>
      </c>
      <c r="B1315">
        <f>HYPERLINK("https://www.suredividend.com/sure-analysis-research-database/","Arcus Biosciences Inc")</f>
        <v>0</v>
      </c>
      <c r="C1315" t="s">
        <v>1817</v>
      </c>
      <c r="D1315">
        <v>19.03</v>
      </c>
      <c r="E1315">
        <v>0</v>
      </c>
      <c r="F1315" t="s">
        <v>1812</v>
      </c>
      <c r="G1315" t="s">
        <v>1812</v>
      </c>
      <c r="H1315">
        <v>0</v>
      </c>
      <c r="I1315">
        <v>1391.199187</v>
      </c>
      <c r="J1315" t="s">
        <v>1812</v>
      </c>
      <c r="K1315">
        <v>-0</v>
      </c>
      <c r="L1315">
        <v>1.499703527763759</v>
      </c>
      <c r="M1315">
        <v>36.13</v>
      </c>
      <c r="N1315">
        <v>15.7</v>
      </c>
    </row>
    <row r="1316" spans="1:14">
      <c r="A1316" s="1" t="s">
        <v>1328</v>
      </c>
      <c r="B1316">
        <f>HYPERLINK("https://www.suredividend.com/sure-analysis-research-database/","Redfin Corp")</f>
        <v>0</v>
      </c>
      <c r="C1316" t="s">
        <v>1814</v>
      </c>
      <c r="D1316">
        <v>14.35</v>
      </c>
      <c r="E1316">
        <v>0</v>
      </c>
      <c r="F1316" t="s">
        <v>1812</v>
      </c>
      <c r="G1316" t="s">
        <v>1812</v>
      </c>
      <c r="H1316">
        <v>0</v>
      </c>
      <c r="I1316">
        <v>1589.98</v>
      </c>
      <c r="J1316" t="s">
        <v>1812</v>
      </c>
      <c r="K1316">
        <v>-0</v>
      </c>
      <c r="L1316">
        <v>3.142431770709648</v>
      </c>
      <c r="M1316">
        <v>17.68</v>
      </c>
      <c r="N1316">
        <v>3.08</v>
      </c>
    </row>
    <row r="1317" spans="1:14">
      <c r="A1317" s="1" t="s">
        <v>1329</v>
      </c>
      <c r="B1317">
        <f>HYPERLINK("https://www.suredividend.com/sure-analysis-research-database/","Radian Group, Inc.")</f>
        <v>0</v>
      </c>
      <c r="C1317" t="s">
        <v>1815</v>
      </c>
      <c r="D1317">
        <v>27.48</v>
      </c>
      <c r="E1317">
        <v>0.030505290505385</v>
      </c>
      <c r="F1317">
        <v>0.125</v>
      </c>
      <c r="G1317">
        <v>1.459509485849364</v>
      </c>
      <c r="H1317">
        <v>0.838285383087999</v>
      </c>
      <c r="I1317">
        <v>4296.586376</v>
      </c>
      <c r="J1317">
        <v>5.971130101284119</v>
      </c>
      <c r="K1317">
        <v>0.1935993956323323</v>
      </c>
      <c r="L1317">
        <v>0.888464227705535</v>
      </c>
      <c r="M1317">
        <v>27.79</v>
      </c>
      <c r="N1317">
        <v>17.49</v>
      </c>
    </row>
    <row r="1318" spans="1:14">
      <c r="A1318" s="1" t="s">
        <v>1330</v>
      </c>
      <c r="B1318">
        <f>HYPERLINK("https://www.suredividend.com/sure-analysis-research-database/","Radnet Inc")</f>
        <v>0</v>
      </c>
      <c r="C1318" t="s">
        <v>1817</v>
      </c>
      <c r="D1318">
        <v>32.41</v>
      </c>
      <c r="E1318">
        <v>0</v>
      </c>
      <c r="F1318" t="s">
        <v>1812</v>
      </c>
      <c r="G1318" t="s">
        <v>1812</v>
      </c>
      <c r="H1318">
        <v>0</v>
      </c>
      <c r="I1318">
        <v>1890.990327</v>
      </c>
      <c r="J1318" t="s">
        <v>1812</v>
      </c>
      <c r="K1318">
        <v>-0</v>
      </c>
      <c r="L1318">
        <v>1.202995577120556</v>
      </c>
      <c r="M1318">
        <v>35.18</v>
      </c>
      <c r="N1318">
        <v>12.03</v>
      </c>
    </row>
    <row r="1319" spans="1:14">
      <c r="A1319" s="1" t="s">
        <v>1331</v>
      </c>
      <c r="B1319">
        <f>HYPERLINK("https://www.suredividend.com/sure-analysis-research-database/","Red Violet Inc")</f>
        <v>0</v>
      </c>
      <c r="C1319" t="s">
        <v>1818</v>
      </c>
      <c r="D1319">
        <v>20.25</v>
      </c>
      <c r="E1319">
        <v>0</v>
      </c>
      <c r="F1319" t="s">
        <v>1812</v>
      </c>
      <c r="G1319" t="s">
        <v>1812</v>
      </c>
      <c r="H1319">
        <v>0</v>
      </c>
      <c r="I1319">
        <v>281.823806</v>
      </c>
      <c r="J1319">
        <v>0</v>
      </c>
      <c r="K1319" t="s">
        <v>1812</v>
      </c>
      <c r="L1319">
        <v>0.9468098933241591</v>
      </c>
      <c r="M1319">
        <v>27.61</v>
      </c>
      <c r="N1319">
        <v>14.89</v>
      </c>
    </row>
    <row r="1320" spans="1:14">
      <c r="A1320" s="1" t="s">
        <v>1332</v>
      </c>
      <c r="B1320">
        <f>HYPERLINK("https://www.suredividend.com/sure-analysis-research-database/","Redwire Corporation")</f>
        <v>0</v>
      </c>
      <c r="C1320" t="s">
        <v>1812</v>
      </c>
      <c r="D1320">
        <v>3.42</v>
      </c>
      <c r="E1320">
        <v>0</v>
      </c>
      <c r="F1320" t="s">
        <v>1812</v>
      </c>
      <c r="G1320" t="s">
        <v>1812</v>
      </c>
      <c r="H1320">
        <v>0</v>
      </c>
      <c r="I1320">
        <v>220.402263</v>
      </c>
      <c r="J1320">
        <v>0</v>
      </c>
      <c r="K1320" t="s">
        <v>1812</v>
      </c>
      <c r="L1320">
        <v>1.688427822904063</v>
      </c>
      <c r="M1320">
        <v>4.58</v>
      </c>
      <c r="N1320">
        <v>1.67</v>
      </c>
    </row>
    <row r="1321" spans="1:14">
      <c r="A1321" s="1" t="s">
        <v>1333</v>
      </c>
      <c r="B1321">
        <f>HYPERLINK("https://www.suredividend.com/sure-analysis-research-database/","Therealreal Inc")</f>
        <v>0</v>
      </c>
      <c r="C1321" t="s">
        <v>1816</v>
      </c>
      <c r="D1321">
        <v>2.54</v>
      </c>
      <c r="E1321">
        <v>0</v>
      </c>
      <c r="F1321" t="s">
        <v>1812</v>
      </c>
      <c r="G1321" t="s">
        <v>1812</v>
      </c>
      <c r="H1321">
        <v>0</v>
      </c>
      <c r="I1321">
        <v>254.442684</v>
      </c>
      <c r="J1321" t="s">
        <v>1812</v>
      </c>
      <c r="K1321">
        <v>-0</v>
      </c>
      <c r="L1321">
        <v>3.083243855540627</v>
      </c>
      <c r="M1321">
        <v>3.71</v>
      </c>
      <c r="N1321">
        <v>1</v>
      </c>
    </row>
    <row r="1322" spans="1:14">
      <c r="A1322" s="1" t="s">
        <v>1334</v>
      </c>
      <c r="B1322">
        <f>HYPERLINK("https://www.suredividend.com/sure-analysis-research-database/","Chicago Atlantic Real Estate Finance Inc")</f>
        <v>0</v>
      </c>
      <c r="C1322" t="s">
        <v>1812</v>
      </c>
      <c r="D1322">
        <v>15.2</v>
      </c>
      <c r="E1322">
        <v>0.143787633244269</v>
      </c>
      <c r="F1322" t="s">
        <v>1812</v>
      </c>
      <c r="G1322" t="s">
        <v>1812</v>
      </c>
      <c r="H1322">
        <v>2.185572025312893</v>
      </c>
      <c r="I1322">
        <v>274.947982</v>
      </c>
      <c r="J1322">
        <v>0</v>
      </c>
      <c r="K1322" t="s">
        <v>1812</v>
      </c>
      <c r="L1322">
        <v>0.451582407609977</v>
      </c>
      <c r="M1322">
        <v>15.6</v>
      </c>
      <c r="N1322">
        <v>11.73</v>
      </c>
    </row>
    <row r="1323" spans="1:14">
      <c r="A1323" s="1" t="s">
        <v>1335</v>
      </c>
      <c r="B1323">
        <f>HYPERLINK("https://www.suredividend.com/sure-analysis-research-database/","Ring Energy Inc")</f>
        <v>0</v>
      </c>
      <c r="C1323" t="s">
        <v>1822</v>
      </c>
      <c r="D1323">
        <v>2.26</v>
      </c>
      <c r="E1323">
        <v>0</v>
      </c>
      <c r="F1323" t="s">
        <v>1812</v>
      </c>
      <c r="G1323" t="s">
        <v>1812</v>
      </c>
      <c r="H1323">
        <v>0</v>
      </c>
      <c r="I1323">
        <v>441.023585</v>
      </c>
      <c r="J1323">
        <v>0</v>
      </c>
      <c r="K1323" t="s">
        <v>1812</v>
      </c>
      <c r="L1323">
        <v>1.500693601641489</v>
      </c>
      <c r="M1323">
        <v>3.47</v>
      </c>
      <c r="N1323">
        <v>1.63</v>
      </c>
    </row>
    <row r="1324" spans="1:14">
      <c r="A1324" s="1" t="s">
        <v>1336</v>
      </c>
      <c r="B1324">
        <f>HYPERLINK("https://www.suredividend.com/sure-analysis-research-database/","Remitly Global Inc")</f>
        <v>0</v>
      </c>
      <c r="C1324" t="s">
        <v>1812</v>
      </c>
      <c r="D1324">
        <v>22.03</v>
      </c>
      <c r="E1324">
        <v>0</v>
      </c>
      <c r="F1324" t="s">
        <v>1812</v>
      </c>
      <c r="G1324" t="s">
        <v>1812</v>
      </c>
      <c r="H1324">
        <v>0</v>
      </c>
      <c r="I1324">
        <v>3920.205257</v>
      </c>
      <c r="J1324">
        <v>0</v>
      </c>
      <c r="K1324" t="s">
        <v>1812</v>
      </c>
      <c r="L1324">
        <v>1.335325183474496</v>
      </c>
      <c r="M1324">
        <v>24.51</v>
      </c>
      <c r="N1324">
        <v>8.94</v>
      </c>
    </row>
    <row r="1325" spans="1:14">
      <c r="A1325" s="1" t="s">
        <v>1337</v>
      </c>
      <c r="B1325">
        <f>HYPERLINK("https://www.suredividend.com/sure-analysis-research-database/","Rent the Runway Inc")</f>
        <v>0</v>
      </c>
      <c r="C1325" t="s">
        <v>1812</v>
      </c>
      <c r="D1325">
        <v>1.67</v>
      </c>
      <c r="E1325">
        <v>0</v>
      </c>
      <c r="F1325" t="s">
        <v>1812</v>
      </c>
      <c r="G1325" t="s">
        <v>1812</v>
      </c>
      <c r="H1325">
        <v>0</v>
      </c>
      <c r="I1325">
        <v>107.27579</v>
      </c>
      <c r="J1325">
        <v>0</v>
      </c>
      <c r="K1325" t="s">
        <v>1812</v>
      </c>
      <c r="L1325">
        <v>2.374151136225613</v>
      </c>
      <c r="M1325">
        <v>5.74</v>
      </c>
      <c r="N1325">
        <v>1.1</v>
      </c>
    </row>
    <row r="1326" spans="1:14">
      <c r="A1326" s="1" t="s">
        <v>1338</v>
      </c>
      <c r="B1326">
        <f>HYPERLINK("https://www.suredividend.com/sure-analysis-research-database/","Replimune Group Inc")</f>
        <v>0</v>
      </c>
      <c r="C1326" t="s">
        <v>1817</v>
      </c>
      <c r="D1326">
        <v>19.255</v>
      </c>
      <c r="E1326">
        <v>0</v>
      </c>
      <c r="F1326" t="s">
        <v>1812</v>
      </c>
      <c r="G1326" t="s">
        <v>1812</v>
      </c>
      <c r="H1326">
        <v>0</v>
      </c>
      <c r="I1326">
        <v>1135.974257</v>
      </c>
      <c r="J1326">
        <v>0</v>
      </c>
      <c r="K1326" t="s">
        <v>1812</v>
      </c>
      <c r="L1326">
        <v>1.025763452182145</v>
      </c>
      <c r="M1326">
        <v>29.52</v>
      </c>
      <c r="N1326">
        <v>15.07</v>
      </c>
    </row>
    <row r="1327" spans="1:14">
      <c r="A1327" s="1" t="s">
        <v>1339</v>
      </c>
      <c r="B1327">
        <f>HYPERLINK("https://www.suredividend.com/sure-analysis-research-database/","Riley Exploration Permian Inc.")</f>
        <v>0</v>
      </c>
      <c r="C1327" t="s">
        <v>1812</v>
      </c>
      <c r="D1327">
        <v>36.86</v>
      </c>
      <c r="E1327">
        <v>0.036024527727987</v>
      </c>
      <c r="F1327" t="s">
        <v>1812</v>
      </c>
      <c r="G1327" t="s">
        <v>1812</v>
      </c>
      <c r="H1327">
        <v>1.327864092053623</v>
      </c>
      <c r="I1327">
        <v>743.916076</v>
      </c>
      <c r="J1327">
        <v>6.303785886908847</v>
      </c>
      <c r="K1327">
        <v>0.2216801489238102</v>
      </c>
      <c r="L1327">
        <v>1.448580073596643</v>
      </c>
      <c r="M1327">
        <v>46.2</v>
      </c>
      <c r="N1327">
        <v>15.04</v>
      </c>
    </row>
    <row r="1328" spans="1:14">
      <c r="A1328" s="1" t="s">
        <v>1340</v>
      </c>
      <c r="B1328">
        <f>HYPERLINK("https://www.suredividend.com/sure-analysis-research-database/","RPC, Inc.")</f>
        <v>0</v>
      </c>
      <c r="C1328" t="s">
        <v>1822</v>
      </c>
      <c r="D1328">
        <v>8.34</v>
      </c>
      <c r="E1328">
        <v>0.01430842028502</v>
      </c>
      <c r="F1328" t="s">
        <v>1812</v>
      </c>
      <c r="G1328" t="s">
        <v>1812</v>
      </c>
      <c r="H1328">
        <v>0.119332225177072</v>
      </c>
      <c r="I1328">
        <v>1804.850843</v>
      </c>
      <c r="J1328">
        <v>6.230391090874571</v>
      </c>
      <c r="K1328">
        <v>0.0877442832184353</v>
      </c>
      <c r="L1328">
        <v>1.140997755304597</v>
      </c>
      <c r="M1328">
        <v>11.26</v>
      </c>
      <c r="N1328">
        <v>6.17</v>
      </c>
    </row>
    <row r="1329" spans="1:14">
      <c r="A1329" s="1" t="s">
        <v>1341</v>
      </c>
      <c r="B1329">
        <f>HYPERLINK("https://www.suredividend.com/sure-analysis-research-database/","Reata Pharmaceuticals Inc")</f>
        <v>0</v>
      </c>
      <c r="C1329" t="s">
        <v>1817</v>
      </c>
      <c r="D1329">
        <v>167.16</v>
      </c>
      <c r="E1329">
        <v>0</v>
      </c>
      <c r="F1329" t="s">
        <v>1812</v>
      </c>
      <c r="G1329" t="s">
        <v>1812</v>
      </c>
      <c r="H1329">
        <v>0</v>
      </c>
      <c r="I1329">
        <v>5522.318822</v>
      </c>
      <c r="J1329" t="s">
        <v>1812</v>
      </c>
      <c r="K1329">
        <v>-0</v>
      </c>
      <c r="L1329">
        <v>0.8172952550507431</v>
      </c>
      <c r="M1329">
        <v>167.59</v>
      </c>
      <c r="N1329">
        <v>18.47</v>
      </c>
    </row>
    <row r="1330" spans="1:14">
      <c r="A1330" s="1" t="s">
        <v>1342</v>
      </c>
      <c r="B1330">
        <f>HYPERLINK("https://www.suredividend.com/sure-analysis-research-database/","REV Group Inc")</f>
        <v>0</v>
      </c>
      <c r="C1330" t="s">
        <v>1813</v>
      </c>
      <c r="D1330">
        <v>13.67</v>
      </c>
      <c r="E1330">
        <v>0.014543442168578</v>
      </c>
      <c r="F1330" t="s">
        <v>1812</v>
      </c>
      <c r="G1330" t="s">
        <v>1812</v>
      </c>
      <c r="H1330">
        <v>0.198808854444463</v>
      </c>
      <c r="I1330">
        <v>813.300068</v>
      </c>
      <c r="J1330" t="s">
        <v>1812</v>
      </c>
      <c r="K1330" t="s">
        <v>1812</v>
      </c>
      <c r="L1330">
        <v>1.160650904562689</v>
      </c>
      <c r="M1330">
        <v>16.19</v>
      </c>
      <c r="N1330">
        <v>9.81</v>
      </c>
    </row>
    <row r="1331" spans="1:14">
      <c r="A1331" s="1" t="s">
        <v>1343</v>
      </c>
      <c r="B1331">
        <f>HYPERLINK("https://www.suredividend.com/sure-analysis-research-database/","REX American Resources Corp")</f>
        <v>0</v>
      </c>
      <c r="C1331" t="s">
        <v>1822</v>
      </c>
      <c r="D1331">
        <v>37.15</v>
      </c>
      <c r="E1331">
        <v>0</v>
      </c>
      <c r="F1331" t="s">
        <v>1812</v>
      </c>
      <c r="G1331" t="s">
        <v>1812</v>
      </c>
      <c r="H1331">
        <v>0</v>
      </c>
      <c r="I1331">
        <v>646.039206</v>
      </c>
      <c r="J1331">
        <v>23.27985318907427</v>
      </c>
      <c r="K1331">
        <v>0</v>
      </c>
      <c r="L1331">
        <v>1.042767531270058</v>
      </c>
      <c r="M1331">
        <v>37.45</v>
      </c>
      <c r="N1331">
        <v>26.05</v>
      </c>
    </row>
    <row r="1332" spans="1:14">
      <c r="A1332" s="1" t="s">
        <v>1344</v>
      </c>
      <c r="B1332">
        <f>HYPERLINK("https://www.suredividend.com/sure-analysis-research-database/","Resideo Technologies Inc")</f>
        <v>0</v>
      </c>
      <c r="C1332" t="s">
        <v>1813</v>
      </c>
      <c r="D1332">
        <v>17.95</v>
      </c>
      <c r="E1332">
        <v>0</v>
      </c>
      <c r="F1332" t="s">
        <v>1812</v>
      </c>
      <c r="G1332" t="s">
        <v>1812</v>
      </c>
      <c r="H1332">
        <v>0</v>
      </c>
      <c r="I1332">
        <v>2640.698993</v>
      </c>
      <c r="J1332">
        <v>10.43754542490119</v>
      </c>
      <c r="K1332">
        <v>0</v>
      </c>
      <c r="L1332">
        <v>1.545388081853941</v>
      </c>
      <c r="M1332">
        <v>23.94</v>
      </c>
      <c r="N1332">
        <v>14.95</v>
      </c>
    </row>
    <row r="1333" spans="1:14">
      <c r="A1333" s="1" t="s">
        <v>1345</v>
      </c>
      <c r="B1333">
        <f>HYPERLINK("https://www.suredividend.com/sure-analysis-research-database/","Regenxbio Inc")</f>
        <v>0</v>
      </c>
      <c r="C1333" t="s">
        <v>1817</v>
      </c>
      <c r="D1333">
        <v>17.48</v>
      </c>
      <c r="E1333">
        <v>0</v>
      </c>
      <c r="F1333" t="s">
        <v>1812</v>
      </c>
      <c r="G1333" t="s">
        <v>1812</v>
      </c>
      <c r="H1333">
        <v>0</v>
      </c>
      <c r="I1333">
        <v>759.788931</v>
      </c>
      <c r="J1333" t="s">
        <v>1812</v>
      </c>
      <c r="K1333">
        <v>-0</v>
      </c>
      <c r="L1333">
        <v>1.2109116313524</v>
      </c>
      <c r="M1333">
        <v>35.73</v>
      </c>
      <c r="N1333">
        <v>17.02</v>
      </c>
    </row>
    <row r="1334" spans="1:14">
      <c r="A1334" s="1" t="s">
        <v>1346</v>
      </c>
      <c r="B1334">
        <f>HYPERLINK("https://www.suredividend.com/sure-analysis-research-database/","Resources Connection Inc")</f>
        <v>0</v>
      </c>
      <c r="C1334" t="s">
        <v>1813</v>
      </c>
      <c r="D1334">
        <v>16.14</v>
      </c>
      <c r="E1334">
        <v>0.034018876807665</v>
      </c>
      <c r="F1334">
        <v>0</v>
      </c>
      <c r="G1334">
        <v>0.01493197894539389</v>
      </c>
      <c r="H1334">
        <v>0.549064671675719</v>
      </c>
      <c r="I1334">
        <v>543.481106</v>
      </c>
      <c r="J1334">
        <v>9.997996768520393</v>
      </c>
      <c r="K1334">
        <v>0.3453236928778107</v>
      </c>
      <c r="L1334">
        <v>0.851745245927606</v>
      </c>
      <c r="M1334">
        <v>21.02</v>
      </c>
      <c r="N1334">
        <v>13.77</v>
      </c>
    </row>
    <row r="1335" spans="1:14">
      <c r="A1335" s="1" t="s">
        <v>1347</v>
      </c>
      <c r="B1335">
        <f>HYPERLINK("https://www.suredividend.com/sure-analysis-research-database/","Sturm, Ruger &amp; Co., Inc.")</f>
        <v>0</v>
      </c>
      <c r="C1335" t="s">
        <v>1813</v>
      </c>
      <c r="D1335">
        <v>55.2</v>
      </c>
      <c r="E1335">
        <v>0.02768117690257</v>
      </c>
      <c r="F1335">
        <v>-0.3191489361702128</v>
      </c>
      <c r="G1335">
        <v>0.02706608708935176</v>
      </c>
      <c r="H1335">
        <v>1.528000965021881</v>
      </c>
      <c r="I1335">
        <v>978.292046</v>
      </c>
      <c r="J1335">
        <v>13.50299580952381</v>
      </c>
      <c r="K1335">
        <v>0.3754302125360887</v>
      </c>
      <c r="L1335">
        <v>0.6303660239100211</v>
      </c>
      <c r="M1335">
        <v>60.52</v>
      </c>
      <c r="N1335">
        <v>44.31</v>
      </c>
    </row>
    <row r="1336" spans="1:14">
      <c r="A1336" s="1" t="s">
        <v>1348</v>
      </c>
      <c r="B1336">
        <f>HYPERLINK("https://www.suredividend.com/sure-analysis-research-database/","Rigetti Computing Inc")</f>
        <v>0</v>
      </c>
      <c r="C1336" t="s">
        <v>1812</v>
      </c>
      <c r="D1336">
        <v>2.73</v>
      </c>
      <c r="E1336">
        <v>0</v>
      </c>
      <c r="F1336" t="s">
        <v>1812</v>
      </c>
      <c r="G1336" t="s">
        <v>1812</v>
      </c>
      <c r="H1336">
        <v>0</v>
      </c>
      <c r="I1336">
        <v>354.4086</v>
      </c>
      <c r="J1336">
        <v>0</v>
      </c>
      <c r="K1336" t="s">
        <v>1812</v>
      </c>
      <c r="L1336">
        <v>2.288769984942988</v>
      </c>
      <c r="M1336">
        <v>5.9</v>
      </c>
      <c r="N1336">
        <v>0.3601</v>
      </c>
    </row>
    <row r="1337" spans="1:14">
      <c r="A1337" s="1" t="s">
        <v>1349</v>
      </c>
      <c r="B1337">
        <f>HYPERLINK("https://www.suredividend.com/sure-analysis-research-database/","Ryman Hospitality Properties Inc")</f>
        <v>0</v>
      </c>
      <c r="C1337" t="s">
        <v>1814</v>
      </c>
      <c r="D1337">
        <v>90.13</v>
      </c>
      <c r="E1337">
        <v>0.023128242194064</v>
      </c>
      <c r="F1337" t="s">
        <v>1812</v>
      </c>
      <c r="G1337" t="s">
        <v>1812</v>
      </c>
      <c r="H1337">
        <v>2.084548468951058</v>
      </c>
      <c r="I1337">
        <v>5379.987955</v>
      </c>
      <c r="J1337">
        <v>25.03088368983036</v>
      </c>
      <c r="K1337">
        <v>0.5471255824018525</v>
      </c>
      <c r="L1337">
        <v>1.082169098388111</v>
      </c>
      <c r="M1337">
        <v>98.52</v>
      </c>
      <c r="N1337">
        <v>70</v>
      </c>
    </row>
    <row r="1338" spans="1:14">
      <c r="A1338" s="1" t="s">
        <v>1350</v>
      </c>
      <c r="B1338">
        <f>HYPERLINK("https://www.suredividend.com/sure-analysis-research-database/","RCI Hospitality Holdings Inc")</f>
        <v>0</v>
      </c>
      <c r="C1338" t="s">
        <v>1816</v>
      </c>
      <c r="D1338">
        <v>69.67</v>
      </c>
      <c r="E1338">
        <v>0.003152681003568</v>
      </c>
      <c r="F1338">
        <v>0.2</v>
      </c>
      <c r="G1338">
        <v>0.1486983549970351</v>
      </c>
      <c r="H1338">
        <v>0.219647285518642</v>
      </c>
      <c r="I1338">
        <v>657.003776</v>
      </c>
      <c r="J1338">
        <v>15.46473438824028</v>
      </c>
      <c r="K1338">
        <v>0.04795792260232359</v>
      </c>
      <c r="L1338">
        <v>1.048697606292286</v>
      </c>
      <c r="M1338">
        <v>97.23</v>
      </c>
      <c r="N1338">
        <v>58.39</v>
      </c>
    </row>
    <row r="1339" spans="1:14">
      <c r="A1339" s="1" t="s">
        <v>1351</v>
      </c>
      <c r="B1339">
        <f>HYPERLINK("https://www.suredividend.com/sure-analysis-research-database/","Lordstown Motors Corp.")</f>
        <v>0</v>
      </c>
      <c r="C1339" t="s">
        <v>1812</v>
      </c>
      <c r="D1339">
        <v>2.2</v>
      </c>
      <c r="E1339">
        <v>0</v>
      </c>
      <c r="F1339" t="s">
        <v>1812</v>
      </c>
      <c r="G1339" t="s">
        <v>1812</v>
      </c>
      <c r="H1339">
        <v>0</v>
      </c>
      <c r="I1339">
        <v>0</v>
      </c>
      <c r="J1339">
        <v>0</v>
      </c>
      <c r="K1339" t="s">
        <v>1812</v>
      </c>
    </row>
    <row r="1340" spans="1:14">
      <c r="A1340" s="1" t="s">
        <v>1352</v>
      </c>
      <c r="B1340">
        <f>HYPERLINK("https://www.suredividend.com/sure-analysis-research-database/","Rigel Pharmaceuticals")</f>
        <v>0</v>
      </c>
      <c r="C1340" t="s">
        <v>1817</v>
      </c>
      <c r="D1340">
        <v>1.26</v>
      </c>
      <c r="E1340">
        <v>0</v>
      </c>
      <c r="F1340" t="s">
        <v>1812</v>
      </c>
      <c r="G1340" t="s">
        <v>1812</v>
      </c>
      <c r="H1340">
        <v>0</v>
      </c>
      <c r="I1340">
        <v>219.699</v>
      </c>
      <c r="J1340" t="s">
        <v>1812</v>
      </c>
      <c r="K1340">
        <v>-0</v>
      </c>
      <c r="L1340">
        <v>1.171128654206764</v>
      </c>
      <c r="M1340">
        <v>2.04</v>
      </c>
      <c r="N1340">
        <v>0.6679</v>
      </c>
    </row>
    <row r="1341" spans="1:14">
      <c r="A1341" s="1" t="s">
        <v>1353</v>
      </c>
      <c r="B1341">
        <f>HYPERLINK("https://www.suredividend.com/sure-analysis-research-database/","B. Riley Financial Inc")</f>
        <v>0</v>
      </c>
      <c r="C1341" t="s">
        <v>1815</v>
      </c>
      <c r="D1341">
        <v>52.68</v>
      </c>
      <c r="E1341">
        <v>0.071397408669053</v>
      </c>
      <c r="F1341">
        <v>0</v>
      </c>
      <c r="G1341">
        <v>0.3195079107728942</v>
      </c>
      <c r="H1341">
        <v>3.761215488685717</v>
      </c>
      <c r="I1341">
        <v>1592.334391</v>
      </c>
      <c r="J1341" t="s">
        <v>1812</v>
      </c>
      <c r="K1341" t="s">
        <v>1812</v>
      </c>
      <c r="L1341">
        <v>1.924057559948604</v>
      </c>
      <c r="M1341">
        <v>60.72</v>
      </c>
      <c r="N1341">
        <v>23.52</v>
      </c>
    </row>
    <row r="1342" spans="1:14">
      <c r="A1342" s="1" t="s">
        <v>1354</v>
      </c>
      <c r="B1342">
        <f>HYPERLINK("https://www.suredividend.com/sure-analysis-research-database/","Riot Platforms Inc")</f>
        <v>0</v>
      </c>
      <c r="C1342" t="s">
        <v>1818</v>
      </c>
      <c r="D1342">
        <v>17.81</v>
      </c>
      <c r="E1342">
        <v>0</v>
      </c>
      <c r="F1342" t="s">
        <v>1812</v>
      </c>
      <c r="G1342" t="s">
        <v>1812</v>
      </c>
      <c r="H1342">
        <v>0</v>
      </c>
      <c r="I1342">
        <v>3173.11076</v>
      </c>
      <c r="J1342">
        <v>0</v>
      </c>
      <c r="K1342" t="s">
        <v>1812</v>
      </c>
      <c r="L1342">
        <v>2.535827619178957</v>
      </c>
      <c r="M1342">
        <v>20.65</v>
      </c>
      <c r="N1342">
        <v>3.25</v>
      </c>
    </row>
    <row r="1343" spans="1:14">
      <c r="A1343" s="1" t="s">
        <v>1355</v>
      </c>
      <c r="B1343">
        <f>HYPERLINK("https://www.suredividend.com/sure-analysis-research-database/","Rocket Lab USA Inc")</f>
        <v>0</v>
      </c>
      <c r="C1343" t="s">
        <v>1812</v>
      </c>
      <c r="D1343">
        <v>7.03</v>
      </c>
      <c r="E1343">
        <v>0</v>
      </c>
      <c r="F1343" t="s">
        <v>1812</v>
      </c>
      <c r="G1343" t="s">
        <v>1812</v>
      </c>
      <c r="H1343">
        <v>0</v>
      </c>
      <c r="I1343">
        <v>3364.99005</v>
      </c>
      <c r="J1343">
        <v>0</v>
      </c>
      <c r="K1343" t="s">
        <v>1812</v>
      </c>
      <c r="L1343">
        <v>1.987166679164115</v>
      </c>
      <c r="M1343">
        <v>8.050000000000001</v>
      </c>
      <c r="N1343">
        <v>3.48</v>
      </c>
    </row>
    <row r="1344" spans="1:14">
      <c r="A1344" s="1" t="s">
        <v>1356</v>
      </c>
      <c r="B1344">
        <f>HYPERLINK("https://www.suredividend.com/sure-analysis-research-database/","Relay Therapeutics Inc")</f>
        <v>0</v>
      </c>
      <c r="C1344" t="s">
        <v>1812</v>
      </c>
      <c r="D1344">
        <v>11.05</v>
      </c>
      <c r="E1344">
        <v>0</v>
      </c>
      <c r="F1344" t="s">
        <v>1812</v>
      </c>
      <c r="G1344" t="s">
        <v>1812</v>
      </c>
      <c r="H1344">
        <v>0</v>
      </c>
      <c r="I1344">
        <v>1343.82565</v>
      </c>
      <c r="J1344">
        <v>0</v>
      </c>
      <c r="K1344" t="s">
        <v>1812</v>
      </c>
      <c r="L1344">
        <v>1.52955505856526</v>
      </c>
      <c r="M1344">
        <v>33.06</v>
      </c>
      <c r="N1344">
        <v>9.67</v>
      </c>
    </row>
    <row r="1345" spans="1:14">
      <c r="A1345" s="1" t="s">
        <v>1357</v>
      </c>
      <c r="B1345">
        <f>HYPERLINK("https://www.suredividend.com/sure-analysis-research-database/","Radiant Logistics, Inc.")</f>
        <v>0</v>
      </c>
      <c r="C1345" t="s">
        <v>1813</v>
      </c>
      <c r="D1345">
        <v>7.37</v>
      </c>
      <c r="E1345">
        <v>0</v>
      </c>
      <c r="F1345" t="s">
        <v>1812</v>
      </c>
      <c r="G1345" t="s">
        <v>1812</v>
      </c>
      <c r="H1345">
        <v>0</v>
      </c>
      <c r="I1345">
        <v>350.663362</v>
      </c>
      <c r="J1345">
        <v>0</v>
      </c>
      <c r="K1345" t="s">
        <v>1812</v>
      </c>
      <c r="L1345">
        <v>0.9655872921183011</v>
      </c>
      <c r="M1345">
        <v>8.09</v>
      </c>
      <c r="N1345">
        <v>4.93</v>
      </c>
    </row>
    <row r="1346" spans="1:14">
      <c r="A1346" s="1" t="s">
        <v>1358</v>
      </c>
      <c r="B1346">
        <f>HYPERLINK("https://www.suredividend.com/sure-analysis-RLI/","RLI Corp.")</f>
        <v>0</v>
      </c>
      <c r="C1346" t="s">
        <v>1815</v>
      </c>
      <c r="D1346">
        <v>136.29</v>
      </c>
      <c r="E1346">
        <v>0.00792427911071979</v>
      </c>
      <c r="F1346">
        <v>0.03846153846153855</v>
      </c>
      <c r="G1346">
        <v>0.03258826616987576</v>
      </c>
      <c r="H1346">
        <v>1.048461698334682</v>
      </c>
      <c r="I1346">
        <v>6214.305553</v>
      </c>
      <c r="J1346">
        <v>8.701193733936346</v>
      </c>
      <c r="K1346">
        <v>0.0675990779068138</v>
      </c>
      <c r="L1346">
        <v>0.5628342489989601</v>
      </c>
      <c r="M1346">
        <v>149.65</v>
      </c>
      <c r="N1346">
        <v>100.56</v>
      </c>
    </row>
    <row r="1347" spans="1:14">
      <c r="A1347" s="1" t="s">
        <v>1359</v>
      </c>
      <c r="B1347">
        <f>HYPERLINK("https://www.suredividend.com/sure-analysis-research-database/","RLJ Lodging Trust")</f>
        <v>0</v>
      </c>
      <c r="C1347" t="s">
        <v>1814</v>
      </c>
      <c r="D1347">
        <v>9.710000000000001</v>
      </c>
      <c r="E1347">
        <v>0.026520829637582</v>
      </c>
      <c r="F1347">
        <v>7</v>
      </c>
      <c r="G1347">
        <v>-0.2467915051803649</v>
      </c>
      <c r="H1347">
        <v>0.257517255780924</v>
      </c>
      <c r="I1347">
        <v>1545.349345</v>
      </c>
      <c r="J1347">
        <v>36.58324286326405</v>
      </c>
      <c r="K1347">
        <v>0.9810181172606628</v>
      </c>
      <c r="L1347">
        <v>1.153345954343227</v>
      </c>
      <c r="M1347">
        <v>13.14</v>
      </c>
      <c r="N1347">
        <v>9.119999999999999</v>
      </c>
    </row>
    <row r="1348" spans="1:14">
      <c r="A1348" s="1" t="s">
        <v>1360</v>
      </c>
      <c r="B1348">
        <f>HYPERLINK("https://www.suredividend.com/sure-analysis-research-database/","Relmada Therapeutics Inc")</f>
        <v>0</v>
      </c>
      <c r="C1348" t="s">
        <v>1817</v>
      </c>
      <c r="D1348">
        <v>2.61</v>
      </c>
      <c r="E1348">
        <v>0</v>
      </c>
      <c r="F1348" t="s">
        <v>1812</v>
      </c>
      <c r="G1348" t="s">
        <v>1812</v>
      </c>
      <c r="H1348">
        <v>0</v>
      </c>
      <c r="I1348">
        <v>78.55892</v>
      </c>
      <c r="J1348">
        <v>0</v>
      </c>
      <c r="K1348" t="s">
        <v>1812</v>
      </c>
      <c r="L1348">
        <v>0.179931796763844</v>
      </c>
      <c r="M1348">
        <v>38.68</v>
      </c>
      <c r="N1348">
        <v>1.81</v>
      </c>
    </row>
    <row r="1349" spans="1:14">
      <c r="A1349" s="1" t="s">
        <v>1361</v>
      </c>
      <c r="B1349">
        <f>HYPERLINK("https://www.suredividend.com/sure-analysis-research-database/","Rallybio Corp")</f>
        <v>0</v>
      </c>
      <c r="C1349" t="s">
        <v>1812</v>
      </c>
      <c r="D1349">
        <v>5.8</v>
      </c>
      <c r="E1349">
        <v>0</v>
      </c>
      <c r="F1349" t="s">
        <v>1812</v>
      </c>
      <c r="G1349" t="s">
        <v>1812</v>
      </c>
      <c r="H1349">
        <v>0</v>
      </c>
      <c r="I1349">
        <v>218.935111</v>
      </c>
      <c r="J1349">
        <v>0</v>
      </c>
      <c r="K1349" t="s">
        <v>1812</v>
      </c>
      <c r="L1349">
        <v>0.787841178464554</v>
      </c>
      <c r="M1349">
        <v>15.89</v>
      </c>
      <c r="N1349">
        <v>4.15</v>
      </c>
    </row>
    <row r="1350" spans="1:14">
      <c r="A1350" s="1" t="s">
        <v>1362</v>
      </c>
      <c r="B1350">
        <f>HYPERLINK("https://www.suredividend.com/sure-analysis-research-database/","Regional Management Corp")</f>
        <v>0</v>
      </c>
      <c r="C1350" t="s">
        <v>1815</v>
      </c>
      <c r="D1350">
        <v>32.74</v>
      </c>
      <c r="E1350">
        <v>0.03624795016847</v>
      </c>
      <c r="F1350" t="s">
        <v>1812</v>
      </c>
      <c r="G1350" t="s">
        <v>1812</v>
      </c>
      <c r="H1350">
        <v>1.186757888515734</v>
      </c>
      <c r="I1350">
        <v>315.727273</v>
      </c>
      <c r="J1350">
        <v>0</v>
      </c>
      <c r="K1350" t="s">
        <v>1812</v>
      </c>
      <c r="L1350">
        <v>1.233160281892689</v>
      </c>
      <c r="M1350">
        <v>39.96</v>
      </c>
      <c r="N1350">
        <v>24.1</v>
      </c>
    </row>
    <row r="1351" spans="1:14">
      <c r="A1351" s="1" t="s">
        <v>1363</v>
      </c>
      <c r="B1351">
        <f>HYPERLINK("https://www.suredividend.com/sure-analysis-research-database/","RE/MAX Holdings Inc")</f>
        <v>0</v>
      </c>
      <c r="C1351" t="s">
        <v>1814</v>
      </c>
      <c r="D1351">
        <v>19.23</v>
      </c>
      <c r="E1351">
        <v>0.04696030571390301</v>
      </c>
      <c r="F1351">
        <v>0</v>
      </c>
      <c r="G1351">
        <v>0.02834672210021361</v>
      </c>
      <c r="H1351">
        <v>0.9030466788783701</v>
      </c>
      <c r="I1351">
        <v>348.58346</v>
      </c>
      <c r="J1351">
        <v>87.40808925526581</v>
      </c>
      <c r="K1351">
        <v>4.194364509421133</v>
      </c>
      <c r="L1351">
        <v>1.163480021831</v>
      </c>
      <c r="M1351">
        <v>26.99</v>
      </c>
      <c r="N1351">
        <v>16.41</v>
      </c>
    </row>
    <row r="1352" spans="1:14">
      <c r="A1352" s="1" t="s">
        <v>1364</v>
      </c>
      <c r="B1352">
        <f>HYPERLINK("https://www.suredividend.com/sure-analysis-research-database/","RumbleON Inc")</f>
        <v>0</v>
      </c>
      <c r="C1352" t="s">
        <v>1816</v>
      </c>
      <c r="D1352">
        <v>10.94</v>
      </c>
      <c r="E1352">
        <v>0</v>
      </c>
      <c r="F1352" t="s">
        <v>1812</v>
      </c>
      <c r="G1352" t="s">
        <v>1812</v>
      </c>
      <c r="H1352">
        <v>0</v>
      </c>
      <c r="I1352">
        <v>180.887474</v>
      </c>
      <c r="J1352">
        <v>0</v>
      </c>
      <c r="K1352" t="s">
        <v>1812</v>
      </c>
      <c r="L1352">
        <v>1.667185193423229</v>
      </c>
      <c r="M1352">
        <v>27.99</v>
      </c>
      <c r="N1352">
        <v>5.45</v>
      </c>
    </row>
    <row r="1353" spans="1:14">
      <c r="A1353" s="1" t="s">
        <v>1365</v>
      </c>
      <c r="B1353">
        <f>HYPERLINK("https://www.suredividend.com/sure-analysis-research-database/","Rambus Inc.")</f>
        <v>0</v>
      </c>
      <c r="C1353" t="s">
        <v>1818</v>
      </c>
      <c r="D1353">
        <v>53.62</v>
      </c>
      <c r="E1353">
        <v>0</v>
      </c>
      <c r="F1353" t="s">
        <v>1812</v>
      </c>
      <c r="G1353" t="s">
        <v>1812</v>
      </c>
      <c r="H1353">
        <v>0</v>
      </c>
      <c r="I1353">
        <v>5833.856</v>
      </c>
      <c r="J1353">
        <v>105.7068618746489</v>
      </c>
      <c r="K1353">
        <v>0</v>
      </c>
      <c r="L1353">
        <v>1.089016598185234</v>
      </c>
      <c r="M1353">
        <v>68.54000000000001</v>
      </c>
      <c r="N1353">
        <v>23.84</v>
      </c>
    </row>
    <row r="1354" spans="1:14">
      <c r="A1354" s="1" t="s">
        <v>1366</v>
      </c>
      <c r="B1354">
        <f>HYPERLINK("https://www.suredividend.com/sure-analysis-research-database/","Rimini Street Inc.")</f>
        <v>0</v>
      </c>
      <c r="C1354" t="s">
        <v>1818</v>
      </c>
      <c r="D1354">
        <v>2.48</v>
      </c>
      <c r="E1354">
        <v>0</v>
      </c>
      <c r="F1354" t="s">
        <v>1812</v>
      </c>
      <c r="G1354" t="s">
        <v>1812</v>
      </c>
      <c r="H1354">
        <v>0</v>
      </c>
      <c r="I1354">
        <v>220.93576</v>
      </c>
      <c r="J1354">
        <v>0</v>
      </c>
      <c r="K1354" t="s">
        <v>1812</v>
      </c>
      <c r="L1354">
        <v>1.09225930481394</v>
      </c>
      <c r="M1354">
        <v>6.24</v>
      </c>
      <c r="N1354">
        <v>2.17</v>
      </c>
    </row>
    <row r="1355" spans="1:14">
      <c r="A1355" s="1" t="s">
        <v>1367</v>
      </c>
      <c r="B1355">
        <f>HYPERLINK("https://www.suredividend.com/sure-analysis-research-database/","RMR Group Inc (The)")</f>
        <v>0</v>
      </c>
      <c r="C1355" t="s">
        <v>1814</v>
      </c>
      <c r="D1355">
        <v>23.11</v>
      </c>
      <c r="E1355">
        <v>0.06627824446736501</v>
      </c>
      <c r="F1355">
        <v>0</v>
      </c>
      <c r="G1355">
        <v>0.02706608708935176</v>
      </c>
      <c r="H1355">
        <v>1.53169022964082</v>
      </c>
      <c r="I1355">
        <v>360.967662</v>
      </c>
      <c r="J1355">
        <v>0</v>
      </c>
      <c r="K1355" t="s">
        <v>1812</v>
      </c>
      <c r="L1355">
        <v>0.777620871005254</v>
      </c>
      <c r="M1355">
        <v>29.56</v>
      </c>
      <c r="N1355">
        <v>20.12</v>
      </c>
    </row>
    <row r="1356" spans="1:14">
      <c r="A1356" s="1" t="s">
        <v>1368</v>
      </c>
      <c r="B1356">
        <f>HYPERLINK("https://www.suredividend.com/sure-analysis-research-database/","Avidity Biosciences Inc")</f>
        <v>0</v>
      </c>
      <c r="C1356" t="s">
        <v>1812</v>
      </c>
      <c r="D1356">
        <v>9.359999999999999</v>
      </c>
      <c r="E1356">
        <v>0</v>
      </c>
      <c r="F1356" t="s">
        <v>1812</v>
      </c>
      <c r="G1356" t="s">
        <v>1812</v>
      </c>
      <c r="H1356">
        <v>0</v>
      </c>
      <c r="I1356">
        <v>662.867431</v>
      </c>
      <c r="J1356">
        <v>0</v>
      </c>
      <c r="K1356" t="s">
        <v>1812</v>
      </c>
      <c r="L1356">
        <v>0.7620117276792161</v>
      </c>
      <c r="M1356">
        <v>25.74</v>
      </c>
      <c r="N1356">
        <v>8.859999999999999</v>
      </c>
    </row>
    <row r="1357" spans="1:14">
      <c r="A1357" s="1" t="s">
        <v>1369</v>
      </c>
      <c r="B1357">
        <f>HYPERLINK("https://www.suredividend.com/sure-analysis-research-database/","Renasant Corp.")</f>
        <v>0</v>
      </c>
      <c r="C1357" t="s">
        <v>1815</v>
      </c>
      <c r="D1357">
        <v>30.47</v>
      </c>
      <c r="E1357">
        <v>0.028414161045499</v>
      </c>
      <c r="F1357">
        <v>0</v>
      </c>
      <c r="G1357">
        <v>0.01924487649145656</v>
      </c>
      <c r="H1357">
        <v>0.8657794870563801</v>
      </c>
      <c r="I1357">
        <v>1709.150693</v>
      </c>
      <c r="J1357">
        <v>9.569766311513504</v>
      </c>
      <c r="K1357">
        <v>0.2731165574310347</v>
      </c>
      <c r="L1357">
        <v>0.9072463340140491</v>
      </c>
      <c r="M1357">
        <v>40.61</v>
      </c>
      <c r="N1357">
        <v>23.12</v>
      </c>
    </row>
    <row r="1358" spans="1:14">
      <c r="A1358" s="1" t="s">
        <v>1370</v>
      </c>
      <c r="B1358">
        <f>HYPERLINK("https://www.suredividend.com/sure-analysis-research-database/","Construction Partners Inc")</f>
        <v>0</v>
      </c>
      <c r="C1358" t="s">
        <v>1813</v>
      </c>
      <c r="D1358">
        <v>34.02</v>
      </c>
      <c r="E1358">
        <v>0</v>
      </c>
      <c r="F1358" t="s">
        <v>1812</v>
      </c>
      <c r="G1358" t="s">
        <v>1812</v>
      </c>
      <c r="H1358">
        <v>0</v>
      </c>
      <c r="I1358">
        <v>1407.294828</v>
      </c>
      <c r="J1358">
        <v>0</v>
      </c>
      <c r="K1358" t="s">
        <v>1812</v>
      </c>
      <c r="L1358">
        <v>1.027388019418472</v>
      </c>
      <c r="M1358">
        <v>34.44</v>
      </c>
      <c r="N1358">
        <v>24.11</v>
      </c>
    </row>
    <row r="1359" spans="1:14">
      <c r="A1359" s="1" t="s">
        <v>1371</v>
      </c>
      <c r="B1359">
        <f>HYPERLINK("https://www.suredividend.com/sure-analysis-research-database/","Ranger Oil Corp")</f>
        <v>0</v>
      </c>
      <c r="C1359" t="s">
        <v>1812</v>
      </c>
      <c r="D1359">
        <v>37.47</v>
      </c>
      <c r="E1359">
        <v>0</v>
      </c>
      <c r="F1359" t="s">
        <v>1812</v>
      </c>
      <c r="G1359" t="s">
        <v>1812</v>
      </c>
      <c r="H1359">
        <v>0.300000011920928</v>
      </c>
      <c r="I1359">
        <v>0</v>
      </c>
      <c r="J1359">
        <v>0</v>
      </c>
      <c r="K1359">
        <v>0.02194586773379137</v>
      </c>
    </row>
    <row r="1360" spans="1:14">
      <c r="A1360" s="1" t="s">
        <v>1372</v>
      </c>
      <c r="B1360">
        <f>HYPERLINK("https://www.suredividend.com/sure-analysis-research-database/","Gibraltar Industries Inc.")</f>
        <v>0</v>
      </c>
      <c r="C1360" t="s">
        <v>1813</v>
      </c>
      <c r="D1360">
        <v>71.77</v>
      </c>
      <c r="E1360">
        <v>0</v>
      </c>
      <c r="F1360" t="s">
        <v>1812</v>
      </c>
      <c r="G1360" t="s">
        <v>1812</v>
      </c>
      <c r="H1360">
        <v>0</v>
      </c>
      <c r="I1360">
        <v>2183.505863</v>
      </c>
      <c r="J1360">
        <v>24.7987582242842</v>
      </c>
      <c r="K1360">
        <v>0</v>
      </c>
      <c r="L1360">
        <v>1.151672171041788</v>
      </c>
      <c r="M1360">
        <v>74.84999999999999</v>
      </c>
      <c r="N1360">
        <v>36.58</v>
      </c>
    </row>
    <row r="1361" spans="1:14">
      <c r="A1361" s="1" t="s">
        <v>1373</v>
      </c>
      <c r="B1361">
        <f>HYPERLINK("https://www.suredividend.com/sure-analysis-research-database/","Rogers Corp.")</f>
        <v>0</v>
      </c>
      <c r="C1361" t="s">
        <v>1818</v>
      </c>
      <c r="D1361">
        <v>156.03</v>
      </c>
      <c r="E1361">
        <v>0</v>
      </c>
      <c r="F1361" t="s">
        <v>1812</v>
      </c>
      <c r="G1361" t="s">
        <v>1812</v>
      </c>
      <c r="H1361">
        <v>0</v>
      </c>
      <c r="I1361">
        <v>2903.502511</v>
      </c>
      <c r="J1361">
        <v>30.08062772481455</v>
      </c>
      <c r="K1361">
        <v>0</v>
      </c>
      <c r="L1361">
        <v>0.9073004589028471</v>
      </c>
      <c r="M1361">
        <v>270.65</v>
      </c>
      <c r="N1361">
        <v>98.45</v>
      </c>
    </row>
    <row r="1362" spans="1:14">
      <c r="A1362" s="1" t="s">
        <v>1374</v>
      </c>
      <c r="B1362">
        <f>HYPERLINK("https://www.suredividend.com/sure-analysis-research-database/","Retail Opportunity Investments Corp")</f>
        <v>0</v>
      </c>
      <c r="C1362" t="s">
        <v>1814</v>
      </c>
      <c r="D1362">
        <v>14.98</v>
      </c>
      <c r="E1362">
        <v>0.039071831433324</v>
      </c>
      <c r="F1362" t="s">
        <v>1812</v>
      </c>
      <c r="G1362" t="s">
        <v>1812</v>
      </c>
      <c r="H1362">
        <v>0.5852960348711981</v>
      </c>
      <c r="I1362">
        <v>1887.536849</v>
      </c>
      <c r="J1362">
        <v>40.71652895077441</v>
      </c>
      <c r="K1362">
        <v>1.676585605474644</v>
      </c>
      <c r="L1362">
        <v>0.954874589933671</v>
      </c>
      <c r="M1362">
        <v>17.81</v>
      </c>
      <c r="N1362">
        <v>11.7</v>
      </c>
    </row>
    <row r="1363" spans="1:14">
      <c r="A1363" s="1" t="s">
        <v>1375</v>
      </c>
      <c r="B1363">
        <f>HYPERLINK("https://www.suredividend.com/sure-analysis-research-database/","Root Inc")</f>
        <v>0</v>
      </c>
      <c r="C1363" t="s">
        <v>1812</v>
      </c>
      <c r="D1363">
        <v>10.98</v>
      </c>
      <c r="E1363">
        <v>0</v>
      </c>
      <c r="F1363" t="s">
        <v>1812</v>
      </c>
      <c r="G1363" t="s">
        <v>1812</v>
      </c>
      <c r="H1363">
        <v>0</v>
      </c>
      <c r="I1363">
        <v>102.114</v>
      </c>
      <c r="J1363">
        <v>0</v>
      </c>
      <c r="K1363" t="s">
        <v>1812</v>
      </c>
      <c r="L1363">
        <v>2.124864270409964</v>
      </c>
      <c r="M1363">
        <v>26.1</v>
      </c>
      <c r="N1363">
        <v>3.31</v>
      </c>
    </row>
    <row r="1364" spans="1:14">
      <c r="A1364" s="1" t="s">
        <v>1376</v>
      </c>
      <c r="B1364">
        <f>HYPERLINK("https://www.suredividend.com/sure-analysis-research-database/","Rover Group Inc")</f>
        <v>0</v>
      </c>
      <c r="C1364" t="s">
        <v>1812</v>
      </c>
      <c r="D1364">
        <v>6.27</v>
      </c>
      <c r="E1364">
        <v>0</v>
      </c>
      <c r="F1364" t="s">
        <v>1812</v>
      </c>
      <c r="G1364" t="s">
        <v>1812</v>
      </c>
      <c r="H1364">
        <v>0</v>
      </c>
      <c r="I1364">
        <v>1155.060723</v>
      </c>
      <c r="J1364" t="s">
        <v>1812</v>
      </c>
      <c r="K1364">
        <v>-0</v>
      </c>
      <c r="L1364">
        <v>1.10811536829852</v>
      </c>
      <c r="M1364">
        <v>7</v>
      </c>
      <c r="N1364">
        <v>3.14</v>
      </c>
    </row>
    <row r="1365" spans="1:14">
      <c r="A1365" s="1" t="s">
        <v>1377</v>
      </c>
      <c r="B1365">
        <f>HYPERLINK("https://www.suredividend.com/sure-analysis-research-database/","Repay Holdings Corporation")</f>
        <v>0</v>
      </c>
      <c r="C1365" t="s">
        <v>1818</v>
      </c>
      <c r="D1365">
        <v>8.26</v>
      </c>
      <c r="E1365">
        <v>0</v>
      </c>
      <c r="F1365" t="s">
        <v>1812</v>
      </c>
      <c r="G1365" t="s">
        <v>1812</v>
      </c>
      <c r="H1365">
        <v>0</v>
      </c>
      <c r="I1365">
        <v>766.07935</v>
      </c>
      <c r="J1365">
        <v>0</v>
      </c>
      <c r="K1365" t="s">
        <v>1812</v>
      </c>
      <c r="L1365">
        <v>2.217031199480274</v>
      </c>
      <c r="M1365">
        <v>14.61</v>
      </c>
      <c r="N1365">
        <v>4.37</v>
      </c>
    </row>
    <row r="1366" spans="1:14">
      <c r="A1366" s="1" t="s">
        <v>1378</v>
      </c>
      <c r="B1366">
        <f>HYPERLINK("https://www.suredividend.com/sure-analysis-research-database/","Rapid7 Inc")</f>
        <v>0</v>
      </c>
      <c r="C1366" t="s">
        <v>1818</v>
      </c>
      <c r="D1366">
        <v>43.09</v>
      </c>
      <c r="E1366">
        <v>0</v>
      </c>
      <c r="F1366" t="s">
        <v>1812</v>
      </c>
      <c r="G1366" t="s">
        <v>1812</v>
      </c>
      <c r="H1366">
        <v>0</v>
      </c>
      <c r="I1366">
        <v>2600.569878</v>
      </c>
      <c r="J1366" t="s">
        <v>1812</v>
      </c>
      <c r="K1366">
        <v>-0</v>
      </c>
      <c r="L1366">
        <v>1.765868123027982</v>
      </c>
      <c r="M1366">
        <v>70.73</v>
      </c>
      <c r="N1366">
        <v>26.49</v>
      </c>
    </row>
    <row r="1367" spans="1:14">
      <c r="A1367" s="1" t="s">
        <v>1379</v>
      </c>
      <c r="B1367">
        <f>HYPERLINK("https://www.suredividend.com/sure-analysis-RPT/","RPT Realty")</f>
        <v>0</v>
      </c>
      <c r="C1367" t="s">
        <v>1814</v>
      </c>
      <c r="D1367">
        <v>10.58</v>
      </c>
      <c r="E1367">
        <v>0.05293005671077505</v>
      </c>
      <c r="F1367" t="s">
        <v>1812</v>
      </c>
      <c r="G1367" t="s">
        <v>1812</v>
      </c>
      <c r="H1367">
        <v>0.529186669307097</v>
      </c>
      <c r="I1367">
        <v>917.135764</v>
      </c>
      <c r="J1367">
        <v>12.76316852681678</v>
      </c>
      <c r="K1367">
        <v>0.6294595804770988</v>
      </c>
      <c r="L1367">
        <v>1.153347447386085</v>
      </c>
      <c r="M1367">
        <v>11.21</v>
      </c>
      <c r="N1367">
        <v>6.99</v>
      </c>
    </row>
    <row r="1368" spans="1:14">
      <c r="A1368" s="1" t="s">
        <v>1380</v>
      </c>
      <c r="B1368">
        <f>HYPERLINK("https://www.suredividend.com/sure-analysis-research-database/","Red River Bancshares Inc")</f>
        <v>0</v>
      </c>
      <c r="C1368" t="s">
        <v>1815</v>
      </c>
      <c r="D1368">
        <v>49.41</v>
      </c>
      <c r="E1368">
        <v>0.006051516528272001</v>
      </c>
      <c r="F1368" t="s">
        <v>1812</v>
      </c>
      <c r="G1368" t="s">
        <v>1812</v>
      </c>
      <c r="H1368">
        <v>0.299005431661967</v>
      </c>
      <c r="I1368">
        <v>355.1072</v>
      </c>
      <c r="J1368">
        <v>0</v>
      </c>
      <c r="K1368" t="s">
        <v>1812</v>
      </c>
      <c r="L1368">
        <v>0.778697828756691</v>
      </c>
      <c r="M1368">
        <v>60.21</v>
      </c>
      <c r="N1368">
        <v>43.37</v>
      </c>
    </row>
    <row r="1369" spans="1:14">
      <c r="A1369" s="1" t="s">
        <v>1381</v>
      </c>
      <c r="B1369">
        <f>HYPERLINK("https://www.suredividend.com/sure-analysis-research-database/","Red Rock Resorts Inc")</f>
        <v>0</v>
      </c>
      <c r="C1369" t="s">
        <v>1816</v>
      </c>
      <c r="D1369">
        <v>47.18</v>
      </c>
      <c r="E1369">
        <v>0.020828624330157</v>
      </c>
      <c r="F1369" t="s">
        <v>1812</v>
      </c>
      <c r="G1369" t="s">
        <v>1812</v>
      </c>
      <c r="H1369">
        <v>0.9826944958968481</v>
      </c>
      <c r="I1369">
        <v>2745.950544</v>
      </c>
      <c r="J1369">
        <v>13.60816377863787</v>
      </c>
      <c r="K1369">
        <v>0.503945895331717</v>
      </c>
      <c r="L1369">
        <v>1.084840947701965</v>
      </c>
      <c r="M1369">
        <v>51.36</v>
      </c>
      <c r="N1369">
        <v>32.17</v>
      </c>
    </row>
    <row r="1370" spans="1:14">
      <c r="A1370" s="1" t="s">
        <v>1382</v>
      </c>
      <c r="B1370">
        <f>HYPERLINK("https://www.suredividend.com/sure-analysis-research-database/","Rush Street Interactive Inc")</f>
        <v>0</v>
      </c>
      <c r="C1370" t="s">
        <v>1812</v>
      </c>
      <c r="D1370">
        <v>4.45</v>
      </c>
      <c r="E1370">
        <v>0</v>
      </c>
      <c r="F1370" t="s">
        <v>1812</v>
      </c>
      <c r="G1370" t="s">
        <v>1812</v>
      </c>
      <c r="H1370">
        <v>0</v>
      </c>
      <c r="I1370">
        <v>299.638187</v>
      </c>
      <c r="J1370">
        <v>0</v>
      </c>
      <c r="K1370" t="s">
        <v>1812</v>
      </c>
      <c r="L1370">
        <v>1.861729664623007</v>
      </c>
      <c r="M1370">
        <v>6.52</v>
      </c>
      <c r="N1370">
        <v>2.77</v>
      </c>
    </row>
    <row r="1371" spans="1:14">
      <c r="A1371" s="1" t="s">
        <v>1383</v>
      </c>
      <c r="B1371">
        <f>HYPERLINK("https://www.suredividend.com/sure-analysis-research-database/","Reservoir Media Inc")</f>
        <v>0</v>
      </c>
      <c r="C1371" t="s">
        <v>1812</v>
      </c>
      <c r="D1371">
        <v>5.36</v>
      </c>
      <c r="E1371">
        <v>0</v>
      </c>
      <c r="F1371" t="s">
        <v>1812</v>
      </c>
      <c r="G1371" t="s">
        <v>1812</v>
      </c>
      <c r="H1371">
        <v>0</v>
      </c>
      <c r="I1371">
        <v>346.821174</v>
      </c>
      <c r="J1371">
        <v>0</v>
      </c>
      <c r="K1371" t="s">
        <v>1812</v>
      </c>
      <c r="L1371">
        <v>1.068539850364064</v>
      </c>
      <c r="M1371">
        <v>7.91</v>
      </c>
      <c r="N1371">
        <v>4.42</v>
      </c>
    </row>
    <row r="1372" spans="1:14">
      <c r="A1372" s="1" t="s">
        <v>1384</v>
      </c>
      <c r="B1372">
        <f>HYPERLINK("https://www.suredividend.com/sure-analysis-RTL/","Necessity Retail REIT Inc (The)")</f>
        <v>0</v>
      </c>
      <c r="D1372">
        <v>7.01</v>
      </c>
      <c r="E1372">
        <v>0.1212553495007133</v>
      </c>
      <c r="F1372" t="s">
        <v>1812</v>
      </c>
      <c r="G1372" t="s">
        <v>1812</v>
      </c>
      <c r="H1372">
        <v>0.780733721931227</v>
      </c>
      <c r="I1372">
        <v>943.0803540000001</v>
      </c>
      <c r="J1372">
        <v>0</v>
      </c>
      <c r="K1372" t="s">
        <v>1812</v>
      </c>
      <c r="L1372">
        <v>0.9831754647171611</v>
      </c>
      <c r="M1372">
        <v>7.54</v>
      </c>
      <c r="N1372">
        <v>4.2</v>
      </c>
    </row>
    <row r="1373" spans="1:14">
      <c r="A1373" s="1" t="s">
        <v>1385</v>
      </c>
      <c r="B1373">
        <f>HYPERLINK("https://www.suredividend.com/sure-analysis-research-database/","Rush Enterprises Inc")</f>
        <v>0</v>
      </c>
      <c r="C1373" t="s">
        <v>1816</v>
      </c>
      <c r="D1373">
        <v>64.97</v>
      </c>
      <c r="E1373">
        <v>0.012812442546355</v>
      </c>
      <c r="F1373">
        <v>0.1052631578947367</v>
      </c>
      <c r="G1373">
        <v>0.1184269147201447</v>
      </c>
      <c r="H1373">
        <v>0.832424392236723</v>
      </c>
      <c r="I1373">
        <v>3578.118988</v>
      </c>
      <c r="J1373">
        <v>9.181279300649956</v>
      </c>
      <c r="K1373">
        <v>0.121344663591359</v>
      </c>
      <c r="L1373">
        <v>0.892025527249888</v>
      </c>
      <c r="M1373">
        <v>69.45</v>
      </c>
      <c r="N1373">
        <v>42.03</v>
      </c>
    </row>
    <row r="1374" spans="1:14">
      <c r="A1374" s="1" t="s">
        <v>1386</v>
      </c>
      <c r="B1374">
        <f>HYPERLINK("https://www.suredividend.com/sure-analysis-research-database/","Rush Enterprises Inc")</f>
        <v>0</v>
      </c>
      <c r="C1374" t="s">
        <v>1816</v>
      </c>
      <c r="D1374">
        <v>69.15000000000001</v>
      </c>
      <c r="E1374">
        <v>0.012045686079532</v>
      </c>
      <c r="F1374">
        <v>0.1052631578947367</v>
      </c>
      <c r="G1374">
        <v>0.1184269147201447</v>
      </c>
      <c r="H1374">
        <v>0.8329591923996651</v>
      </c>
      <c r="I1374">
        <v>3578.118988</v>
      </c>
      <c r="J1374">
        <v>9.181279300649956</v>
      </c>
      <c r="K1374">
        <v>0.121422622798785</v>
      </c>
      <c r="L1374">
        <v>1.004865368394124</v>
      </c>
      <c r="M1374">
        <v>75.08</v>
      </c>
      <c r="N1374">
        <v>46.17</v>
      </c>
    </row>
    <row r="1375" spans="1:14">
      <c r="A1375" s="1" t="s">
        <v>1387</v>
      </c>
      <c r="B1375">
        <f>HYPERLINK("https://www.suredividend.com/sure-analysis-research-database/","Revolve Group Inc")</f>
        <v>0</v>
      </c>
      <c r="C1375" t="s">
        <v>1816</v>
      </c>
      <c r="D1375">
        <v>17.46</v>
      </c>
      <c r="E1375">
        <v>0</v>
      </c>
      <c r="F1375" t="s">
        <v>1812</v>
      </c>
      <c r="G1375" t="s">
        <v>1812</v>
      </c>
      <c r="H1375">
        <v>0</v>
      </c>
      <c r="I1375">
        <v>713.787463</v>
      </c>
      <c r="J1375">
        <v>14.19032351404545</v>
      </c>
      <c r="K1375">
        <v>0</v>
      </c>
      <c r="L1375">
        <v>1.84564888277313</v>
      </c>
      <c r="M1375">
        <v>32.59</v>
      </c>
      <c r="N1375">
        <v>14.95</v>
      </c>
    </row>
    <row r="1376" spans="1:14">
      <c r="A1376" s="1" t="s">
        <v>1388</v>
      </c>
      <c r="B1376">
        <f>HYPERLINK("https://www.suredividend.com/sure-analysis-research-database/","Revolution Medicines Inc")</f>
        <v>0</v>
      </c>
      <c r="C1376" t="s">
        <v>1817</v>
      </c>
      <c r="D1376">
        <v>31.89</v>
      </c>
      <c r="E1376">
        <v>0</v>
      </c>
      <c r="F1376" t="s">
        <v>1812</v>
      </c>
      <c r="G1376" t="s">
        <v>1812</v>
      </c>
      <c r="H1376">
        <v>0</v>
      </c>
      <c r="I1376">
        <v>3390.329543</v>
      </c>
      <c r="J1376">
        <v>0</v>
      </c>
      <c r="K1376" t="s">
        <v>1812</v>
      </c>
      <c r="L1376">
        <v>1.316376742314159</v>
      </c>
      <c r="M1376">
        <v>33.19</v>
      </c>
      <c r="N1376">
        <v>17.03</v>
      </c>
    </row>
    <row r="1377" spans="1:14">
      <c r="A1377" s="1" t="s">
        <v>1389</v>
      </c>
      <c r="B1377">
        <f>HYPERLINK("https://www.suredividend.com/sure-analysis-research-database/","Revance Therapeutics Inc")</f>
        <v>0</v>
      </c>
      <c r="C1377" t="s">
        <v>1817</v>
      </c>
      <c r="D1377">
        <v>23</v>
      </c>
      <c r="E1377">
        <v>0</v>
      </c>
      <c r="F1377" t="s">
        <v>1812</v>
      </c>
      <c r="G1377" t="s">
        <v>1812</v>
      </c>
      <c r="H1377">
        <v>0</v>
      </c>
      <c r="I1377">
        <v>1932</v>
      </c>
      <c r="J1377">
        <v>0</v>
      </c>
      <c r="K1377" t="s">
        <v>1812</v>
      </c>
      <c r="L1377">
        <v>1.176251175911796</v>
      </c>
      <c r="M1377">
        <v>37.98</v>
      </c>
      <c r="N1377">
        <v>16.47</v>
      </c>
    </row>
    <row r="1378" spans="1:14">
      <c r="A1378" s="1" t="s">
        <v>1390</v>
      </c>
      <c r="B1378">
        <f>HYPERLINK("https://www.suredividend.com/sure-analysis-research-database/","Redwood Trust Inc.")</f>
        <v>0</v>
      </c>
      <c r="C1378" t="s">
        <v>1814</v>
      </c>
      <c r="D1378">
        <v>7.35</v>
      </c>
      <c r="E1378">
        <v>0.110224783404982</v>
      </c>
      <c r="F1378">
        <v>-0.3043478260869565</v>
      </c>
      <c r="G1378">
        <v>-0.1181397937782795</v>
      </c>
      <c r="H1378">
        <v>0.8101521580266201</v>
      </c>
      <c r="I1378">
        <v>838.111033</v>
      </c>
      <c r="J1378" t="s">
        <v>1812</v>
      </c>
      <c r="K1378" t="s">
        <v>1812</v>
      </c>
      <c r="L1378">
        <v>1.246592598694399</v>
      </c>
      <c r="M1378">
        <v>8.199999999999999</v>
      </c>
      <c r="N1378">
        <v>5.02</v>
      </c>
    </row>
    <row r="1379" spans="1:14">
      <c r="A1379" s="1" t="s">
        <v>1391</v>
      </c>
      <c r="B1379">
        <f>HYPERLINK("https://www.suredividend.com/sure-analysis-research-database/","Prometheus Biosciences Inc")</f>
        <v>0</v>
      </c>
      <c r="C1379" t="s">
        <v>1812</v>
      </c>
      <c r="D1379">
        <v>199.92</v>
      </c>
      <c r="E1379">
        <v>0</v>
      </c>
      <c r="F1379" t="s">
        <v>1812</v>
      </c>
      <c r="G1379" t="s">
        <v>1812</v>
      </c>
      <c r="H1379">
        <v>0</v>
      </c>
      <c r="I1379">
        <v>0</v>
      </c>
      <c r="J1379">
        <v>0</v>
      </c>
      <c r="K1379" t="s">
        <v>1812</v>
      </c>
    </row>
    <row r="1380" spans="1:14">
      <c r="A1380" s="1" t="s">
        <v>1392</v>
      </c>
      <c r="B1380">
        <f>HYPERLINK("https://www.suredividend.com/sure-analysis-research-database/","Recursion Pharmaceuticals Inc")</f>
        <v>0</v>
      </c>
      <c r="C1380" t="s">
        <v>1812</v>
      </c>
      <c r="D1380">
        <v>12.375</v>
      </c>
      <c r="E1380">
        <v>0</v>
      </c>
      <c r="F1380" t="s">
        <v>1812</v>
      </c>
      <c r="G1380" t="s">
        <v>1812</v>
      </c>
      <c r="H1380">
        <v>0</v>
      </c>
      <c r="I1380">
        <v>2284.959241</v>
      </c>
      <c r="J1380">
        <v>0</v>
      </c>
      <c r="K1380" t="s">
        <v>1812</v>
      </c>
      <c r="L1380">
        <v>1.902457597550207</v>
      </c>
      <c r="M1380">
        <v>16.75</v>
      </c>
      <c r="N1380">
        <v>4.54</v>
      </c>
    </row>
    <row r="1381" spans="1:14">
      <c r="A1381" s="1" t="s">
        <v>1393</v>
      </c>
      <c r="B1381">
        <f>HYPERLINK("https://www.suredividend.com/sure-analysis-research-database/","RxSight Inc")</f>
        <v>0</v>
      </c>
      <c r="C1381" t="s">
        <v>1812</v>
      </c>
      <c r="D1381">
        <v>31.85</v>
      </c>
      <c r="E1381">
        <v>0</v>
      </c>
      <c r="F1381" t="s">
        <v>1812</v>
      </c>
      <c r="G1381" t="s">
        <v>1812</v>
      </c>
      <c r="H1381">
        <v>0</v>
      </c>
      <c r="I1381">
        <v>1082.322782</v>
      </c>
      <c r="J1381">
        <v>0</v>
      </c>
      <c r="K1381" t="s">
        <v>1812</v>
      </c>
      <c r="L1381">
        <v>1.123726935046976</v>
      </c>
      <c r="M1381">
        <v>33.77</v>
      </c>
      <c r="N1381">
        <v>9.779999999999999</v>
      </c>
    </row>
    <row r="1382" spans="1:14">
      <c r="A1382" s="1" t="s">
        <v>1394</v>
      </c>
      <c r="B1382">
        <f>HYPERLINK("https://www.suredividend.com/sure-analysis-research-database/","Rackspace Technology Inc")</f>
        <v>0</v>
      </c>
      <c r="C1382" t="s">
        <v>1812</v>
      </c>
      <c r="D1382">
        <v>2.03</v>
      </c>
      <c r="E1382">
        <v>0</v>
      </c>
      <c r="F1382" t="s">
        <v>1812</v>
      </c>
      <c r="G1382" t="s">
        <v>1812</v>
      </c>
      <c r="H1382">
        <v>0</v>
      </c>
      <c r="I1382">
        <v>436.612376</v>
      </c>
      <c r="J1382">
        <v>0</v>
      </c>
      <c r="K1382" t="s">
        <v>1812</v>
      </c>
      <c r="L1382">
        <v>2.848467812272546</v>
      </c>
      <c r="M1382">
        <v>7.38</v>
      </c>
      <c r="N1382">
        <v>1.05</v>
      </c>
    </row>
    <row r="1383" spans="1:14">
      <c r="A1383" s="1" t="s">
        <v>1395</v>
      </c>
      <c r="B1383">
        <f>HYPERLINK("https://www.suredividend.com/sure-analysis-research-database/","Rayonier Advanced Materials Inc")</f>
        <v>0</v>
      </c>
      <c r="C1383" t="s">
        <v>1823</v>
      </c>
      <c r="D1383">
        <v>4.51</v>
      </c>
      <c r="E1383">
        <v>0</v>
      </c>
      <c r="F1383" t="s">
        <v>1812</v>
      </c>
      <c r="G1383" t="s">
        <v>1812</v>
      </c>
      <c r="H1383">
        <v>0</v>
      </c>
      <c r="I1383">
        <v>293.684543</v>
      </c>
      <c r="J1383">
        <v>25.45147267874166</v>
      </c>
      <c r="K1383">
        <v>0</v>
      </c>
      <c r="L1383">
        <v>1.61866659288836</v>
      </c>
      <c r="M1383">
        <v>9.84</v>
      </c>
      <c r="N1383">
        <v>2.84</v>
      </c>
    </row>
    <row r="1384" spans="1:14">
      <c r="A1384" s="1" t="s">
        <v>1396</v>
      </c>
      <c r="B1384">
        <f>HYPERLINK("https://www.suredividend.com/sure-analysis-research-database/","Ryerson Holding Corp.")</f>
        <v>0</v>
      </c>
      <c r="C1384" t="s">
        <v>1813</v>
      </c>
      <c r="D1384">
        <v>32.58</v>
      </c>
      <c r="E1384">
        <v>0.020115489135394</v>
      </c>
      <c r="F1384" t="s">
        <v>1812</v>
      </c>
      <c r="G1384" t="s">
        <v>1812</v>
      </c>
      <c r="H1384">
        <v>0.6553626360311511</v>
      </c>
      <c r="I1384">
        <v>1120.394695</v>
      </c>
      <c r="J1384">
        <v>9.66690849991372</v>
      </c>
      <c r="K1384">
        <v>0.2093810338757671</v>
      </c>
      <c r="L1384">
        <v>1.402851674468229</v>
      </c>
      <c r="M1384">
        <v>44.7</v>
      </c>
      <c r="N1384">
        <v>23.28</v>
      </c>
    </row>
    <row r="1385" spans="1:14">
      <c r="A1385" s="1" t="s">
        <v>1397</v>
      </c>
      <c r="B1385">
        <f>HYPERLINK("https://www.suredividend.com/sure-analysis-research-database/","Sabre Corp")</f>
        <v>0</v>
      </c>
      <c r="C1385" t="s">
        <v>1818</v>
      </c>
      <c r="D1385">
        <v>4.89</v>
      </c>
      <c r="E1385">
        <v>0</v>
      </c>
      <c r="F1385" t="s">
        <v>1812</v>
      </c>
      <c r="G1385" t="s">
        <v>1812</v>
      </c>
      <c r="H1385">
        <v>0</v>
      </c>
      <c r="I1385">
        <v>1623.748339</v>
      </c>
      <c r="J1385" t="s">
        <v>1812</v>
      </c>
      <c r="K1385">
        <v>-0</v>
      </c>
      <c r="L1385">
        <v>1.834205711365273</v>
      </c>
      <c r="M1385">
        <v>8.31</v>
      </c>
      <c r="N1385">
        <v>2.99</v>
      </c>
    </row>
    <row r="1386" spans="1:14">
      <c r="A1386" s="1" t="s">
        <v>1398</v>
      </c>
      <c r="B1386">
        <f>HYPERLINK("https://www.suredividend.com/sure-analysis-SAFE/","Safehold Inc.")</f>
        <v>0</v>
      </c>
      <c r="C1386" t="s">
        <v>1814</v>
      </c>
      <c r="D1386">
        <v>23.21</v>
      </c>
      <c r="E1386">
        <v>0.03059026281775097</v>
      </c>
      <c r="F1386">
        <v>0</v>
      </c>
      <c r="G1386">
        <v>0.03365688434519343</v>
      </c>
      <c r="H1386">
        <v>0.451656138674452</v>
      </c>
      <c r="I1386">
        <v>1484.641692</v>
      </c>
      <c r="J1386" t="s">
        <v>1812</v>
      </c>
      <c r="K1386" t="s">
        <v>1812</v>
      </c>
      <c r="L1386">
        <v>2.825769712127794</v>
      </c>
      <c r="M1386">
        <v>30.06</v>
      </c>
      <c r="N1386">
        <v>6.46</v>
      </c>
    </row>
    <row r="1387" spans="1:14">
      <c r="A1387" s="1" t="s">
        <v>1399</v>
      </c>
      <c r="B1387">
        <f>HYPERLINK("https://www.suredividend.com/sure-analysis-research-database/","Safety Insurance Group, Inc.")</f>
        <v>0</v>
      </c>
      <c r="C1387" t="s">
        <v>1815</v>
      </c>
      <c r="D1387">
        <v>72.28</v>
      </c>
      <c r="E1387">
        <v>0.048507910805453</v>
      </c>
      <c r="F1387">
        <v>0</v>
      </c>
      <c r="G1387">
        <v>0.02383625553960966</v>
      </c>
      <c r="H1387">
        <v>3.506151793018186</v>
      </c>
      <c r="I1387">
        <v>1074.480147</v>
      </c>
      <c r="J1387">
        <v>40.98566322093378</v>
      </c>
      <c r="K1387">
        <v>1.969748198324824</v>
      </c>
      <c r="L1387">
        <v>0.5408865698888551</v>
      </c>
      <c r="M1387">
        <v>91.09</v>
      </c>
      <c r="N1387">
        <v>66</v>
      </c>
    </row>
    <row r="1388" spans="1:14">
      <c r="A1388" s="1" t="s">
        <v>1400</v>
      </c>
      <c r="B1388">
        <f>HYPERLINK("https://www.suredividend.com/sure-analysis-research-database/","Sage Therapeutics Inc")</f>
        <v>0</v>
      </c>
      <c r="C1388" t="s">
        <v>1817</v>
      </c>
      <c r="D1388">
        <v>36.01</v>
      </c>
      <c r="E1388">
        <v>0</v>
      </c>
      <c r="F1388" t="s">
        <v>1812</v>
      </c>
      <c r="G1388" t="s">
        <v>1812</v>
      </c>
      <c r="H1388">
        <v>0</v>
      </c>
      <c r="I1388">
        <v>2152.033437</v>
      </c>
      <c r="J1388" t="s">
        <v>1812</v>
      </c>
      <c r="K1388">
        <v>-0</v>
      </c>
      <c r="L1388">
        <v>1.084462974901005</v>
      </c>
      <c r="M1388">
        <v>59.99</v>
      </c>
      <c r="N1388">
        <v>32.13</v>
      </c>
    </row>
    <row r="1389" spans="1:14">
      <c r="A1389" s="1" t="s">
        <v>1401</v>
      </c>
      <c r="B1389">
        <f>HYPERLINK("https://www.suredividend.com/sure-analysis-research-database/","Sonic Automotive, Inc.")</f>
        <v>0</v>
      </c>
      <c r="C1389" t="s">
        <v>1816</v>
      </c>
      <c r="D1389">
        <v>49.51</v>
      </c>
      <c r="E1389">
        <v>0.02203145195274</v>
      </c>
      <c r="F1389">
        <v>0.1599999999999999</v>
      </c>
      <c r="G1389">
        <v>0.370406309505932</v>
      </c>
      <c r="H1389">
        <v>1.090777186180199</v>
      </c>
      <c r="I1389">
        <v>1159.158321</v>
      </c>
      <c r="J1389" t="s">
        <v>1812</v>
      </c>
      <c r="K1389" t="s">
        <v>1812</v>
      </c>
      <c r="L1389">
        <v>1.13662938187032</v>
      </c>
      <c r="M1389">
        <v>61.55</v>
      </c>
      <c r="N1389">
        <v>38.78</v>
      </c>
    </row>
    <row r="1390" spans="1:14">
      <c r="A1390" s="1" t="s">
        <v>1402</v>
      </c>
      <c r="B1390">
        <f>HYPERLINK("https://www.suredividend.com/sure-analysis-research-database/","Saia Inc.")</f>
        <v>0</v>
      </c>
      <c r="C1390" t="s">
        <v>1813</v>
      </c>
      <c r="D1390">
        <v>425.7</v>
      </c>
      <c r="E1390">
        <v>0</v>
      </c>
      <c r="F1390" t="s">
        <v>1812</v>
      </c>
      <c r="G1390" t="s">
        <v>1812</v>
      </c>
      <c r="H1390">
        <v>0</v>
      </c>
      <c r="I1390">
        <v>11296.112117</v>
      </c>
      <c r="J1390">
        <v>33.60248005437741</v>
      </c>
      <c r="K1390">
        <v>0</v>
      </c>
      <c r="L1390">
        <v>1.432311347300176</v>
      </c>
      <c r="M1390">
        <v>437.63</v>
      </c>
      <c r="N1390">
        <v>176.7</v>
      </c>
    </row>
    <row r="1391" spans="1:14">
      <c r="A1391" s="1" t="s">
        <v>1403</v>
      </c>
      <c r="B1391">
        <f>HYPERLINK("https://www.suredividend.com/sure-analysis-research-database/","Silvercrest Asset Management Group Inc")</f>
        <v>0</v>
      </c>
      <c r="C1391" t="s">
        <v>1815</v>
      </c>
      <c r="D1391">
        <v>20.07</v>
      </c>
      <c r="E1391">
        <v>0.035145274640957</v>
      </c>
      <c r="F1391">
        <v>0.0588235294117645</v>
      </c>
      <c r="G1391">
        <v>0.05154749679728043</v>
      </c>
      <c r="H1391">
        <v>0.7053656620440181</v>
      </c>
      <c r="I1391">
        <v>188.125001</v>
      </c>
      <c r="J1391">
        <v>0</v>
      </c>
      <c r="K1391" t="s">
        <v>1812</v>
      </c>
      <c r="L1391">
        <v>0.896997716251117</v>
      </c>
      <c r="M1391">
        <v>23.2</v>
      </c>
      <c r="N1391">
        <v>14.68</v>
      </c>
    </row>
    <row r="1392" spans="1:14">
      <c r="A1392" s="1" t="s">
        <v>1404</v>
      </c>
      <c r="B1392">
        <f>HYPERLINK("https://www.suredividend.com/sure-analysis-research-database/","Sana Biotechnology Inc")</f>
        <v>0</v>
      </c>
      <c r="C1392" t="s">
        <v>1812</v>
      </c>
      <c r="D1392">
        <v>5.43</v>
      </c>
      <c r="E1392">
        <v>0</v>
      </c>
      <c r="F1392" t="s">
        <v>1812</v>
      </c>
      <c r="G1392" t="s">
        <v>1812</v>
      </c>
      <c r="H1392">
        <v>0</v>
      </c>
      <c r="I1392">
        <v>1039.850126</v>
      </c>
      <c r="J1392">
        <v>0</v>
      </c>
      <c r="K1392" t="s">
        <v>1812</v>
      </c>
      <c r="L1392">
        <v>2.088352448635643</v>
      </c>
      <c r="M1392">
        <v>8.77</v>
      </c>
      <c r="N1392">
        <v>2.99</v>
      </c>
    </row>
    <row r="1393" spans="1:14">
      <c r="A1393" s="1" t="s">
        <v>1405</v>
      </c>
      <c r="B1393">
        <f>HYPERLINK("https://www.suredividend.com/sure-analysis-research-database/","Sanmina Corp")</f>
        <v>0</v>
      </c>
      <c r="C1393" t="s">
        <v>1818</v>
      </c>
      <c r="D1393">
        <v>54.88</v>
      </c>
      <c r="E1393">
        <v>0</v>
      </c>
      <c r="F1393" t="s">
        <v>1812</v>
      </c>
      <c r="G1393" t="s">
        <v>1812</v>
      </c>
      <c r="H1393">
        <v>0</v>
      </c>
      <c r="I1393">
        <v>3140.614961</v>
      </c>
      <c r="J1393">
        <v>13.06499168463791</v>
      </c>
      <c r="K1393">
        <v>0</v>
      </c>
      <c r="L1393">
        <v>1.107978101686245</v>
      </c>
      <c r="M1393">
        <v>69.28</v>
      </c>
      <c r="N1393">
        <v>44.29</v>
      </c>
    </row>
    <row r="1394" spans="1:14">
      <c r="A1394" s="1" t="s">
        <v>1406</v>
      </c>
      <c r="B1394">
        <f>HYPERLINK("https://www.suredividend.com/sure-analysis-research-database/","Sandy Spring Bancorp")</f>
        <v>0</v>
      </c>
      <c r="C1394" t="s">
        <v>1815</v>
      </c>
      <c r="D1394">
        <v>24.01</v>
      </c>
      <c r="E1394">
        <v>0.054888059708009</v>
      </c>
      <c r="F1394">
        <v>0</v>
      </c>
      <c r="G1394">
        <v>0.03959498820755258</v>
      </c>
      <c r="H1394">
        <v>1.3178623135893</v>
      </c>
      <c r="I1394">
        <v>1076.500259</v>
      </c>
      <c r="J1394">
        <v>6.221286207761436</v>
      </c>
      <c r="K1394">
        <v>0.3423018996335844</v>
      </c>
      <c r="L1394">
        <v>0.953204890822209</v>
      </c>
      <c r="M1394">
        <v>40.38</v>
      </c>
      <c r="N1394">
        <v>19.15</v>
      </c>
    </row>
    <row r="1395" spans="1:14">
      <c r="A1395" s="1" t="s">
        <v>1407</v>
      </c>
      <c r="B1395">
        <f>HYPERLINK("https://www.suredividend.com/sure-analysis-research-database/","EchoStar Corp")</f>
        <v>0</v>
      </c>
      <c r="C1395" t="s">
        <v>1818</v>
      </c>
      <c r="D1395">
        <v>18.99</v>
      </c>
      <c r="E1395">
        <v>0</v>
      </c>
      <c r="F1395" t="s">
        <v>1812</v>
      </c>
      <c r="G1395" t="s">
        <v>1812</v>
      </c>
      <c r="H1395">
        <v>0</v>
      </c>
      <c r="I1395">
        <v>685.3511130000001</v>
      </c>
      <c r="J1395">
        <v>5.977298885739453</v>
      </c>
      <c r="K1395">
        <v>0</v>
      </c>
      <c r="L1395">
        <v>0.8563787573137811</v>
      </c>
      <c r="M1395">
        <v>21.06</v>
      </c>
      <c r="N1395">
        <v>14.67</v>
      </c>
    </row>
    <row r="1396" spans="1:14">
      <c r="A1396" s="1" t="s">
        <v>1408</v>
      </c>
      <c r="B1396">
        <f>HYPERLINK("https://www.suredividend.com/sure-analysis-research-database/","Cassava Sciences Inc")</f>
        <v>0</v>
      </c>
      <c r="C1396" t="s">
        <v>1817</v>
      </c>
      <c r="D1396">
        <v>20.84</v>
      </c>
      <c r="E1396">
        <v>0</v>
      </c>
      <c r="F1396" t="s">
        <v>1812</v>
      </c>
      <c r="G1396" t="s">
        <v>1812</v>
      </c>
      <c r="H1396">
        <v>0</v>
      </c>
      <c r="I1396">
        <v>870.058225</v>
      </c>
      <c r="J1396">
        <v>0</v>
      </c>
      <c r="K1396" t="s">
        <v>1812</v>
      </c>
      <c r="L1396">
        <v>0.970901589133454</v>
      </c>
      <c r="M1396">
        <v>51.59</v>
      </c>
      <c r="N1396">
        <v>16.81</v>
      </c>
    </row>
    <row r="1397" spans="1:14">
      <c r="A1397" s="1" t="s">
        <v>1409</v>
      </c>
      <c r="B1397">
        <f>HYPERLINK("https://www.suredividend.com/sure-analysis-research-database/","Spirit Airlines Inc")</f>
        <v>0</v>
      </c>
      <c r="C1397" t="s">
        <v>1813</v>
      </c>
      <c r="D1397">
        <v>15.86</v>
      </c>
      <c r="E1397">
        <v>0</v>
      </c>
      <c r="F1397" t="s">
        <v>1812</v>
      </c>
      <c r="G1397" t="s">
        <v>1812</v>
      </c>
      <c r="H1397">
        <v>0</v>
      </c>
      <c r="I1397">
        <v>1731.291811</v>
      </c>
      <c r="J1397" t="s">
        <v>1812</v>
      </c>
      <c r="K1397">
        <v>-0</v>
      </c>
      <c r="L1397">
        <v>0.683980338392104</v>
      </c>
      <c r="M1397">
        <v>24.02</v>
      </c>
      <c r="N1397">
        <v>14.25</v>
      </c>
    </row>
    <row r="1398" spans="1:14">
      <c r="A1398" s="1" t="s">
        <v>1410</v>
      </c>
      <c r="B1398">
        <f>HYPERLINK("https://www.suredividend.com/sure-analysis-research-database/","Safe Bulkers, Inc")</f>
        <v>0</v>
      </c>
      <c r="C1398" t="s">
        <v>1813</v>
      </c>
      <c r="D1398">
        <v>3.29</v>
      </c>
      <c r="E1398">
        <v>0.05975390228885401</v>
      </c>
      <c r="F1398" t="s">
        <v>1812</v>
      </c>
      <c r="G1398" t="s">
        <v>1812</v>
      </c>
      <c r="H1398">
        <v>0.196590338530331</v>
      </c>
      <c r="I1398">
        <v>367.113709</v>
      </c>
      <c r="J1398">
        <v>2.848868248139497</v>
      </c>
      <c r="K1398">
        <v>0.1803581087434229</v>
      </c>
      <c r="L1398">
        <v>0.9696425806579121</v>
      </c>
      <c r="M1398">
        <v>3.8</v>
      </c>
      <c r="N1398">
        <v>2.29</v>
      </c>
    </row>
    <row r="1399" spans="1:14">
      <c r="A1399" s="1" t="s">
        <v>1411</v>
      </c>
      <c r="B1399">
        <f>HYPERLINK("https://www.suredividend.com/sure-analysis-research-database/","Seacoast Banking Corp. Of Florida")</f>
        <v>0</v>
      </c>
      <c r="C1399" t="s">
        <v>1815</v>
      </c>
      <c r="D1399">
        <v>23.6</v>
      </c>
      <c r="E1399">
        <v>0.028761740090018</v>
      </c>
      <c r="F1399" t="s">
        <v>1812</v>
      </c>
      <c r="G1399" t="s">
        <v>1812</v>
      </c>
      <c r="H1399">
        <v>0.678777066124428</v>
      </c>
      <c r="I1399">
        <v>1996.779952</v>
      </c>
      <c r="J1399">
        <v>20.42825232746097</v>
      </c>
      <c r="K1399">
        <v>0.4780120183974845</v>
      </c>
      <c r="L1399">
        <v>1.161575437377947</v>
      </c>
      <c r="M1399">
        <v>35.69</v>
      </c>
      <c r="N1399">
        <v>17.66</v>
      </c>
    </row>
    <row r="1400" spans="1:14">
      <c r="A1400" s="1" t="s">
        <v>1412</v>
      </c>
      <c r="B1400">
        <f>HYPERLINK("https://www.suredividend.com/sure-analysis-research-database/","Sinclair Inc")</f>
        <v>0</v>
      </c>
      <c r="C1400" t="s">
        <v>1821</v>
      </c>
      <c r="D1400">
        <v>12.98</v>
      </c>
      <c r="E1400">
        <v>0</v>
      </c>
      <c r="F1400">
        <v>0</v>
      </c>
      <c r="G1400">
        <v>0.06790716584560208</v>
      </c>
      <c r="H1400">
        <v>0</v>
      </c>
      <c r="I1400">
        <v>0</v>
      </c>
      <c r="J1400">
        <v>0</v>
      </c>
      <c r="K1400" t="s">
        <v>1812</v>
      </c>
      <c r="L1400">
        <v>0.325780483802897</v>
      </c>
      <c r="M1400">
        <v>16.49</v>
      </c>
      <c r="N1400">
        <v>11.9</v>
      </c>
    </row>
    <row r="1401" spans="1:14">
      <c r="A1401" s="1" t="s">
        <v>1413</v>
      </c>
      <c r="B1401">
        <f>HYPERLINK("https://www.suredividend.com/sure-analysis-research-database/","Sally Beauty Holdings Inc")</f>
        <v>0</v>
      </c>
      <c r="C1401" t="s">
        <v>1816</v>
      </c>
      <c r="D1401">
        <v>11.74</v>
      </c>
      <c r="E1401">
        <v>0</v>
      </c>
      <c r="F1401" t="s">
        <v>1812</v>
      </c>
      <c r="G1401" t="s">
        <v>1812</v>
      </c>
      <c r="H1401">
        <v>0</v>
      </c>
      <c r="I1401">
        <v>1262.691838</v>
      </c>
      <c r="J1401">
        <v>7.93621719958518</v>
      </c>
      <c r="K1401">
        <v>0</v>
      </c>
      <c r="L1401">
        <v>1.11450401244667</v>
      </c>
      <c r="M1401">
        <v>18.42</v>
      </c>
      <c r="N1401">
        <v>10.8</v>
      </c>
    </row>
    <row r="1402" spans="1:14">
      <c r="A1402" s="1" t="s">
        <v>1414</v>
      </c>
      <c r="B1402">
        <f>HYPERLINK("https://www.suredividend.com/sure-analysis-research-database/","SilverBow Resources Inc")</f>
        <v>0</v>
      </c>
      <c r="C1402" t="s">
        <v>1822</v>
      </c>
      <c r="D1402">
        <v>36.66</v>
      </c>
      <c r="E1402">
        <v>0</v>
      </c>
      <c r="F1402" t="s">
        <v>1812</v>
      </c>
      <c r="G1402" t="s">
        <v>1812</v>
      </c>
      <c r="H1402">
        <v>0</v>
      </c>
      <c r="I1402">
        <v>829.129542</v>
      </c>
      <c r="J1402">
        <v>0</v>
      </c>
      <c r="K1402" t="s">
        <v>1812</v>
      </c>
      <c r="L1402">
        <v>1.567700693163513</v>
      </c>
      <c r="M1402">
        <v>49.91</v>
      </c>
      <c r="N1402">
        <v>19.13</v>
      </c>
    </row>
    <row r="1403" spans="1:14">
      <c r="A1403" s="1" t="s">
        <v>1415</v>
      </c>
      <c r="B1403">
        <f>HYPERLINK("https://www.suredividend.com/sure-analysis-SBRA/","Sabra Healthcare REIT Inc")</f>
        <v>0</v>
      </c>
      <c r="C1403" t="s">
        <v>1814</v>
      </c>
      <c r="D1403">
        <v>12.78</v>
      </c>
      <c r="E1403">
        <v>0.09389671361502347</v>
      </c>
      <c r="F1403">
        <v>0</v>
      </c>
      <c r="G1403">
        <v>-0.07789208851827223</v>
      </c>
      <c r="H1403">
        <v>1.134028164878647</v>
      </c>
      <c r="I1403">
        <v>2954.673991</v>
      </c>
      <c r="J1403" t="s">
        <v>1812</v>
      </c>
      <c r="K1403" t="s">
        <v>1812</v>
      </c>
      <c r="L1403">
        <v>0.790787622296087</v>
      </c>
      <c r="M1403">
        <v>14.74</v>
      </c>
      <c r="N1403">
        <v>9.56</v>
      </c>
    </row>
    <row r="1404" spans="1:14">
      <c r="A1404" s="1" t="s">
        <v>1416</v>
      </c>
      <c r="B1404">
        <f>HYPERLINK("https://www.suredividend.com/sure-analysis-SBSI/","Southside Bancshares Inc")</f>
        <v>0</v>
      </c>
      <c r="C1404" t="s">
        <v>1815</v>
      </c>
      <c r="D1404">
        <v>34.12</v>
      </c>
      <c r="E1404">
        <v>0.041031652989449</v>
      </c>
      <c r="F1404">
        <v>0.02941176470588247</v>
      </c>
      <c r="G1404">
        <v>0.02456913836308061</v>
      </c>
      <c r="H1404">
        <v>1.347551106214371</v>
      </c>
      <c r="I1404">
        <v>1041.745187</v>
      </c>
      <c r="J1404">
        <v>9.870058425710116</v>
      </c>
      <c r="K1404">
        <v>0.4034584150342428</v>
      </c>
      <c r="L1404">
        <v>0.7185505204975281</v>
      </c>
      <c r="M1404">
        <v>40.2</v>
      </c>
      <c r="N1404">
        <v>25.38</v>
      </c>
    </row>
    <row r="1405" spans="1:14">
      <c r="A1405" s="1" t="s">
        <v>1417</v>
      </c>
      <c r="B1405">
        <f>HYPERLINK("https://www.suredividend.com/sure-analysis-research-database/","Sterling Bancorp Inc")</f>
        <v>0</v>
      </c>
      <c r="C1405" t="s">
        <v>1815</v>
      </c>
      <c r="D1405">
        <v>5.96</v>
      </c>
      <c r="E1405">
        <v>0</v>
      </c>
      <c r="F1405" t="s">
        <v>1812</v>
      </c>
      <c r="G1405" t="s">
        <v>1812</v>
      </c>
      <c r="H1405">
        <v>0</v>
      </c>
      <c r="I1405">
        <v>302.717656</v>
      </c>
      <c r="J1405">
        <v>0</v>
      </c>
      <c r="K1405" t="s">
        <v>1812</v>
      </c>
      <c r="L1405">
        <v>0.610008408387345</v>
      </c>
      <c r="M1405">
        <v>6.76</v>
      </c>
      <c r="N1405">
        <v>4.22</v>
      </c>
    </row>
    <row r="1406" spans="1:14">
      <c r="A1406" s="1" t="s">
        <v>1418</v>
      </c>
      <c r="B1406">
        <f>HYPERLINK("https://www.suredividend.com/sure-analysis-SCHL/","Scholastic Corp.")</f>
        <v>0</v>
      </c>
      <c r="C1406" t="s">
        <v>1821</v>
      </c>
      <c r="D1406">
        <v>43.78</v>
      </c>
      <c r="E1406">
        <v>0.01827318410232983</v>
      </c>
      <c r="F1406">
        <v>0.3333333333333335</v>
      </c>
      <c r="G1406">
        <v>0.05922384104881218</v>
      </c>
      <c r="H1406">
        <v>0.7938327033341021</v>
      </c>
      <c r="I1406">
        <v>1374.339834</v>
      </c>
      <c r="J1406">
        <v>15.92514291633836</v>
      </c>
      <c r="K1406">
        <v>0.3188083145920088</v>
      </c>
      <c r="L1406">
        <v>0.617230968261772</v>
      </c>
      <c r="M1406">
        <v>47.54</v>
      </c>
      <c r="N1406">
        <v>27.78</v>
      </c>
    </row>
    <row r="1407" spans="1:14">
      <c r="A1407" s="1" t="s">
        <v>1419</v>
      </c>
      <c r="B1407">
        <f>HYPERLINK("https://www.suredividend.com/sure-analysis-research-database/","Schnitzer Steel Industries, Inc.")</f>
        <v>0</v>
      </c>
      <c r="C1407" t="s">
        <v>1823</v>
      </c>
      <c r="D1407">
        <v>34.15</v>
      </c>
      <c r="E1407">
        <v>0.021601629128891</v>
      </c>
      <c r="F1407">
        <v>0</v>
      </c>
      <c r="G1407">
        <v>0</v>
      </c>
      <c r="H1407">
        <v>0.737695634751656</v>
      </c>
      <c r="I1407">
        <v>932.673689</v>
      </c>
      <c r="J1407">
        <v>89.87893315505445</v>
      </c>
      <c r="K1407">
        <v>2.024411730932097</v>
      </c>
      <c r="L1407">
        <v>1.400876774746868</v>
      </c>
      <c r="M1407">
        <v>36.64</v>
      </c>
      <c r="N1407">
        <v>25.03</v>
      </c>
    </row>
    <row r="1408" spans="1:14">
      <c r="A1408" s="1" t="s">
        <v>1420</v>
      </c>
      <c r="B1408">
        <f>HYPERLINK("https://www.suredividend.com/sure-analysis-SCL/","Stepan Co.")</f>
        <v>0</v>
      </c>
      <c r="C1408" t="s">
        <v>1823</v>
      </c>
      <c r="D1408">
        <v>93.66</v>
      </c>
      <c r="E1408">
        <v>0.01558829809950886</v>
      </c>
      <c r="F1408">
        <v>0.08955223880596996</v>
      </c>
      <c r="G1408">
        <v>0.1015952871926673</v>
      </c>
      <c r="H1408">
        <v>1.425154149892805</v>
      </c>
      <c r="I1408">
        <v>2092.479976</v>
      </c>
      <c r="J1408">
        <v>17.66014530358017</v>
      </c>
      <c r="K1408">
        <v>0.276728961144234</v>
      </c>
      <c r="L1408">
        <v>0.9572173048096411</v>
      </c>
      <c r="M1408">
        <v>115.12</v>
      </c>
      <c r="N1408">
        <v>87.11</v>
      </c>
    </row>
    <row r="1409" spans="1:14">
      <c r="A1409" s="1" t="s">
        <v>1421</v>
      </c>
      <c r="B1409">
        <f>HYPERLINK("https://www.suredividend.com/sure-analysis-research-database/","Steelcase, Inc.")</f>
        <v>0</v>
      </c>
      <c r="C1409" t="s">
        <v>1813</v>
      </c>
      <c r="D1409">
        <v>8.65</v>
      </c>
      <c r="E1409">
        <v>0.04581242401771</v>
      </c>
      <c r="F1409">
        <v>-0.3103448275862069</v>
      </c>
      <c r="G1409">
        <v>-0.05825516650174434</v>
      </c>
      <c r="H1409">
        <v>0.396277467753192</v>
      </c>
      <c r="I1409">
        <v>809.541779</v>
      </c>
      <c r="J1409">
        <v>17.44702110452586</v>
      </c>
      <c r="K1409">
        <v>0.9700794804239705</v>
      </c>
      <c r="L1409">
        <v>1.258109699921122</v>
      </c>
      <c r="M1409">
        <v>11.89</v>
      </c>
      <c r="N1409">
        <v>6.04</v>
      </c>
    </row>
    <row r="1410" spans="1:14">
      <c r="A1410" s="1" t="s">
        <v>1422</v>
      </c>
      <c r="B1410">
        <f>HYPERLINK("https://www.suredividend.com/sure-analysis-research-database/","Scansource, Inc.")</f>
        <v>0</v>
      </c>
      <c r="C1410" t="s">
        <v>1818</v>
      </c>
      <c r="D1410">
        <v>29.18</v>
      </c>
      <c r="E1410">
        <v>0</v>
      </c>
      <c r="F1410" t="s">
        <v>1812</v>
      </c>
      <c r="G1410" t="s">
        <v>1812</v>
      </c>
      <c r="H1410">
        <v>0</v>
      </c>
      <c r="I1410">
        <v>726.574909</v>
      </c>
      <c r="J1410">
        <v>7.989256127507038</v>
      </c>
      <c r="K1410">
        <v>0</v>
      </c>
      <c r="L1410">
        <v>0.787417609166934</v>
      </c>
      <c r="M1410">
        <v>35.5</v>
      </c>
      <c r="N1410">
        <v>25.75</v>
      </c>
    </row>
    <row r="1411" spans="1:14">
      <c r="A1411" s="1" t="s">
        <v>1423</v>
      </c>
      <c r="B1411">
        <f>HYPERLINK("https://www.suredividend.com/sure-analysis-research-database/","Sculptor Capital Management Inc")</f>
        <v>0</v>
      </c>
      <c r="C1411" t="s">
        <v>1815</v>
      </c>
      <c r="D1411">
        <v>11.06</v>
      </c>
      <c r="E1411">
        <v>0.03564348758546301</v>
      </c>
      <c r="F1411" t="s">
        <v>1812</v>
      </c>
      <c r="G1411" t="s">
        <v>1812</v>
      </c>
      <c r="H1411">
        <v>0.394216972695228</v>
      </c>
      <c r="I1411">
        <v>327.644581</v>
      </c>
      <c r="J1411" t="s">
        <v>1812</v>
      </c>
      <c r="K1411" t="s">
        <v>1812</v>
      </c>
      <c r="L1411">
        <v>1.234185237200817</v>
      </c>
      <c r="M1411">
        <v>11.09</v>
      </c>
      <c r="N1411">
        <v>7.76</v>
      </c>
    </row>
    <row r="1412" spans="1:14">
      <c r="A1412" s="1" t="s">
        <v>1424</v>
      </c>
      <c r="B1412">
        <f>HYPERLINK("https://www.suredividend.com/sure-analysis-research-database/","Shoe Carnival, Inc.")</f>
        <v>0</v>
      </c>
      <c r="C1412" t="s">
        <v>1816</v>
      </c>
      <c r="D1412">
        <v>26.76</v>
      </c>
      <c r="E1412">
        <v>0.017394143088163</v>
      </c>
      <c r="F1412">
        <v>0.1111111111111112</v>
      </c>
      <c r="G1412">
        <v>0.04563955259127317</v>
      </c>
      <c r="H1412">
        <v>0.465467269039243</v>
      </c>
      <c r="I1412">
        <v>731.500522</v>
      </c>
      <c r="J1412">
        <v>7.337237050262296</v>
      </c>
      <c r="K1412">
        <v>0.1289383016729205</v>
      </c>
      <c r="L1412">
        <v>1.23024522795145</v>
      </c>
      <c r="M1412">
        <v>29.1</v>
      </c>
      <c r="N1412">
        <v>19.03</v>
      </c>
    </row>
    <row r="1413" spans="1:14">
      <c r="A1413" s="1" t="s">
        <v>1425</v>
      </c>
      <c r="B1413">
        <f>HYPERLINK("https://www.suredividend.com/sure-analysis-research-database/","SecureWorks Corp")</f>
        <v>0</v>
      </c>
      <c r="C1413" t="s">
        <v>1818</v>
      </c>
      <c r="D1413">
        <v>7.21</v>
      </c>
      <c r="E1413">
        <v>0</v>
      </c>
      <c r="F1413" t="s">
        <v>1812</v>
      </c>
      <c r="G1413" t="s">
        <v>1812</v>
      </c>
      <c r="H1413">
        <v>0</v>
      </c>
      <c r="I1413">
        <v>115.589091</v>
      </c>
      <c r="J1413" t="s">
        <v>1812</v>
      </c>
      <c r="K1413">
        <v>-0</v>
      </c>
      <c r="L1413">
        <v>1.18468008301096</v>
      </c>
      <c r="M1413">
        <v>11.25</v>
      </c>
      <c r="N1413">
        <v>5.28</v>
      </c>
    </row>
    <row r="1414" spans="1:14">
      <c r="A1414" s="1" t="s">
        <v>1426</v>
      </c>
      <c r="B1414">
        <f>HYPERLINK("https://www.suredividend.com/sure-analysis-research-database/","Sandridge Energy Inc")</f>
        <v>0</v>
      </c>
      <c r="C1414" t="s">
        <v>1822</v>
      </c>
      <c r="D1414">
        <v>16.48</v>
      </c>
      <c r="E1414">
        <v>0</v>
      </c>
      <c r="F1414" t="s">
        <v>1812</v>
      </c>
      <c r="G1414" t="s">
        <v>1812</v>
      </c>
      <c r="H1414">
        <v>0</v>
      </c>
      <c r="I1414">
        <v>608.13728</v>
      </c>
      <c r="J1414">
        <v>0</v>
      </c>
      <c r="K1414" t="s">
        <v>1812</v>
      </c>
      <c r="L1414">
        <v>1.188482730200085</v>
      </c>
      <c r="M1414">
        <v>20.33</v>
      </c>
      <c r="N1414">
        <v>11.18</v>
      </c>
    </row>
    <row r="1415" spans="1:14">
      <c r="A1415" s="1" t="s">
        <v>1427</v>
      </c>
      <c r="B1415">
        <f>HYPERLINK("https://www.suredividend.com/sure-analysis-research-database/","Schrodinger Inc")</f>
        <v>0</v>
      </c>
      <c r="C1415" t="s">
        <v>1817</v>
      </c>
      <c r="D1415">
        <v>38.23</v>
      </c>
      <c r="E1415">
        <v>0</v>
      </c>
      <c r="F1415" t="s">
        <v>1812</v>
      </c>
      <c r="G1415" t="s">
        <v>1812</v>
      </c>
      <c r="H1415">
        <v>0</v>
      </c>
      <c r="I1415">
        <v>2397.638415</v>
      </c>
      <c r="J1415">
        <v>166.6183748783878</v>
      </c>
      <c r="K1415">
        <v>0</v>
      </c>
      <c r="L1415">
        <v>1.516685089328398</v>
      </c>
      <c r="M1415">
        <v>59.24</v>
      </c>
      <c r="N1415">
        <v>15.85</v>
      </c>
    </row>
    <row r="1416" spans="1:14">
      <c r="A1416" s="1" t="s">
        <v>1428</v>
      </c>
      <c r="B1416">
        <f>HYPERLINK("https://www.suredividend.com/sure-analysis-research-database/","SeaWorld Entertainment Inc")</f>
        <v>0</v>
      </c>
      <c r="C1416" t="s">
        <v>1816</v>
      </c>
      <c r="D1416">
        <v>55.1</v>
      </c>
      <c r="E1416">
        <v>0</v>
      </c>
      <c r="F1416" t="s">
        <v>1812</v>
      </c>
      <c r="G1416" t="s">
        <v>1812</v>
      </c>
      <c r="H1416">
        <v>0</v>
      </c>
      <c r="I1416">
        <v>3520.167584</v>
      </c>
      <c r="J1416">
        <v>12.40762604032287</v>
      </c>
      <c r="K1416">
        <v>0</v>
      </c>
      <c r="L1416">
        <v>1.309641013157501</v>
      </c>
      <c r="M1416">
        <v>68.19</v>
      </c>
      <c r="N1416">
        <v>44.38</v>
      </c>
    </row>
    <row r="1417" spans="1:14">
      <c r="A1417" s="1" t="s">
        <v>1429</v>
      </c>
      <c r="B1417">
        <f>HYPERLINK("https://www.suredividend.com/sure-analysis-research-database/","Vivid Seats Inc")</f>
        <v>0</v>
      </c>
      <c r="C1417" t="s">
        <v>1812</v>
      </c>
      <c r="D1417">
        <v>7.7</v>
      </c>
      <c r="E1417">
        <v>0</v>
      </c>
      <c r="F1417" t="s">
        <v>1812</v>
      </c>
      <c r="G1417" t="s">
        <v>1812</v>
      </c>
      <c r="H1417">
        <v>0</v>
      </c>
      <c r="I1417">
        <v>598.10751</v>
      </c>
      <c r="J1417">
        <v>0</v>
      </c>
      <c r="K1417" t="s">
        <v>1812</v>
      </c>
      <c r="L1417">
        <v>1.082038796019943</v>
      </c>
      <c r="M1417">
        <v>9.890000000000001</v>
      </c>
      <c r="N1417">
        <v>6.29</v>
      </c>
    </row>
    <row r="1418" spans="1:14">
      <c r="A1418" s="1" t="s">
        <v>1430</v>
      </c>
      <c r="B1418">
        <f>HYPERLINK("https://www.suredividend.com/sure-analysis-research-database/","Seer Inc")</f>
        <v>0</v>
      </c>
      <c r="C1418" t="s">
        <v>1812</v>
      </c>
      <c r="D1418">
        <v>4.81</v>
      </c>
      <c r="E1418">
        <v>0</v>
      </c>
      <c r="F1418" t="s">
        <v>1812</v>
      </c>
      <c r="G1418" t="s">
        <v>1812</v>
      </c>
      <c r="H1418">
        <v>0</v>
      </c>
      <c r="I1418">
        <v>287.139444</v>
      </c>
      <c r="J1418">
        <v>0</v>
      </c>
      <c r="K1418" t="s">
        <v>1812</v>
      </c>
      <c r="L1418">
        <v>2.354458391209297</v>
      </c>
      <c r="M1418">
        <v>13.4</v>
      </c>
      <c r="N1418">
        <v>3.07</v>
      </c>
    </row>
    <row r="1419" spans="1:14">
      <c r="A1419" s="1" t="s">
        <v>1431</v>
      </c>
      <c r="B1419">
        <f>HYPERLINK("https://www.suredividend.com/sure-analysis-research-database/","Select Medical Holdings Corporation")</f>
        <v>0</v>
      </c>
      <c r="C1419" t="s">
        <v>1817</v>
      </c>
      <c r="D1419">
        <v>30.44</v>
      </c>
      <c r="E1419">
        <v>0.016311571839208</v>
      </c>
      <c r="F1419" t="s">
        <v>1812</v>
      </c>
      <c r="G1419" t="s">
        <v>1812</v>
      </c>
      <c r="H1419">
        <v>0.496524246785518</v>
      </c>
      <c r="I1419">
        <v>3869.74311</v>
      </c>
      <c r="J1419">
        <v>22.22164031835905</v>
      </c>
      <c r="K1419">
        <v>0.357211688334905</v>
      </c>
      <c r="L1419">
        <v>1.242090585849376</v>
      </c>
      <c r="M1419">
        <v>33.51</v>
      </c>
      <c r="N1419">
        <v>18.59</v>
      </c>
    </row>
    <row r="1420" spans="1:14">
      <c r="A1420" s="1" t="s">
        <v>1432</v>
      </c>
      <c r="B1420">
        <f>HYPERLINK("https://www.suredividend.com/sure-analysis-research-database/","Seneca Foods Corp.")</f>
        <v>0</v>
      </c>
      <c r="C1420" t="s">
        <v>1819</v>
      </c>
      <c r="D1420">
        <v>37.31</v>
      </c>
      <c r="E1420">
        <v>0</v>
      </c>
      <c r="F1420" t="s">
        <v>1812</v>
      </c>
      <c r="G1420" t="s">
        <v>1812</v>
      </c>
      <c r="H1420">
        <v>0</v>
      </c>
      <c r="I1420">
        <v>283.660315</v>
      </c>
      <c r="J1420">
        <v>30.90654994116365</v>
      </c>
      <c r="K1420">
        <v>0</v>
      </c>
      <c r="L1420">
        <v>0.468787827977612</v>
      </c>
      <c r="M1420">
        <v>68.73999999999999</v>
      </c>
      <c r="N1420">
        <v>32.5</v>
      </c>
    </row>
    <row r="1421" spans="1:14">
      <c r="A1421" s="1" t="s">
        <v>1433</v>
      </c>
      <c r="B1421">
        <f>HYPERLINK("https://www.suredividend.com/sure-analysis-research-database/","Senseonics Holdings Inc")</f>
        <v>0</v>
      </c>
      <c r="C1421" t="s">
        <v>1817</v>
      </c>
      <c r="D1421">
        <v>0.835</v>
      </c>
      <c r="E1421">
        <v>0</v>
      </c>
      <c r="F1421" t="s">
        <v>1812</v>
      </c>
      <c r="G1421" t="s">
        <v>1812</v>
      </c>
      <c r="H1421">
        <v>0</v>
      </c>
      <c r="I1421">
        <v>400.692865</v>
      </c>
      <c r="J1421">
        <v>0</v>
      </c>
      <c r="K1421" t="s">
        <v>1812</v>
      </c>
      <c r="L1421">
        <v>2.117549190889844</v>
      </c>
      <c r="M1421">
        <v>2.44</v>
      </c>
      <c r="N1421">
        <v>0.54</v>
      </c>
    </row>
    <row r="1422" spans="1:14">
      <c r="A1422" s="1" t="s">
        <v>1434</v>
      </c>
      <c r="B1422">
        <f>HYPERLINK("https://www.suredividend.com/sure-analysis-research-database/","ServisFirst Bancshares Inc")</f>
        <v>0</v>
      </c>
      <c r="C1422" t="s">
        <v>1815</v>
      </c>
      <c r="D1422">
        <v>58.41</v>
      </c>
      <c r="E1422">
        <v>0.018167762358684</v>
      </c>
      <c r="F1422">
        <v>0.2173913043478262</v>
      </c>
      <c r="G1422">
        <v>0.2054607361015721</v>
      </c>
      <c r="H1422">
        <v>1.061178999370787</v>
      </c>
      <c r="I1422">
        <v>3170.61933</v>
      </c>
      <c r="J1422">
        <v>12.59181624352661</v>
      </c>
      <c r="K1422">
        <v>0.2296924241062309</v>
      </c>
      <c r="L1422">
        <v>0.9899671850540781</v>
      </c>
      <c r="M1422">
        <v>92.08</v>
      </c>
      <c r="N1422">
        <v>39.27</v>
      </c>
    </row>
    <row r="1423" spans="1:14">
      <c r="A1423" s="1" t="s">
        <v>1435</v>
      </c>
      <c r="B1423">
        <f>HYPERLINK("https://www.suredividend.com/sure-analysis-research-database/","Stitch Fix Inc")</f>
        <v>0</v>
      </c>
      <c r="C1423" t="s">
        <v>1816</v>
      </c>
      <c r="D1423">
        <v>4.64</v>
      </c>
      <c r="E1423">
        <v>0</v>
      </c>
      <c r="F1423" t="s">
        <v>1812</v>
      </c>
      <c r="G1423" t="s">
        <v>1812</v>
      </c>
      <c r="H1423">
        <v>0</v>
      </c>
      <c r="I1423">
        <v>410.000877</v>
      </c>
      <c r="J1423" t="s">
        <v>1812</v>
      </c>
      <c r="K1423">
        <v>-0</v>
      </c>
      <c r="L1423">
        <v>2.822273972221757</v>
      </c>
      <c r="M1423">
        <v>8.85</v>
      </c>
      <c r="N1423">
        <v>2.63</v>
      </c>
    </row>
    <row r="1424" spans="1:14">
      <c r="A1424" s="1" t="s">
        <v>1436</v>
      </c>
      <c r="B1424">
        <f>HYPERLINK("https://www.suredividend.com/sure-analysis-SFL/","SFL Corporation Ltd")</f>
        <v>0</v>
      </c>
      <c r="C1424" t="s">
        <v>1813</v>
      </c>
      <c r="D1424">
        <v>9.93</v>
      </c>
      <c r="E1424">
        <v>0.09667673716012085</v>
      </c>
      <c r="F1424">
        <v>0.09090909090909083</v>
      </c>
      <c r="G1424">
        <v>-0.07268210762241634</v>
      </c>
      <c r="H1424">
        <v>0.905896717401904</v>
      </c>
      <c r="I1424">
        <v>1375.922378</v>
      </c>
      <c r="J1424">
        <v>8.489208212600028</v>
      </c>
      <c r="K1424">
        <v>0.7677090825439865</v>
      </c>
      <c r="L1424">
        <v>0.6387310387784091</v>
      </c>
      <c r="M1424">
        <v>10.45</v>
      </c>
      <c r="N1424">
        <v>8.17</v>
      </c>
    </row>
    <row r="1425" spans="1:14">
      <c r="A1425" s="1" t="s">
        <v>1437</v>
      </c>
      <c r="B1425">
        <f>HYPERLINK("https://www.suredividend.com/sure-analysis-research-database/","Sprouts Farmers Market Inc")</f>
        <v>0</v>
      </c>
      <c r="C1425" t="s">
        <v>1819</v>
      </c>
      <c r="D1425">
        <v>38.48</v>
      </c>
      <c r="E1425">
        <v>0</v>
      </c>
      <c r="F1425" t="s">
        <v>1812</v>
      </c>
      <c r="G1425" t="s">
        <v>1812</v>
      </c>
      <c r="H1425">
        <v>0</v>
      </c>
      <c r="I1425">
        <v>3967.288</v>
      </c>
      <c r="J1425">
        <v>15.59750583831982</v>
      </c>
      <c r="K1425">
        <v>0</v>
      </c>
      <c r="L1425">
        <v>0.6372797841824801</v>
      </c>
      <c r="M1425">
        <v>40.39</v>
      </c>
      <c r="N1425">
        <v>26.35</v>
      </c>
    </row>
    <row r="1426" spans="1:14">
      <c r="A1426" s="1" t="s">
        <v>1438</v>
      </c>
      <c r="B1426">
        <f>HYPERLINK("https://www.suredividend.com/sure-analysis-research-database/","Simmons First National Corp.")</f>
        <v>0</v>
      </c>
      <c r="C1426" t="s">
        <v>1815</v>
      </c>
      <c r="D1426">
        <v>19.69</v>
      </c>
      <c r="E1426">
        <v>0.038700751943625</v>
      </c>
      <c r="F1426">
        <v>0.05263157894736836</v>
      </c>
      <c r="G1426">
        <v>0.05922384104881218</v>
      </c>
      <c r="H1426">
        <v>0.762017805769979</v>
      </c>
      <c r="I1426">
        <v>2484.878</v>
      </c>
      <c r="J1426">
        <v>10.4888774450626</v>
      </c>
      <c r="K1426">
        <v>0.4119015166324211</v>
      </c>
      <c r="L1426">
        <v>1.053986282247228</v>
      </c>
      <c r="M1426">
        <v>24.48</v>
      </c>
      <c r="N1426">
        <v>14.37</v>
      </c>
    </row>
    <row r="1427" spans="1:14">
      <c r="A1427" s="1" t="s">
        <v>1439</v>
      </c>
      <c r="B1427">
        <f>HYPERLINK("https://www.suredividend.com/sure-analysis-research-database/","Southern First Bancshares Inc")</f>
        <v>0</v>
      </c>
      <c r="C1427" t="s">
        <v>1815</v>
      </c>
      <c r="D1427">
        <v>29.81</v>
      </c>
      <c r="E1427">
        <v>0</v>
      </c>
      <c r="F1427" t="s">
        <v>1812</v>
      </c>
      <c r="G1427" t="s">
        <v>1812</v>
      </c>
      <c r="H1427">
        <v>0</v>
      </c>
      <c r="I1427">
        <v>239.910135</v>
      </c>
      <c r="J1427">
        <v>0</v>
      </c>
      <c r="K1427" t="s">
        <v>1812</v>
      </c>
      <c r="L1427">
        <v>0.854713509273559</v>
      </c>
      <c r="M1427">
        <v>49.96</v>
      </c>
      <c r="N1427">
        <v>20.75</v>
      </c>
    </row>
    <row r="1428" spans="1:14">
      <c r="A1428" s="1" t="s">
        <v>1440</v>
      </c>
      <c r="B1428">
        <f>HYPERLINK("https://www.suredividend.com/sure-analysis-research-database/","Sweetgreen Inc")</f>
        <v>0</v>
      </c>
      <c r="C1428" t="s">
        <v>1815</v>
      </c>
      <c r="D1428">
        <v>14.51</v>
      </c>
      <c r="E1428">
        <v>0</v>
      </c>
      <c r="F1428" t="s">
        <v>1812</v>
      </c>
      <c r="G1428" t="s">
        <v>1812</v>
      </c>
      <c r="H1428">
        <v>0</v>
      </c>
      <c r="I1428">
        <v>1432.633416</v>
      </c>
      <c r="J1428" t="s">
        <v>1812</v>
      </c>
      <c r="K1428">
        <v>-0</v>
      </c>
      <c r="L1428">
        <v>1.923513448966609</v>
      </c>
      <c r="M1428">
        <v>21.66</v>
      </c>
      <c r="N1428">
        <v>6.1</v>
      </c>
    </row>
    <row r="1429" spans="1:14">
      <c r="A1429" s="1" t="s">
        <v>1441</v>
      </c>
      <c r="B1429">
        <f>HYPERLINK("https://www.suredividend.com/sure-analysis-research-database/","Superior Group of Companies Inc..")</f>
        <v>0</v>
      </c>
      <c r="C1429" t="s">
        <v>1816</v>
      </c>
      <c r="D1429">
        <v>8.859999999999999</v>
      </c>
      <c r="E1429">
        <v>0.061077180277282</v>
      </c>
      <c r="F1429">
        <v>0</v>
      </c>
      <c r="G1429">
        <v>0.06961037572506878</v>
      </c>
      <c r="H1429">
        <v>0.541143817256725</v>
      </c>
      <c r="I1429">
        <v>146.175044</v>
      </c>
      <c r="J1429">
        <v>0</v>
      </c>
      <c r="K1429" t="s">
        <v>1812</v>
      </c>
      <c r="L1429">
        <v>0.912521100613585</v>
      </c>
      <c r="M1429">
        <v>17.65</v>
      </c>
      <c r="N1429">
        <v>6.91</v>
      </c>
    </row>
    <row r="1430" spans="1:14">
      <c r="A1430" s="1" t="s">
        <v>1442</v>
      </c>
      <c r="B1430">
        <f>HYPERLINK("https://www.suredividend.com/sure-analysis-research-database/","SMART Global Holdings Inc")</f>
        <v>0</v>
      </c>
      <c r="C1430" t="s">
        <v>1818</v>
      </c>
      <c r="D1430">
        <v>26.85</v>
      </c>
      <c r="E1430">
        <v>0</v>
      </c>
      <c r="F1430" t="s">
        <v>1812</v>
      </c>
      <c r="G1430" t="s">
        <v>1812</v>
      </c>
      <c r="H1430">
        <v>0</v>
      </c>
      <c r="I1430">
        <v>1344.323034</v>
      </c>
      <c r="J1430" t="s">
        <v>1812</v>
      </c>
      <c r="K1430">
        <v>-0</v>
      </c>
      <c r="L1430">
        <v>1.656553169085439</v>
      </c>
      <c r="M1430">
        <v>29.99</v>
      </c>
      <c r="N1430">
        <v>12.04</v>
      </c>
    </row>
    <row r="1431" spans="1:14">
      <c r="A1431" s="1" t="s">
        <v>1443</v>
      </c>
      <c r="B1431">
        <f>HYPERLINK("https://www.suredividend.com/sure-analysis-research-database/","Sight Sciences Inc")</f>
        <v>0</v>
      </c>
      <c r="C1431" t="s">
        <v>1812</v>
      </c>
      <c r="D1431">
        <v>8.039999999999999</v>
      </c>
      <c r="E1431">
        <v>0</v>
      </c>
      <c r="F1431" t="s">
        <v>1812</v>
      </c>
      <c r="G1431" t="s">
        <v>1812</v>
      </c>
      <c r="H1431">
        <v>0</v>
      </c>
      <c r="I1431">
        <v>389.619638</v>
      </c>
      <c r="J1431">
        <v>0</v>
      </c>
      <c r="K1431" t="s">
        <v>1812</v>
      </c>
      <c r="L1431">
        <v>1.744711015091276</v>
      </c>
      <c r="M1431">
        <v>15.3</v>
      </c>
      <c r="N1431">
        <v>5.35</v>
      </c>
    </row>
    <row r="1432" spans="1:14">
      <c r="A1432" s="1" t="s">
        <v>1444</v>
      </c>
      <c r="B1432">
        <f>HYPERLINK("https://www.suredividend.com/sure-analysis-research-database/","Sangamo Therapeutics Inc")</f>
        <v>0</v>
      </c>
      <c r="C1432" t="s">
        <v>1817</v>
      </c>
      <c r="D1432">
        <v>1.2</v>
      </c>
      <c r="E1432">
        <v>0</v>
      </c>
      <c r="F1432" t="s">
        <v>1812</v>
      </c>
      <c r="G1432" t="s">
        <v>1812</v>
      </c>
      <c r="H1432">
        <v>0</v>
      </c>
      <c r="I1432">
        <v>206.190636</v>
      </c>
      <c r="J1432" t="s">
        <v>1812</v>
      </c>
      <c r="K1432">
        <v>-0</v>
      </c>
      <c r="L1432">
        <v>1.59985650163863</v>
      </c>
      <c r="M1432">
        <v>6.42</v>
      </c>
      <c r="N1432">
        <v>1.07</v>
      </c>
    </row>
    <row r="1433" spans="1:14">
      <c r="A1433" s="1" t="s">
        <v>1445</v>
      </c>
      <c r="B1433">
        <f>HYPERLINK("https://www.suredividend.com/sure-analysis-research-database/","Surgery Partners Inc")</f>
        <v>0</v>
      </c>
      <c r="C1433" t="s">
        <v>1817</v>
      </c>
      <c r="D1433">
        <v>36.99</v>
      </c>
      <c r="E1433">
        <v>0</v>
      </c>
      <c r="F1433" t="s">
        <v>1812</v>
      </c>
      <c r="G1433" t="s">
        <v>1812</v>
      </c>
      <c r="H1433">
        <v>0</v>
      </c>
      <c r="I1433">
        <v>4679.195051</v>
      </c>
      <c r="J1433">
        <v>0</v>
      </c>
      <c r="K1433" t="s">
        <v>1812</v>
      </c>
      <c r="L1433">
        <v>2.05721883596658</v>
      </c>
      <c r="M1433">
        <v>45.79</v>
      </c>
      <c r="N1433">
        <v>20.46</v>
      </c>
    </row>
    <row r="1434" spans="1:14">
      <c r="A1434" s="1" t="s">
        <v>1446</v>
      </c>
      <c r="B1434">
        <f>HYPERLINK("https://www.suredividend.com/sure-analysis-research-database/","Shake Shack Inc")</f>
        <v>0</v>
      </c>
      <c r="C1434" t="s">
        <v>1816</v>
      </c>
      <c r="D1434">
        <v>74.67</v>
      </c>
      <c r="E1434">
        <v>0</v>
      </c>
      <c r="F1434" t="s">
        <v>1812</v>
      </c>
      <c r="G1434" t="s">
        <v>1812</v>
      </c>
      <c r="H1434">
        <v>0</v>
      </c>
      <c r="I1434">
        <v>2942.373067</v>
      </c>
      <c r="J1434" t="s">
        <v>1812</v>
      </c>
      <c r="K1434">
        <v>-0</v>
      </c>
      <c r="L1434">
        <v>1.239970382195897</v>
      </c>
      <c r="M1434">
        <v>80.58</v>
      </c>
      <c r="N1434">
        <v>40.83</v>
      </c>
    </row>
    <row r="1435" spans="1:14">
      <c r="A1435" s="1" t="s">
        <v>1447</v>
      </c>
      <c r="B1435">
        <f>HYPERLINK("https://www.suredividend.com/sure-analysis-research-database/","Shore Bancshares Inc.")</f>
        <v>0</v>
      </c>
      <c r="C1435" t="s">
        <v>1815</v>
      </c>
      <c r="D1435">
        <v>11.35</v>
      </c>
      <c r="E1435">
        <v>0.051392950139177</v>
      </c>
      <c r="F1435">
        <v>0</v>
      </c>
      <c r="G1435">
        <v>0.03713728933664817</v>
      </c>
      <c r="H1435">
        <v>0.5833099840796661</v>
      </c>
      <c r="I1435">
        <v>225.835604</v>
      </c>
      <c r="J1435">
        <v>7.052734252521783</v>
      </c>
      <c r="K1435">
        <v>0.3623043379376808</v>
      </c>
      <c r="L1435">
        <v>0.744073485372825</v>
      </c>
      <c r="M1435">
        <v>20.06</v>
      </c>
      <c r="N1435">
        <v>10.39</v>
      </c>
    </row>
    <row r="1436" spans="1:14">
      <c r="A1436" s="1" t="s">
        <v>1448</v>
      </c>
      <c r="B1436">
        <f>HYPERLINK("https://www.suredividend.com/sure-analysis-research-database/","Sharecare Inc")</f>
        <v>0</v>
      </c>
      <c r="C1436" t="s">
        <v>1812</v>
      </c>
      <c r="D1436">
        <v>1.26</v>
      </c>
      <c r="E1436">
        <v>0</v>
      </c>
      <c r="F1436" t="s">
        <v>1812</v>
      </c>
      <c r="G1436" t="s">
        <v>1812</v>
      </c>
      <c r="H1436">
        <v>0</v>
      </c>
      <c r="I1436">
        <v>450.350917</v>
      </c>
      <c r="J1436">
        <v>0</v>
      </c>
      <c r="K1436" t="s">
        <v>1812</v>
      </c>
      <c r="L1436">
        <v>1.428964535689874</v>
      </c>
      <c r="M1436">
        <v>2.71</v>
      </c>
      <c r="N1436">
        <v>1.11</v>
      </c>
    </row>
    <row r="1437" spans="1:14">
      <c r="A1437" s="1" t="s">
        <v>1449</v>
      </c>
      <c r="B1437">
        <f>HYPERLINK("https://www.suredividend.com/sure-analysis-research-database/","Shenandoah Telecommunications Co.")</f>
        <v>0</v>
      </c>
      <c r="C1437" t="s">
        <v>1821</v>
      </c>
      <c r="D1437">
        <v>18.86</v>
      </c>
      <c r="E1437">
        <v>0.004241781453439</v>
      </c>
      <c r="F1437" t="s">
        <v>1812</v>
      </c>
      <c r="G1437" t="s">
        <v>1812</v>
      </c>
      <c r="H1437">
        <v>0.07999999821186</v>
      </c>
      <c r="I1437">
        <v>947.978154</v>
      </c>
      <c r="J1437" t="s">
        <v>1812</v>
      </c>
      <c r="K1437" t="s">
        <v>1812</v>
      </c>
      <c r="L1437">
        <v>1.173912511223322</v>
      </c>
      <c r="M1437">
        <v>24.39</v>
      </c>
      <c r="N1437">
        <v>15.56</v>
      </c>
    </row>
    <row r="1438" spans="1:14">
      <c r="A1438" s="1" t="s">
        <v>1450</v>
      </c>
      <c r="B1438">
        <f>HYPERLINK("https://www.suredividend.com/sure-analysis-research-database/","Shoals Technologies Group Inc")</f>
        <v>0</v>
      </c>
      <c r="C1438" t="s">
        <v>1812</v>
      </c>
      <c r="D1438">
        <v>24</v>
      </c>
      <c r="E1438">
        <v>0</v>
      </c>
      <c r="F1438" t="s">
        <v>1812</v>
      </c>
      <c r="G1438" t="s">
        <v>1812</v>
      </c>
      <c r="H1438">
        <v>0</v>
      </c>
      <c r="I1438">
        <v>4078.548024</v>
      </c>
      <c r="J1438">
        <v>26.52041448998303</v>
      </c>
      <c r="K1438">
        <v>0</v>
      </c>
      <c r="L1438">
        <v>1.497687707331442</v>
      </c>
      <c r="M1438">
        <v>32.43</v>
      </c>
      <c r="N1438">
        <v>17.32</v>
      </c>
    </row>
    <row r="1439" spans="1:14">
      <c r="A1439" s="1" t="s">
        <v>1451</v>
      </c>
      <c r="B1439">
        <f>HYPERLINK("https://www.suredividend.com/sure-analysis-research-database/","Sunstone Hotel Investors Inc")</f>
        <v>0</v>
      </c>
      <c r="C1439" t="s">
        <v>1814</v>
      </c>
      <c r="D1439">
        <v>9.57</v>
      </c>
      <c r="E1439">
        <v>0.020735705087669</v>
      </c>
      <c r="F1439" t="s">
        <v>1812</v>
      </c>
      <c r="G1439" t="s">
        <v>1812</v>
      </c>
      <c r="H1439">
        <v>0.198440697688995</v>
      </c>
      <c r="I1439">
        <v>1981.96747</v>
      </c>
      <c r="J1439">
        <v>24.87752413397934</v>
      </c>
      <c r="K1439">
        <v>0.523452117354247</v>
      </c>
      <c r="L1439">
        <v>1.154577504244218</v>
      </c>
      <c r="M1439">
        <v>12.08</v>
      </c>
      <c r="N1439">
        <v>8.51</v>
      </c>
    </row>
    <row r="1440" spans="1:14">
      <c r="A1440" s="1" t="s">
        <v>1452</v>
      </c>
      <c r="B1440">
        <f>HYPERLINK("https://www.suredividend.com/sure-analysis-research-database/","Steven Madden Ltd.")</f>
        <v>0</v>
      </c>
      <c r="C1440" t="s">
        <v>1816</v>
      </c>
      <c r="D1440">
        <v>36.2</v>
      </c>
      <c r="E1440">
        <v>0.022882264575363</v>
      </c>
      <c r="F1440" t="s">
        <v>1812</v>
      </c>
      <c r="G1440" t="s">
        <v>1812</v>
      </c>
      <c r="H1440">
        <v>0.8283379776281621</v>
      </c>
      <c r="I1440">
        <v>2751.524461</v>
      </c>
      <c r="J1440">
        <v>15.43389796048868</v>
      </c>
      <c r="K1440">
        <v>0.3585878691031005</v>
      </c>
      <c r="L1440">
        <v>1.264457707997163</v>
      </c>
      <c r="M1440">
        <v>37.16</v>
      </c>
      <c r="N1440">
        <v>25.71</v>
      </c>
    </row>
    <row r="1441" spans="1:14">
      <c r="A1441" s="1" t="s">
        <v>1453</v>
      </c>
      <c r="B1441">
        <f>HYPERLINK("https://www.suredividend.com/sure-analysis-research-database/","Shyft Group Inc (The)")</f>
        <v>0</v>
      </c>
      <c r="C1441" t="s">
        <v>1812</v>
      </c>
      <c r="D1441">
        <v>15.57</v>
      </c>
      <c r="E1441">
        <v>0.012787517840155</v>
      </c>
      <c r="F1441" t="s">
        <v>1812</v>
      </c>
      <c r="G1441" t="s">
        <v>1812</v>
      </c>
      <c r="H1441">
        <v>0.199101652771223</v>
      </c>
      <c r="I1441">
        <v>544.344171</v>
      </c>
      <c r="J1441">
        <v>13.10977725783922</v>
      </c>
      <c r="K1441">
        <v>0.1701723527959171</v>
      </c>
      <c r="L1441">
        <v>1.456048746543293</v>
      </c>
      <c r="M1441">
        <v>33.9</v>
      </c>
      <c r="N1441">
        <v>12.91</v>
      </c>
    </row>
    <row r="1442" spans="1:14">
      <c r="A1442" s="1" t="s">
        <v>1454</v>
      </c>
      <c r="B1442">
        <f>HYPERLINK("https://www.suredividend.com/sure-analysis-research-database/","SI-BONE Inc")</f>
        <v>0</v>
      </c>
      <c r="C1442" t="s">
        <v>1817</v>
      </c>
      <c r="D1442">
        <v>24.18</v>
      </c>
      <c r="E1442">
        <v>0</v>
      </c>
      <c r="F1442" t="s">
        <v>1812</v>
      </c>
      <c r="G1442" t="s">
        <v>1812</v>
      </c>
      <c r="H1442">
        <v>0</v>
      </c>
      <c r="I1442">
        <v>850.750305</v>
      </c>
      <c r="J1442">
        <v>0</v>
      </c>
      <c r="K1442" t="s">
        <v>1812</v>
      </c>
      <c r="L1442">
        <v>1.246811599656554</v>
      </c>
      <c r="M1442">
        <v>29.51</v>
      </c>
      <c r="N1442">
        <v>11.14</v>
      </c>
    </row>
    <row r="1443" spans="1:14">
      <c r="A1443" s="1" t="s">
        <v>1455</v>
      </c>
      <c r="B1443">
        <f>HYPERLINK("https://www.suredividend.com/sure-analysis-research-database/","Signet Jewelers Ltd")</f>
        <v>0</v>
      </c>
      <c r="C1443" t="s">
        <v>1816</v>
      </c>
      <c r="D1443">
        <v>78.2</v>
      </c>
      <c r="E1443">
        <v>0.01095085821223</v>
      </c>
      <c r="F1443" t="s">
        <v>1812</v>
      </c>
      <c r="G1443" t="s">
        <v>1812</v>
      </c>
      <c r="H1443">
        <v>0.8563571121964401</v>
      </c>
      <c r="I1443">
        <v>3550.964328</v>
      </c>
      <c r="J1443">
        <v>6.788308790288664</v>
      </c>
      <c r="K1443">
        <v>0.09515079024404889</v>
      </c>
      <c r="L1443">
        <v>1.375500016366722</v>
      </c>
      <c r="M1443">
        <v>82.91</v>
      </c>
      <c r="N1443">
        <v>50.69</v>
      </c>
    </row>
    <row r="1444" spans="1:14">
      <c r="A1444" s="1" t="s">
        <v>1456</v>
      </c>
      <c r="B1444">
        <f>HYPERLINK("https://www.suredividend.com/sure-analysis-research-database/","SIGA Technologies Inc")</f>
        <v>0</v>
      </c>
      <c r="C1444" t="s">
        <v>1817</v>
      </c>
      <c r="D1444">
        <v>5.59</v>
      </c>
      <c r="E1444">
        <v>0</v>
      </c>
      <c r="F1444" t="s">
        <v>1812</v>
      </c>
      <c r="G1444" t="s">
        <v>1812</v>
      </c>
      <c r="H1444">
        <v>0</v>
      </c>
      <c r="I1444">
        <v>398.387382</v>
      </c>
      <c r="J1444">
        <v>11.94650835802276</v>
      </c>
      <c r="K1444">
        <v>0</v>
      </c>
      <c r="L1444">
        <v>1.112419594230144</v>
      </c>
      <c r="M1444">
        <v>23.04</v>
      </c>
      <c r="N1444">
        <v>4.36</v>
      </c>
    </row>
    <row r="1445" spans="1:14">
      <c r="A1445" s="1" t="s">
        <v>1457</v>
      </c>
      <c r="B1445">
        <f>HYPERLINK("https://www.suredividend.com/sure-analysis-research-database/","Selective Insurance Group Inc.")</f>
        <v>0</v>
      </c>
      <c r="C1445" t="s">
        <v>1815</v>
      </c>
      <c r="D1445">
        <v>101.9</v>
      </c>
      <c r="E1445">
        <v>0.011503615506108</v>
      </c>
      <c r="F1445">
        <v>0.0714285714285714</v>
      </c>
      <c r="G1445">
        <v>0.1075663432482901</v>
      </c>
      <c r="H1445">
        <v>1.172218420072457</v>
      </c>
      <c r="I1445">
        <v>6164.217747</v>
      </c>
      <c r="J1445">
        <v>24.46797819473663</v>
      </c>
      <c r="K1445">
        <v>0.2831445459112215</v>
      </c>
      <c r="L1445">
        <v>0.5445720104827341</v>
      </c>
      <c r="M1445">
        <v>104.93</v>
      </c>
      <c r="N1445">
        <v>74.01000000000001</v>
      </c>
    </row>
    <row r="1446" spans="1:14">
      <c r="A1446" s="1" t="s">
        <v>1458</v>
      </c>
      <c r="B1446">
        <f>HYPERLINK("https://www.suredividend.com/sure-analysis-research-database/","Silk Road Medical Inc")</f>
        <v>0</v>
      </c>
      <c r="C1446" t="s">
        <v>1817</v>
      </c>
      <c r="D1446">
        <v>21.13</v>
      </c>
      <c r="E1446">
        <v>0</v>
      </c>
      <c r="F1446" t="s">
        <v>1812</v>
      </c>
      <c r="G1446" t="s">
        <v>1812</v>
      </c>
      <c r="H1446">
        <v>0</v>
      </c>
      <c r="I1446">
        <v>818.336353</v>
      </c>
      <c r="J1446">
        <v>0</v>
      </c>
      <c r="K1446" t="s">
        <v>1812</v>
      </c>
      <c r="L1446">
        <v>1.046452753416072</v>
      </c>
      <c r="M1446">
        <v>58.04</v>
      </c>
      <c r="N1446">
        <v>19.64</v>
      </c>
    </row>
    <row r="1447" spans="1:14">
      <c r="A1447" s="1" t="s">
        <v>1459</v>
      </c>
      <c r="B1447">
        <f>HYPERLINK("https://www.suredividend.com/sure-analysis-research-database/","SITE Centers Corp")</f>
        <v>0</v>
      </c>
      <c r="C1447" t="s">
        <v>1814</v>
      </c>
      <c r="D1447">
        <v>13.96</v>
      </c>
      <c r="E1447">
        <v>0.036689909816575</v>
      </c>
      <c r="F1447" t="s">
        <v>1812</v>
      </c>
      <c r="G1447" t="s">
        <v>1812</v>
      </c>
      <c r="H1447">
        <v>0.512191141039396</v>
      </c>
      <c r="I1447">
        <v>2921.462611</v>
      </c>
      <c r="J1447">
        <v>28.24169955976606</v>
      </c>
      <c r="K1447">
        <v>1.048712409990573</v>
      </c>
      <c r="L1447">
        <v>1.133869159308822</v>
      </c>
      <c r="M1447">
        <v>14.99</v>
      </c>
      <c r="N1447">
        <v>10.11</v>
      </c>
    </row>
    <row r="1448" spans="1:14">
      <c r="A1448" s="1" t="s">
        <v>1460</v>
      </c>
      <c r="B1448">
        <f>HYPERLINK("https://www.suredividend.com/sure-analysis-research-database/","SiTime Corp")</f>
        <v>0</v>
      </c>
      <c r="C1448" t="s">
        <v>1818</v>
      </c>
      <c r="D1448">
        <v>138.3</v>
      </c>
      <c r="E1448">
        <v>0</v>
      </c>
      <c r="F1448" t="s">
        <v>1812</v>
      </c>
      <c r="G1448" t="s">
        <v>1812</v>
      </c>
      <c r="H1448">
        <v>0</v>
      </c>
      <c r="I1448">
        <v>3042.6</v>
      </c>
      <c r="J1448">
        <v>4875.961538461539</v>
      </c>
      <c r="K1448">
        <v>0</v>
      </c>
      <c r="L1448">
        <v>2.339597368310353</v>
      </c>
      <c r="M1448">
        <v>151.99</v>
      </c>
      <c r="N1448">
        <v>73.09999999999999</v>
      </c>
    </row>
    <row r="1449" spans="1:14">
      <c r="A1449" s="1" t="s">
        <v>1461</v>
      </c>
      <c r="B1449">
        <f>HYPERLINK("https://www.suredividend.com/sure-analysis-SJW/","SJW Group")</f>
        <v>0</v>
      </c>
      <c r="C1449" t="s">
        <v>1820</v>
      </c>
      <c r="D1449">
        <v>68.81999999999999</v>
      </c>
      <c r="E1449">
        <v>0.02208660273176402</v>
      </c>
      <c r="F1449">
        <v>0.05555555555555558</v>
      </c>
      <c r="G1449">
        <v>0.06298004826234438</v>
      </c>
      <c r="H1449">
        <v>1.469300198700147</v>
      </c>
      <c r="I1449">
        <v>2186.337969</v>
      </c>
      <c r="J1449">
        <v>24.74660685531245</v>
      </c>
      <c r="K1449">
        <v>0.5137413282168346</v>
      </c>
      <c r="L1449">
        <v>0.556258684325267</v>
      </c>
      <c r="M1449">
        <v>83.06999999999999</v>
      </c>
      <c r="N1449">
        <v>56.66</v>
      </c>
    </row>
    <row r="1450" spans="1:14">
      <c r="A1450" s="1" t="s">
        <v>1462</v>
      </c>
      <c r="B1450">
        <f>HYPERLINK("https://www.suredividend.com/sure-analysis-research-database/","Skillsoft Corp.")</f>
        <v>0</v>
      </c>
      <c r="C1450" t="s">
        <v>1812</v>
      </c>
      <c r="D1450">
        <v>1.41</v>
      </c>
      <c r="E1450">
        <v>0</v>
      </c>
      <c r="F1450" t="s">
        <v>1812</v>
      </c>
      <c r="G1450" t="s">
        <v>1812</v>
      </c>
      <c r="H1450">
        <v>0</v>
      </c>
      <c r="I1450">
        <v>225.019272</v>
      </c>
      <c r="J1450">
        <v>0</v>
      </c>
      <c r="K1450" t="s">
        <v>1812</v>
      </c>
      <c r="L1450">
        <v>1.726861985218081</v>
      </c>
      <c r="M1450">
        <v>4.93</v>
      </c>
      <c r="N1450">
        <v>1.03</v>
      </c>
    </row>
    <row r="1451" spans="1:14">
      <c r="A1451" s="1" t="s">
        <v>1463</v>
      </c>
      <c r="B1451">
        <f>HYPERLINK("https://www.suredividend.com/sure-analysis-research-database/","Beauty Health Company (The)")</f>
        <v>0</v>
      </c>
      <c r="C1451" t="s">
        <v>1812</v>
      </c>
      <c r="D1451">
        <v>7.54</v>
      </c>
      <c r="E1451">
        <v>0</v>
      </c>
      <c r="F1451" t="s">
        <v>1812</v>
      </c>
      <c r="G1451" t="s">
        <v>1812</v>
      </c>
      <c r="H1451">
        <v>0</v>
      </c>
      <c r="I1451">
        <v>1000.197467</v>
      </c>
      <c r="J1451">
        <v>0</v>
      </c>
      <c r="K1451" t="s">
        <v>1812</v>
      </c>
      <c r="L1451">
        <v>1.864847688716335</v>
      </c>
      <c r="M1451">
        <v>16.02</v>
      </c>
      <c r="N1451">
        <v>7.27</v>
      </c>
    </row>
    <row r="1452" spans="1:14">
      <c r="A1452" s="1" t="s">
        <v>1464</v>
      </c>
      <c r="B1452">
        <f>HYPERLINK("https://www.suredividend.com/sure-analysis-research-database/","Skillz Inc")</f>
        <v>0</v>
      </c>
      <c r="C1452" t="s">
        <v>1812</v>
      </c>
      <c r="D1452">
        <v>9.85</v>
      </c>
      <c r="E1452">
        <v>0</v>
      </c>
      <c r="F1452" t="s">
        <v>1812</v>
      </c>
      <c r="G1452" t="s">
        <v>1812</v>
      </c>
      <c r="H1452">
        <v>0</v>
      </c>
      <c r="I1452">
        <v>3487.119103</v>
      </c>
      <c r="J1452" t="s">
        <v>1812</v>
      </c>
      <c r="K1452">
        <v>-0</v>
      </c>
      <c r="L1452">
        <v>3.018268353612353</v>
      </c>
      <c r="M1452">
        <v>43.59</v>
      </c>
      <c r="N1452">
        <v>8.119999999999999</v>
      </c>
    </row>
    <row r="1453" spans="1:14">
      <c r="A1453" s="1" t="s">
        <v>1465</v>
      </c>
      <c r="B1453">
        <f>HYPERLINK("https://www.suredividend.com/sure-analysis-SKT/","Tanger Factory Outlet Centers, Inc.")</f>
        <v>0</v>
      </c>
      <c r="C1453" t="s">
        <v>1814</v>
      </c>
      <c r="D1453">
        <v>23.61</v>
      </c>
      <c r="E1453">
        <v>0.03727234222786955</v>
      </c>
      <c r="F1453" t="s">
        <v>1812</v>
      </c>
      <c r="G1453" t="s">
        <v>1812</v>
      </c>
      <c r="H1453">
        <v>0.914471161696473</v>
      </c>
      <c r="I1453">
        <v>2483.327683</v>
      </c>
      <c r="J1453">
        <v>29.48164832559685</v>
      </c>
      <c r="K1453">
        <v>1.148111941866256</v>
      </c>
      <c r="L1453">
        <v>1.090349055615234</v>
      </c>
      <c r="M1453">
        <v>23.65</v>
      </c>
      <c r="N1453">
        <v>12.63</v>
      </c>
    </row>
    <row r="1454" spans="1:14">
      <c r="A1454" s="1" t="s">
        <v>1466</v>
      </c>
      <c r="B1454">
        <f>HYPERLINK("https://www.suredividend.com/sure-analysis-research-database/","Skyward Specialty Insurance Group Inc")</f>
        <v>0</v>
      </c>
      <c r="C1454" t="s">
        <v>1812</v>
      </c>
      <c r="D1454">
        <v>23.56</v>
      </c>
      <c r="E1454">
        <v>0</v>
      </c>
      <c r="F1454" t="s">
        <v>1812</v>
      </c>
      <c r="G1454" t="s">
        <v>1812</v>
      </c>
      <c r="H1454">
        <v>0</v>
      </c>
      <c r="I1454">
        <v>887.225095</v>
      </c>
      <c r="J1454">
        <v>0</v>
      </c>
      <c r="K1454" t="s">
        <v>1812</v>
      </c>
      <c r="L1454">
        <v>0.486320619298425</v>
      </c>
      <c r="M1454">
        <v>26.05</v>
      </c>
      <c r="N1454">
        <v>17.5</v>
      </c>
    </row>
    <row r="1455" spans="1:14">
      <c r="A1455" s="1" t="s">
        <v>1467</v>
      </c>
      <c r="B1455">
        <f>HYPERLINK("https://www.suredividend.com/sure-analysis-research-database/","Skyline Champion Corp")</f>
        <v>0</v>
      </c>
      <c r="C1455" t="s">
        <v>1816</v>
      </c>
      <c r="D1455">
        <v>65.81999999999999</v>
      </c>
      <c r="E1455">
        <v>0</v>
      </c>
      <c r="F1455" t="s">
        <v>1812</v>
      </c>
      <c r="G1455" t="s">
        <v>1812</v>
      </c>
      <c r="H1455">
        <v>0</v>
      </c>
      <c r="I1455">
        <v>3760.516702</v>
      </c>
      <c r="J1455">
        <v>9.359128879597412</v>
      </c>
      <c r="K1455">
        <v>0</v>
      </c>
      <c r="L1455">
        <v>1.657605667362632</v>
      </c>
      <c r="M1455">
        <v>76.81999999999999</v>
      </c>
      <c r="N1455">
        <v>44.68</v>
      </c>
    </row>
    <row r="1456" spans="1:14">
      <c r="A1456" s="1" t="s">
        <v>1468</v>
      </c>
      <c r="B1456">
        <f>HYPERLINK("https://www.suredividend.com/sure-analysis-research-database/","SkyWater Technology Inc")</f>
        <v>0</v>
      </c>
      <c r="C1456" t="s">
        <v>1812</v>
      </c>
      <c r="D1456">
        <v>9.880000000000001</v>
      </c>
      <c r="E1456">
        <v>0</v>
      </c>
      <c r="F1456" t="s">
        <v>1812</v>
      </c>
      <c r="G1456" t="s">
        <v>1812</v>
      </c>
      <c r="H1456">
        <v>0</v>
      </c>
      <c r="I1456">
        <v>439.381671</v>
      </c>
      <c r="J1456">
        <v>0</v>
      </c>
      <c r="K1456" t="s">
        <v>1812</v>
      </c>
      <c r="L1456">
        <v>2.01760122647383</v>
      </c>
      <c r="M1456">
        <v>20.95</v>
      </c>
      <c r="N1456">
        <v>6.31</v>
      </c>
    </row>
    <row r="1457" spans="1:14">
      <c r="A1457" s="1" t="s">
        <v>1469</v>
      </c>
      <c r="B1457">
        <f>HYPERLINK("https://www.suredividend.com/sure-analysis-research-database/","Skywest Inc.")</f>
        <v>0</v>
      </c>
      <c r="C1457" t="s">
        <v>1813</v>
      </c>
      <c r="D1457">
        <v>43.03</v>
      </c>
      <c r="E1457">
        <v>0</v>
      </c>
      <c r="F1457" t="s">
        <v>1812</v>
      </c>
      <c r="G1457" t="s">
        <v>1812</v>
      </c>
      <c r="H1457">
        <v>0</v>
      </c>
      <c r="I1457">
        <v>1912.014254</v>
      </c>
      <c r="J1457">
        <v>57.68113474146253</v>
      </c>
      <c r="K1457">
        <v>0</v>
      </c>
      <c r="L1457">
        <v>1.265241578943433</v>
      </c>
      <c r="M1457">
        <v>45.98</v>
      </c>
      <c r="N1457">
        <v>14.76</v>
      </c>
    </row>
    <row r="1458" spans="1:14">
      <c r="A1458" s="1" t="s">
        <v>1470</v>
      </c>
      <c r="B1458">
        <f>HYPERLINK("https://www.suredividend.com/sure-analysis-research-database/","Silicon Laboratories Inc")</f>
        <v>0</v>
      </c>
      <c r="C1458" t="s">
        <v>1818</v>
      </c>
      <c r="D1458">
        <v>142.12</v>
      </c>
      <c r="E1458">
        <v>0</v>
      </c>
      <c r="F1458" t="s">
        <v>1812</v>
      </c>
      <c r="G1458" t="s">
        <v>1812</v>
      </c>
      <c r="H1458">
        <v>0</v>
      </c>
      <c r="I1458">
        <v>4528.563412</v>
      </c>
      <c r="J1458">
        <v>63.52936060042366</v>
      </c>
      <c r="K1458">
        <v>0</v>
      </c>
      <c r="L1458">
        <v>1.59419560190793</v>
      </c>
      <c r="M1458">
        <v>194.68</v>
      </c>
      <c r="N1458">
        <v>109.44</v>
      </c>
    </row>
    <row r="1459" spans="1:14">
      <c r="A1459" s="1" t="s">
        <v>1471</v>
      </c>
      <c r="B1459">
        <f>HYPERLINK("https://www.suredividend.com/sure-analysis-research-database/","U.S. Silica Holdings Inc")</f>
        <v>0</v>
      </c>
      <c r="C1459" t="s">
        <v>1822</v>
      </c>
      <c r="D1459">
        <v>12.74</v>
      </c>
      <c r="E1459">
        <v>0</v>
      </c>
      <c r="F1459" t="s">
        <v>1812</v>
      </c>
      <c r="G1459" t="s">
        <v>1812</v>
      </c>
      <c r="H1459">
        <v>0</v>
      </c>
      <c r="I1459">
        <v>982.467344</v>
      </c>
      <c r="J1459">
        <v>6.356214378396563</v>
      </c>
      <c r="K1459">
        <v>0</v>
      </c>
      <c r="L1459">
        <v>1.321037946009341</v>
      </c>
      <c r="M1459">
        <v>15.83</v>
      </c>
      <c r="N1459">
        <v>10.36</v>
      </c>
    </row>
    <row r="1460" spans="1:14">
      <c r="A1460" s="1" t="s">
        <v>1472</v>
      </c>
      <c r="B1460">
        <f>HYPERLINK("https://www.suredividend.com/sure-analysis-research-database/","Solid Power Inc")</f>
        <v>0</v>
      </c>
      <c r="C1460" t="s">
        <v>1812</v>
      </c>
      <c r="D1460">
        <v>2.68</v>
      </c>
      <c r="E1460">
        <v>0</v>
      </c>
      <c r="F1460" t="s">
        <v>1812</v>
      </c>
      <c r="G1460" t="s">
        <v>1812</v>
      </c>
      <c r="H1460">
        <v>0</v>
      </c>
      <c r="I1460">
        <v>476.583634</v>
      </c>
      <c r="J1460">
        <v>0</v>
      </c>
      <c r="K1460" t="s">
        <v>1812</v>
      </c>
      <c r="L1460">
        <v>1.4517744277022</v>
      </c>
      <c r="M1460">
        <v>7.77</v>
      </c>
      <c r="N1460">
        <v>1.83</v>
      </c>
    </row>
    <row r="1461" spans="1:14">
      <c r="A1461" s="1" t="s">
        <v>1473</v>
      </c>
      <c r="B1461">
        <f>HYPERLINK("https://www.suredividend.com/sure-analysis-research-database/","SomaLogic Inc")</f>
        <v>0</v>
      </c>
      <c r="C1461" t="s">
        <v>1812</v>
      </c>
      <c r="D1461">
        <v>2.145</v>
      </c>
      <c r="E1461">
        <v>0</v>
      </c>
      <c r="F1461" t="s">
        <v>1812</v>
      </c>
      <c r="G1461" t="s">
        <v>1812</v>
      </c>
      <c r="H1461">
        <v>0</v>
      </c>
      <c r="I1461">
        <v>403.142669</v>
      </c>
      <c r="J1461">
        <v>0</v>
      </c>
      <c r="K1461" t="s">
        <v>1812</v>
      </c>
      <c r="L1461">
        <v>1.767293752495535</v>
      </c>
      <c r="M1461">
        <v>5.15</v>
      </c>
      <c r="N1461">
        <v>1.98</v>
      </c>
    </row>
    <row r="1462" spans="1:14">
      <c r="A1462" s="1" t="s">
        <v>1474</v>
      </c>
      <c r="B1462">
        <f>HYPERLINK("https://www.suredividend.com/sure-analysis-research-database/","Simulations Plus Inc.")</f>
        <v>0</v>
      </c>
      <c r="C1462" t="s">
        <v>1817</v>
      </c>
      <c r="D1462">
        <v>49.37</v>
      </c>
      <c r="E1462">
        <v>0.004843846830152001</v>
      </c>
      <c r="F1462">
        <v>0</v>
      </c>
      <c r="G1462">
        <v>0</v>
      </c>
      <c r="H1462">
        <v>0.23914071800461</v>
      </c>
      <c r="I1462">
        <v>983.787054</v>
      </c>
      <c r="J1462">
        <v>94.7041830987678</v>
      </c>
      <c r="K1462">
        <v>0.4744855515964485</v>
      </c>
      <c r="L1462">
        <v>1.080706888041559</v>
      </c>
      <c r="M1462">
        <v>67.04000000000001</v>
      </c>
      <c r="N1462">
        <v>32.36</v>
      </c>
    </row>
    <row r="1463" spans="1:14">
      <c r="A1463" s="1" t="s">
        <v>1475</v>
      </c>
      <c r="B1463">
        <f>HYPERLINK("https://www.suredividend.com/sure-analysis-research-database/","SelectQuote Inc")</f>
        <v>0</v>
      </c>
      <c r="C1463" t="s">
        <v>1812</v>
      </c>
      <c r="D1463">
        <v>1.84</v>
      </c>
      <c r="E1463">
        <v>0</v>
      </c>
      <c r="F1463" t="s">
        <v>1812</v>
      </c>
      <c r="G1463" t="s">
        <v>1812</v>
      </c>
      <c r="H1463">
        <v>0</v>
      </c>
      <c r="I1463">
        <v>306.648679</v>
      </c>
      <c r="J1463" t="s">
        <v>1812</v>
      </c>
      <c r="K1463">
        <v>-0</v>
      </c>
      <c r="L1463">
        <v>3.24904850678253</v>
      </c>
      <c r="M1463">
        <v>2.94</v>
      </c>
      <c r="N1463">
        <v>0.51</v>
      </c>
    </row>
    <row r="1464" spans="1:14">
      <c r="A1464" s="1" t="s">
        <v>1476</v>
      </c>
      <c r="B1464">
        <f>HYPERLINK("https://www.suredividend.com/sure-analysis-research-database/","Sylvamo Corp")</f>
        <v>0</v>
      </c>
      <c r="C1464" t="s">
        <v>1812</v>
      </c>
      <c r="D1464">
        <v>47.99</v>
      </c>
      <c r="E1464">
        <v>0.017930153070344</v>
      </c>
      <c r="F1464" t="s">
        <v>1812</v>
      </c>
      <c r="G1464" t="s">
        <v>1812</v>
      </c>
      <c r="H1464">
        <v>0.86046804584581</v>
      </c>
      <c r="I1464">
        <v>2042.611663</v>
      </c>
      <c r="J1464">
        <v>10.80746911761905</v>
      </c>
      <c r="K1464">
        <v>0.2010439359452827</v>
      </c>
      <c r="L1464">
        <v>0.9411286355944131</v>
      </c>
      <c r="M1464">
        <v>57.06</v>
      </c>
      <c r="N1464">
        <v>33</v>
      </c>
    </row>
    <row r="1465" spans="1:14">
      <c r="A1465" s="1" t="s">
        <v>1477</v>
      </c>
      <c r="B1465">
        <f>HYPERLINK("https://www.suredividend.com/sure-analysis-research-database/","SM Energy Co")</f>
        <v>0</v>
      </c>
      <c r="C1465" t="s">
        <v>1822</v>
      </c>
      <c r="D1465">
        <v>37.3</v>
      </c>
      <c r="E1465">
        <v>0.015974366046912</v>
      </c>
      <c r="F1465" t="s">
        <v>1812</v>
      </c>
      <c r="G1465" t="s">
        <v>1812</v>
      </c>
      <c r="H1465">
        <v>0.59584385354983</v>
      </c>
      <c r="I1465">
        <v>4495.318341</v>
      </c>
      <c r="J1465">
        <v>3.562792921996608</v>
      </c>
      <c r="K1465">
        <v>0.05835884951516455</v>
      </c>
      <c r="L1465">
        <v>1.317266092568119</v>
      </c>
      <c r="M1465">
        <v>47.87</v>
      </c>
      <c r="N1465">
        <v>24.43</v>
      </c>
    </row>
    <row r="1466" spans="1:14">
      <c r="A1466" s="1" t="s">
        <v>1478</v>
      </c>
      <c r="B1466">
        <f>HYPERLINK("https://www.suredividend.com/sure-analysis-research-database/","Southern Missouri Bancorp, Inc.")</f>
        <v>0</v>
      </c>
      <c r="C1466" t="s">
        <v>1815</v>
      </c>
      <c r="D1466">
        <v>47.1</v>
      </c>
      <c r="E1466">
        <v>0.017601937865898</v>
      </c>
      <c r="F1466">
        <v>0.04999999999999982</v>
      </c>
      <c r="G1466">
        <v>0.1006650808520966</v>
      </c>
      <c r="H1466">
        <v>0.829051273483817</v>
      </c>
      <c r="I1466">
        <v>533.6765349999999</v>
      </c>
      <c r="J1466">
        <v>0</v>
      </c>
      <c r="K1466" t="s">
        <v>1812</v>
      </c>
      <c r="L1466">
        <v>0.8516740724814431</v>
      </c>
      <c r="M1466">
        <v>54.84</v>
      </c>
      <c r="N1466">
        <v>29.88</v>
      </c>
    </row>
    <row r="1467" spans="1:14">
      <c r="A1467" s="1" t="s">
        <v>1479</v>
      </c>
      <c r="B1467">
        <f>HYPERLINK("https://www.suredividend.com/sure-analysis-research-database/","SmartFinancial Inc")</f>
        <v>0</v>
      </c>
      <c r="C1467" t="s">
        <v>1815</v>
      </c>
      <c r="D1467">
        <v>25.21</v>
      </c>
      <c r="E1467">
        <v>0.011796515488366</v>
      </c>
      <c r="F1467" t="s">
        <v>1812</v>
      </c>
      <c r="G1467" t="s">
        <v>1812</v>
      </c>
      <c r="H1467">
        <v>0.297390155461711</v>
      </c>
      <c r="I1467">
        <v>428.673159</v>
      </c>
      <c r="J1467">
        <v>0</v>
      </c>
      <c r="K1467" t="s">
        <v>1812</v>
      </c>
      <c r="L1467">
        <v>0.8311416480573761</v>
      </c>
      <c r="M1467">
        <v>30.17</v>
      </c>
      <c r="N1467">
        <v>18.71</v>
      </c>
    </row>
    <row r="1468" spans="1:14">
      <c r="A1468" s="1" t="s">
        <v>1480</v>
      </c>
      <c r="B1468">
        <f>HYPERLINK("https://www.suredividend.com/sure-analysis-research-database/","Super Micro Computer Inc")</f>
        <v>0</v>
      </c>
      <c r="C1468" t="s">
        <v>1818</v>
      </c>
      <c r="D1468">
        <v>321.21</v>
      </c>
      <c r="E1468">
        <v>0</v>
      </c>
      <c r="F1468" t="s">
        <v>1812</v>
      </c>
      <c r="G1468" t="s">
        <v>1812</v>
      </c>
      <c r="H1468">
        <v>0</v>
      </c>
      <c r="I1468">
        <v>16863.525</v>
      </c>
      <c r="J1468">
        <v>28.71604305484366</v>
      </c>
      <c r="K1468">
        <v>0</v>
      </c>
      <c r="L1468">
        <v>1.276990921932503</v>
      </c>
      <c r="M1468">
        <v>337.88</v>
      </c>
      <c r="N1468">
        <v>50.28</v>
      </c>
    </row>
    <row r="1469" spans="1:14">
      <c r="A1469" s="1" t="s">
        <v>1481</v>
      </c>
      <c r="B1469">
        <f>HYPERLINK("https://www.suredividend.com/sure-analysis-research-database/","Summit Financial Group Inc")</f>
        <v>0</v>
      </c>
      <c r="C1469" t="s">
        <v>1815</v>
      </c>
      <c r="D1469">
        <v>23.53</v>
      </c>
      <c r="E1469">
        <v>0.03330555319139501</v>
      </c>
      <c r="F1469">
        <v>0.1111111111111112</v>
      </c>
      <c r="G1469">
        <v>0.08997698704834534</v>
      </c>
      <c r="H1469">
        <v>0.78367966659354</v>
      </c>
      <c r="I1469">
        <v>345.151311</v>
      </c>
      <c r="J1469">
        <v>0</v>
      </c>
      <c r="K1469" t="s">
        <v>1812</v>
      </c>
      <c r="L1469">
        <v>0.689891747187369</v>
      </c>
      <c r="M1469">
        <v>28.91</v>
      </c>
      <c r="N1469">
        <v>16.74</v>
      </c>
    </row>
    <row r="1470" spans="1:14">
      <c r="A1470" s="1" t="s">
        <v>1482</v>
      </c>
      <c r="B1470">
        <f>HYPERLINK("https://www.suredividend.com/sure-analysis-research-database/","Standard Motor Products, Inc.")</f>
        <v>0</v>
      </c>
      <c r="C1470" t="s">
        <v>1816</v>
      </c>
      <c r="D1470">
        <v>36.59</v>
      </c>
      <c r="E1470">
        <v>0.030275298949849</v>
      </c>
      <c r="F1470" t="s">
        <v>1812</v>
      </c>
      <c r="G1470" t="s">
        <v>1812</v>
      </c>
      <c r="H1470">
        <v>1.107773188574991</v>
      </c>
      <c r="I1470">
        <v>792.928388</v>
      </c>
      <c r="J1470">
        <v>16.58048194989858</v>
      </c>
      <c r="K1470">
        <v>0.5104945569470005</v>
      </c>
      <c r="L1470">
        <v>0.8835899661986941</v>
      </c>
      <c r="M1470">
        <v>41.78</v>
      </c>
      <c r="N1470">
        <v>30.93</v>
      </c>
    </row>
    <row r="1471" spans="1:14">
      <c r="A1471" s="1" t="s">
        <v>1483</v>
      </c>
      <c r="B1471">
        <f>HYPERLINK("https://www.suredividend.com/sure-analysis-research-database/","Simply Good Foods Co")</f>
        <v>0</v>
      </c>
      <c r="C1471" t="s">
        <v>1819</v>
      </c>
      <c r="D1471">
        <v>38.54</v>
      </c>
      <c r="E1471">
        <v>0</v>
      </c>
      <c r="F1471" t="s">
        <v>1812</v>
      </c>
      <c r="G1471" t="s">
        <v>1812</v>
      </c>
      <c r="H1471">
        <v>0</v>
      </c>
      <c r="I1471">
        <v>3836.618036</v>
      </c>
      <c r="J1471">
        <v>30.19532532708956</v>
      </c>
      <c r="K1471">
        <v>0</v>
      </c>
      <c r="L1471">
        <v>0.816258993911389</v>
      </c>
      <c r="M1471">
        <v>40.16</v>
      </c>
      <c r="N1471">
        <v>29.21</v>
      </c>
    </row>
    <row r="1472" spans="1:14">
      <c r="A1472" s="1" t="s">
        <v>1484</v>
      </c>
      <c r="B1472">
        <f>HYPERLINK("https://www.suredividend.com/sure-analysis-research-database/","NuScale Power Corporation")</f>
        <v>0</v>
      </c>
      <c r="C1472" t="s">
        <v>1812</v>
      </c>
      <c r="D1472">
        <v>7.1</v>
      </c>
      <c r="E1472">
        <v>0</v>
      </c>
      <c r="F1472" t="s">
        <v>1812</v>
      </c>
      <c r="G1472" t="s">
        <v>1812</v>
      </c>
      <c r="H1472">
        <v>0</v>
      </c>
      <c r="I1472">
        <v>521.919552</v>
      </c>
      <c r="J1472">
        <v>0</v>
      </c>
      <c r="K1472" t="s">
        <v>1812</v>
      </c>
      <c r="L1472">
        <v>0.76042897741878</v>
      </c>
      <c r="M1472">
        <v>15.82</v>
      </c>
      <c r="N1472">
        <v>6.42</v>
      </c>
    </row>
    <row r="1473" spans="1:14">
      <c r="A1473" s="1" t="s">
        <v>1485</v>
      </c>
      <c r="B1473">
        <f>HYPERLINK("https://www.suredividend.com/sure-analysis-research-database/","SmartRent Inc")</f>
        <v>0</v>
      </c>
      <c r="C1473" t="s">
        <v>1816</v>
      </c>
      <c r="D1473">
        <v>3.81</v>
      </c>
      <c r="E1473">
        <v>0</v>
      </c>
      <c r="F1473" t="s">
        <v>1812</v>
      </c>
      <c r="G1473" t="s">
        <v>1812</v>
      </c>
      <c r="H1473">
        <v>0</v>
      </c>
      <c r="I1473">
        <v>759.940482</v>
      </c>
      <c r="J1473">
        <v>0</v>
      </c>
      <c r="K1473" t="s">
        <v>1812</v>
      </c>
      <c r="L1473">
        <v>1.395066821688923</v>
      </c>
      <c r="M1473">
        <v>5.92</v>
      </c>
      <c r="N1473">
        <v>2.03</v>
      </c>
    </row>
    <row r="1474" spans="1:14">
      <c r="A1474" s="1" t="s">
        <v>1486</v>
      </c>
      <c r="B1474">
        <f>HYPERLINK("https://www.suredividend.com/sure-analysis-research-database/","Semtech Corp.")</f>
        <v>0</v>
      </c>
      <c r="C1474" t="s">
        <v>1818</v>
      </c>
      <c r="D1474">
        <v>27.48</v>
      </c>
      <c r="E1474">
        <v>0</v>
      </c>
      <c r="F1474" t="s">
        <v>1812</v>
      </c>
      <c r="G1474" t="s">
        <v>1812</v>
      </c>
      <c r="H1474">
        <v>0</v>
      </c>
      <c r="I1474">
        <v>1757.558915</v>
      </c>
      <c r="J1474" t="s">
        <v>1812</v>
      </c>
      <c r="K1474">
        <v>-0</v>
      </c>
      <c r="L1474">
        <v>1.434060856298613</v>
      </c>
      <c r="M1474">
        <v>56.28</v>
      </c>
      <c r="N1474">
        <v>17.82</v>
      </c>
    </row>
    <row r="1475" spans="1:14">
      <c r="A1475" s="1" t="s">
        <v>1487</v>
      </c>
      <c r="B1475">
        <f>HYPERLINK("https://www.suredividend.com/sure-analysis-research-database/","Sleep Number Corp")</f>
        <v>0</v>
      </c>
      <c r="C1475" t="s">
        <v>1816</v>
      </c>
      <c r="D1475">
        <v>28.55</v>
      </c>
      <c r="E1475">
        <v>0</v>
      </c>
      <c r="F1475" t="s">
        <v>1812</v>
      </c>
      <c r="G1475" t="s">
        <v>1812</v>
      </c>
      <c r="H1475">
        <v>0</v>
      </c>
      <c r="I1475">
        <v>633.3532</v>
      </c>
      <c r="J1475">
        <v>13.7682485163366</v>
      </c>
      <c r="K1475">
        <v>0</v>
      </c>
      <c r="L1475">
        <v>1.645703675023185</v>
      </c>
      <c r="M1475">
        <v>50.61</v>
      </c>
      <c r="N1475">
        <v>17.5</v>
      </c>
    </row>
    <row r="1476" spans="1:14">
      <c r="A1476" s="1" t="s">
        <v>1488</v>
      </c>
      <c r="B1476">
        <f>HYPERLINK("https://www.suredividend.com/sure-analysis-research-database/","Science 37 Holdings Inc")</f>
        <v>0</v>
      </c>
      <c r="C1476" t="s">
        <v>1812</v>
      </c>
      <c r="D1476">
        <v>0.265</v>
      </c>
      <c r="E1476">
        <v>0</v>
      </c>
      <c r="F1476" t="s">
        <v>1812</v>
      </c>
      <c r="G1476" t="s">
        <v>1812</v>
      </c>
      <c r="H1476">
        <v>0</v>
      </c>
      <c r="I1476">
        <v>30.941567</v>
      </c>
      <c r="J1476">
        <v>0</v>
      </c>
      <c r="K1476" t="s">
        <v>1812</v>
      </c>
      <c r="L1476">
        <v>0.658628385264722</v>
      </c>
      <c r="M1476">
        <v>2.53</v>
      </c>
      <c r="N1476">
        <v>0.19</v>
      </c>
    </row>
    <row r="1477" spans="1:14">
      <c r="A1477" s="1" t="s">
        <v>1489</v>
      </c>
      <c r="B1477">
        <f>HYPERLINK("https://www.suredividend.com/sure-analysis-research-database/","Sun Country Airlines Holdings Inc")</f>
        <v>0</v>
      </c>
      <c r="C1477" t="s">
        <v>1812</v>
      </c>
      <c r="D1477">
        <v>20.39</v>
      </c>
      <c r="E1477">
        <v>0</v>
      </c>
      <c r="F1477" t="s">
        <v>1812</v>
      </c>
      <c r="G1477" t="s">
        <v>1812</v>
      </c>
      <c r="H1477">
        <v>0</v>
      </c>
      <c r="I1477">
        <v>1146.754092</v>
      </c>
      <c r="J1477">
        <v>21.89841105944583</v>
      </c>
      <c r="K1477">
        <v>0</v>
      </c>
      <c r="L1477">
        <v>1.069649908045024</v>
      </c>
      <c r="M1477">
        <v>23.8</v>
      </c>
      <c r="N1477">
        <v>13.25</v>
      </c>
    </row>
    <row r="1478" spans="1:14">
      <c r="A1478" s="1" t="s">
        <v>1490</v>
      </c>
      <c r="B1478">
        <f>HYPERLINK("https://www.suredividend.com/sure-analysis-research-database/","Syndax Pharmaceuticals Inc")</f>
        <v>0</v>
      </c>
      <c r="C1478" t="s">
        <v>1817</v>
      </c>
      <c r="D1478">
        <v>20.35</v>
      </c>
      <c r="E1478">
        <v>0</v>
      </c>
      <c r="F1478" t="s">
        <v>1812</v>
      </c>
      <c r="G1478" t="s">
        <v>1812</v>
      </c>
      <c r="H1478">
        <v>0</v>
      </c>
      <c r="I1478">
        <v>1400.50735</v>
      </c>
      <c r="J1478" t="s">
        <v>1812</v>
      </c>
      <c r="K1478">
        <v>-0</v>
      </c>
      <c r="L1478">
        <v>0.732007048084748</v>
      </c>
      <c r="M1478">
        <v>29.86</v>
      </c>
      <c r="N1478">
        <v>19.27</v>
      </c>
    </row>
    <row r="1479" spans="1:14">
      <c r="A1479" s="1" t="s">
        <v>1491</v>
      </c>
      <c r="B1479">
        <f>HYPERLINK("https://www.suredividend.com/sure-analysis-research-database/","StoneX Group Inc")</f>
        <v>0</v>
      </c>
      <c r="C1479" t="s">
        <v>1812</v>
      </c>
      <c r="D1479">
        <v>98.25</v>
      </c>
      <c r="E1479">
        <v>0</v>
      </c>
      <c r="F1479" t="s">
        <v>1812</v>
      </c>
      <c r="G1479" t="s">
        <v>1812</v>
      </c>
      <c r="H1479">
        <v>0</v>
      </c>
      <c r="I1479">
        <v>2043.085563</v>
      </c>
      <c r="J1479">
        <v>9.605479844851905</v>
      </c>
      <c r="K1479">
        <v>0</v>
      </c>
      <c r="L1479">
        <v>0.8050764669664281</v>
      </c>
      <c r="M1479">
        <v>106.35</v>
      </c>
      <c r="N1479">
        <v>74.43000000000001</v>
      </c>
    </row>
    <row r="1480" spans="1:14">
      <c r="A1480" s="1" t="s">
        <v>1492</v>
      </c>
      <c r="B1480">
        <f>HYPERLINK("https://www.suredividend.com/sure-analysis-research-database/","Snap One Holdings Corp")</f>
        <v>0</v>
      </c>
      <c r="C1480" t="s">
        <v>1812</v>
      </c>
      <c r="D1480">
        <v>10.64</v>
      </c>
      <c r="E1480">
        <v>0</v>
      </c>
      <c r="F1480" t="s">
        <v>1812</v>
      </c>
      <c r="G1480" t="s">
        <v>1812</v>
      </c>
      <c r="H1480">
        <v>0</v>
      </c>
      <c r="I1480">
        <v>811.003665</v>
      </c>
      <c r="J1480">
        <v>0</v>
      </c>
      <c r="K1480" t="s">
        <v>1812</v>
      </c>
      <c r="L1480">
        <v>1.006977090128558</v>
      </c>
      <c r="M1480">
        <v>13.26</v>
      </c>
      <c r="N1480">
        <v>7.02</v>
      </c>
    </row>
    <row r="1481" spans="1:14">
      <c r="A1481" s="1" t="s">
        <v>1493</v>
      </c>
      <c r="B1481">
        <f>HYPERLINK("https://www.suredividend.com/sure-analysis-research-database/","Solaris Oilfield Infrastructure Inc")</f>
        <v>0</v>
      </c>
      <c r="C1481" t="s">
        <v>1822</v>
      </c>
      <c r="D1481">
        <v>10.9</v>
      </c>
      <c r="E1481">
        <v>0.03913435340674101</v>
      </c>
      <c r="F1481" t="s">
        <v>1812</v>
      </c>
      <c r="G1481" t="s">
        <v>1812</v>
      </c>
      <c r="H1481">
        <v>0.426564452133484</v>
      </c>
      <c r="I1481">
        <v>332.201883</v>
      </c>
      <c r="J1481">
        <v>12.55629448917111</v>
      </c>
      <c r="K1481">
        <v>0.499841167252735</v>
      </c>
      <c r="L1481">
        <v>1.119794033354751</v>
      </c>
      <c r="M1481">
        <v>13.46</v>
      </c>
      <c r="N1481">
        <v>7.15</v>
      </c>
    </row>
    <row r="1482" spans="1:14">
      <c r="A1482" s="1" t="s">
        <v>1494</v>
      </c>
      <c r="B1482">
        <f>HYPERLINK("https://www.suredividend.com/sure-analysis-research-database/","Sonder Holdings Inc")</f>
        <v>0</v>
      </c>
      <c r="C1482" t="s">
        <v>1812</v>
      </c>
      <c r="D1482">
        <v>0.5650000000000001</v>
      </c>
      <c r="E1482">
        <v>0</v>
      </c>
      <c r="F1482" t="s">
        <v>1812</v>
      </c>
      <c r="G1482" t="s">
        <v>1812</v>
      </c>
      <c r="H1482">
        <v>0</v>
      </c>
      <c r="I1482">
        <v>123.894814</v>
      </c>
      <c r="J1482">
        <v>0</v>
      </c>
      <c r="K1482" t="s">
        <v>1812</v>
      </c>
      <c r="L1482">
        <v>2.673975789188119</v>
      </c>
      <c r="M1482">
        <v>2.77</v>
      </c>
      <c r="N1482">
        <v>0.2711</v>
      </c>
    </row>
    <row r="1483" spans="1:14">
      <c r="A1483" s="1" t="s">
        <v>1495</v>
      </c>
      <c r="B1483">
        <f>HYPERLINK("https://www.suredividend.com/sure-analysis-research-database/","Sonos Inc")</f>
        <v>0</v>
      </c>
      <c r="C1483" t="s">
        <v>1818</v>
      </c>
      <c r="D1483">
        <v>16.76</v>
      </c>
      <c r="E1483">
        <v>0</v>
      </c>
      <c r="F1483" t="s">
        <v>1812</v>
      </c>
      <c r="G1483" t="s">
        <v>1812</v>
      </c>
      <c r="H1483">
        <v>0</v>
      </c>
      <c r="I1483">
        <v>2150.685066</v>
      </c>
      <c r="J1483" t="s">
        <v>1812</v>
      </c>
      <c r="K1483">
        <v>-0</v>
      </c>
      <c r="L1483">
        <v>1.080878867625983</v>
      </c>
      <c r="M1483">
        <v>24.56</v>
      </c>
      <c r="N1483">
        <v>13.65</v>
      </c>
    </row>
    <row r="1484" spans="1:14">
      <c r="A1484" s="1" t="s">
        <v>1496</v>
      </c>
      <c r="B1484">
        <f>HYPERLINK("https://www.suredividend.com/sure-analysis-research-database/","Sovos Brands Inc")</f>
        <v>0</v>
      </c>
      <c r="C1484" t="s">
        <v>1812</v>
      </c>
      <c r="D1484">
        <v>18.04</v>
      </c>
      <c r="E1484">
        <v>0</v>
      </c>
      <c r="F1484" t="s">
        <v>1812</v>
      </c>
      <c r="G1484" t="s">
        <v>1812</v>
      </c>
      <c r="H1484">
        <v>0</v>
      </c>
      <c r="I1484">
        <v>1826.125663</v>
      </c>
      <c r="J1484">
        <v>0</v>
      </c>
      <c r="K1484" t="s">
        <v>1812</v>
      </c>
      <c r="L1484">
        <v>0.502642026985015</v>
      </c>
      <c r="M1484">
        <v>20.58</v>
      </c>
      <c r="N1484">
        <v>12.74</v>
      </c>
    </row>
    <row r="1485" spans="1:14">
      <c r="A1485" s="1" t="s">
        <v>1497</v>
      </c>
      <c r="B1485">
        <f>HYPERLINK("https://www.suredividend.com/sure-analysis-research-database/","SP Plus Corp")</f>
        <v>0</v>
      </c>
      <c r="C1485" t="s">
        <v>1813</v>
      </c>
      <c r="D1485">
        <v>40.67</v>
      </c>
      <c r="E1485">
        <v>0</v>
      </c>
      <c r="F1485" t="s">
        <v>1812</v>
      </c>
      <c r="G1485" t="s">
        <v>1812</v>
      </c>
      <c r="H1485">
        <v>0</v>
      </c>
      <c r="I1485">
        <v>798.390777</v>
      </c>
      <c r="J1485">
        <v>18.61050762634033</v>
      </c>
      <c r="K1485">
        <v>0</v>
      </c>
      <c r="L1485">
        <v>0.7613872509171341</v>
      </c>
      <c r="M1485">
        <v>41.5</v>
      </c>
      <c r="N1485">
        <v>30.25</v>
      </c>
    </row>
    <row r="1486" spans="1:14">
      <c r="A1486" s="1" t="s">
        <v>1498</v>
      </c>
      <c r="B1486">
        <f>HYPERLINK("https://www.suredividend.com/sure-analysis-research-database/","Virgin Galactic Holdings Inc")</f>
        <v>0</v>
      </c>
      <c r="C1486" t="s">
        <v>1813</v>
      </c>
      <c r="D1486">
        <v>3.8</v>
      </c>
      <c r="E1486">
        <v>0</v>
      </c>
      <c r="F1486" t="s">
        <v>1812</v>
      </c>
      <c r="G1486" t="s">
        <v>1812</v>
      </c>
      <c r="H1486">
        <v>0</v>
      </c>
      <c r="I1486">
        <v>1073.827936</v>
      </c>
      <c r="J1486" t="s">
        <v>1812</v>
      </c>
      <c r="K1486">
        <v>-0</v>
      </c>
      <c r="L1486">
        <v>2.035145427357434</v>
      </c>
      <c r="M1486">
        <v>7.37</v>
      </c>
      <c r="N1486">
        <v>2.98</v>
      </c>
    </row>
    <row r="1487" spans="1:14">
      <c r="A1487" s="1" t="s">
        <v>1499</v>
      </c>
      <c r="B1487">
        <f>HYPERLINK("https://www.suredividend.com/sure-analysis-research-database/","South Plains Financial Inc")</f>
        <v>0</v>
      </c>
      <c r="C1487" t="s">
        <v>1815</v>
      </c>
      <c r="D1487">
        <v>26.79</v>
      </c>
      <c r="E1487">
        <v>0.018759750823412</v>
      </c>
      <c r="F1487" t="s">
        <v>1812</v>
      </c>
      <c r="G1487" t="s">
        <v>1812</v>
      </c>
      <c r="H1487">
        <v>0.502573724559229</v>
      </c>
      <c r="I1487">
        <v>457.128325</v>
      </c>
      <c r="J1487">
        <v>8.591668707664549</v>
      </c>
      <c r="K1487">
        <v>0.1680848577121167</v>
      </c>
      <c r="L1487">
        <v>0.659702834984085</v>
      </c>
      <c r="M1487">
        <v>31.1</v>
      </c>
      <c r="N1487">
        <v>18.56</v>
      </c>
    </row>
    <row r="1488" spans="1:14">
      <c r="A1488" s="1" t="s">
        <v>1500</v>
      </c>
      <c r="B1488">
        <f>HYPERLINK("https://www.suredividend.com/sure-analysis-research-database/","Sphere Entertainment Co")</f>
        <v>0</v>
      </c>
      <c r="C1488" t="s">
        <v>1812</v>
      </c>
      <c r="D1488">
        <v>38.47</v>
      </c>
      <c r="E1488">
        <v>0</v>
      </c>
      <c r="F1488" t="s">
        <v>1812</v>
      </c>
      <c r="G1488" t="s">
        <v>1812</v>
      </c>
      <c r="H1488">
        <v>0</v>
      </c>
      <c r="I1488">
        <v>1065.312394</v>
      </c>
      <c r="J1488">
        <v>0</v>
      </c>
      <c r="K1488" t="s">
        <v>1812</v>
      </c>
      <c r="L1488">
        <v>1.123998119492991</v>
      </c>
      <c r="M1488">
        <v>69.97</v>
      </c>
      <c r="N1488">
        <v>20.69</v>
      </c>
    </row>
    <row r="1489" spans="1:14">
      <c r="A1489" s="1" t="s">
        <v>1501</v>
      </c>
      <c r="B1489">
        <f>HYPERLINK("https://www.suredividend.com/sure-analysis-research-database/","Spire Global Inc")</f>
        <v>0</v>
      </c>
      <c r="C1489" t="s">
        <v>1818</v>
      </c>
      <c r="D1489">
        <v>0.6801</v>
      </c>
      <c r="E1489">
        <v>0</v>
      </c>
      <c r="F1489" t="s">
        <v>1812</v>
      </c>
      <c r="G1489" t="s">
        <v>1812</v>
      </c>
      <c r="H1489">
        <v>0</v>
      </c>
      <c r="I1489">
        <v>99.337703</v>
      </c>
      <c r="J1489">
        <v>0</v>
      </c>
      <c r="K1489" t="s">
        <v>1812</v>
      </c>
      <c r="L1489">
        <v>2.117456623672301</v>
      </c>
      <c r="M1489">
        <v>1.71</v>
      </c>
      <c r="N1489">
        <v>0.35</v>
      </c>
    </row>
    <row r="1490" spans="1:14">
      <c r="A1490" s="1" t="s">
        <v>1502</v>
      </c>
      <c r="B1490">
        <f>HYPERLINK("https://www.suredividend.com/sure-analysis-research-database/","Sapiens International Corp NV")</f>
        <v>0</v>
      </c>
      <c r="C1490" t="s">
        <v>1818</v>
      </c>
      <c r="D1490">
        <v>29.18</v>
      </c>
      <c r="E1490">
        <v>0.016265135570242</v>
      </c>
      <c r="F1490" t="s">
        <v>1812</v>
      </c>
      <c r="G1490" t="s">
        <v>1812</v>
      </c>
      <c r="H1490">
        <v>0.4746166559396771</v>
      </c>
      <c r="I1490">
        <v>1608.991328</v>
      </c>
      <c r="J1490">
        <v>30.43585222358839</v>
      </c>
      <c r="K1490">
        <v>0.4987564690412747</v>
      </c>
      <c r="L1490">
        <v>0.998802966551472</v>
      </c>
      <c r="M1490">
        <v>29.7</v>
      </c>
      <c r="N1490">
        <v>15.8</v>
      </c>
    </row>
    <row r="1491" spans="1:14">
      <c r="A1491" s="1" t="s">
        <v>1503</v>
      </c>
      <c r="B1491">
        <f>HYPERLINK("https://www.suredividend.com/sure-analysis-research-database/","SiriusPoint Ltd")</f>
        <v>0</v>
      </c>
      <c r="C1491" t="s">
        <v>1812</v>
      </c>
      <c r="D1491">
        <v>10.2</v>
      </c>
      <c r="E1491">
        <v>0</v>
      </c>
      <c r="F1491" t="s">
        <v>1812</v>
      </c>
      <c r="G1491" t="s">
        <v>1812</v>
      </c>
      <c r="H1491">
        <v>0</v>
      </c>
      <c r="I1491">
        <v>1677.911057</v>
      </c>
      <c r="J1491" t="s">
        <v>1812</v>
      </c>
      <c r="K1491">
        <v>-0</v>
      </c>
      <c r="L1491">
        <v>0.877210100335968</v>
      </c>
      <c r="M1491">
        <v>10.21</v>
      </c>
      <c r="N1491">
        <v>4.22</v>
      </c>
    </row>
    <row r="1492" spans="1:14">
      <c r="A1492" s="1" t="s">
        <v>1504</v>
      </c>
      <c r="B1492">
        <f>HYPERLINK("https://www.suredividend.com/sure-analysis-research-database/","SPS Commerce Inc.")</f>
        <v>0</v>
      </c>
      <c r="C1492" t="s">
        <v>1818</v>
      </c>
      <c r="D1492">
        <v>168.4</v>
      </c>
      <c r="E1492">
        <v>0</v>
      </c>
      <c r="F1492" t="s">
        <v>1812</v>
      </c>
      <c r="G1492" t="s">
        <v>1812</v>
      </c>
      <c r="H1492">
        <v>0</v>
      </c>
      <c r="I1492">
        <v>6172.05467</v>
      </c>
      <c r="J1492">
        <v>99.95392104163631</v>
      </c>
      <c r="K1492">
        <v>0</v>
      </c>
      <c r="L1492">
        <v>1.202866215225178</v>
      </c>
      <c r="M1492">
        <v>196.39</v>
      </c>
      <c r="N1492">
        <v>114.71</v>
      </c>
    </row>
    <row r="1493" spans="1:14">
      <c r="A1493" s="1" t="s">
        <v>1505</v>
      </c>
      <c r="B1493">
        <f>HYPERLINK("https://www.suredividend.com/sure-analysis-research-database/","Sprout Social Inc")</f>
        <v>0</v>
      </c>
      <c r="C1493" t="s">
        <v>1818</v>
      </c>
      <c r="D1493">
        <v>53.38</v>
      </c>
      <c r="E1493">
        <v>0</v>
      </c>
      <c r="F1493" t="s">
        <v>1812</v>
      </c>
      <c r="G1493" t="s">
        <v>1812</v>
      </c>
      <c r="H1493">
        <v>0</v>
      </c>
      <c r="I1493">
        <v>2564.74886</v>
      </c>
      <c r="J1493">
        <v>0</v>
      </c>
      <c r="K1493" t="s">
        <v>1812</v>
      </c>
      <c r="L1493">
        <v>2.160947550050896</v>
      </c>
      <c r="M1493">
        <v>74.06999999999999</v>
      </c>
      <c r="N1493">
        <v>37</v>
      </c>
    </row>
    <row r="1494" spans="1:14">
      <c r="A1494" s="1" t="s">
        <v>1506</v>
      </c>
      <c r="B1494">
        <f>HYPERLINK("https://www.suredividend.com/sure-analysis-SPTN/","SpartanNash Co")</f>
        <v>0</v>
      </c>
      <c r="C1494" t="s">
        <v>1819</v>
      </c>
      <c r="D1494">
        <v>22.21</v>
      </c>
      <c r="E1494">
        <v>0.03872129671319225</v>
      </c>
      <c r="F1494">
        <v>0.02380952380952372</v>
      </c>
      <c r="G1494">
        <v>0.03617519371964306</v>
      </c>
      <c r="H1494">
        <v>0.832609591758065</v>
      </c>
      <c r="I1494">
        <v>771.5753999999999</v>
      </c>
      <c r="J1494">
        <v>29.49221772035777</v>
      </c>
      <c r="K1494">
        <v>1.152241339272163</v>
      </c>
      <c r="L1494">
        <v>0.567822216825849</v>
      </c>
      <c r="M1494">
        <v>36.45</v>
      </c>
      <c r="N1494">
        <v>20.2</v>
      </c>
    </row>
    <row r="1495" spans="1:14">
      <c r="A1495" s="1" t="s">
        <v>1507</v>
      </c>
      <c r="B1495">
        <f>HYPERLINK("https://www.suredividend.com/sure-analysis-research-database/","Sportsman`s Warehouse Holdings Inc")</f>
        <v>0</v>
      </c>
      <c r="C1495" t="s">
        <v>1816</v>
      </c>
      <c r="D1495">
        <v>6.08</v>
      </c>
      <c r="E1495">
        <v>0</v>
      </c>
      <c r="F1495" t="s">
        <v>1812</v>
      </c>
      <c r="G1495" t="s">
        <v>1812</v>
      </c>
      <c r="H1495">
        <v>0</v>
      </c>
      <c r="I1495">
        <v>229.143666</v>
      </c>
      <c r="J1495">
        <v>0</v>
      </c>
      <c r="K1495" t="s">
        <v>1812</v>
      </c>
      <c r="L1495">
        <v>1.02473436404551</v>
      </c>
      <c r="M1495">
        <v>11.11</v>
      </c>
      <c r="N1495">
        <v>4.18</v>
      </c>
    </row>
    <row r="1496" spans="1:14">
      <c r="A1496" s="1" t="s">
        <v>1508</v>
      </c>
      <c r="B1496">
        <f>HYPERLINK("https://www.suredividend.com/sure-analysis-research-database/","Sunpower Corp")</f>
        <v>0</v>
      </c>
      <c r="C1496" t="s">
        <v>1818</v>
      </c>
      <c r="D1496">
        <v>9.08</v>
      </c>
      <c r="E1496">
        <v>0</v>
      </c>
      <c r="F1496" t="s">
        <v>1812</v>
      </c>
      <c r="G1496" t="s">
        <v>1812</v>
      </c>
      <c r="H1496">
        <v>0</v>
      </c>
      <c r="I1496">
        <v>1590.7407</v>
      </c>
      <c r="J1496">
        <v>47.87926497592103</v>
      </c>
      <c r="K1496">
        <v>0</v>
      </c>
      <c r="L1496">
        <v>1.772954725423874</v>
      </c>
      <c r="M1496">
        <v>28.42</v>
      </c>
      <c r="N1496">
        <v>8.85</v>
      </c>
    </row>
    <row r="1497" spans="1:14">
      <c r="A1497" s="1" t="s">
        <v>1509</v>
      </c>
      <c r="B1497">
        <f>HYPERLINK("https://www.suredividend.com/sure-analysis-research-database/","SPX Technologies Inc")</f>
        <v>0</v>
      </c>
      <c r="C1497" t="s">
        <v>1813</v>
      </c>
      <c r="D1497">
        <v>88.59999999999999</v>
      </c>
      <c r="E1497">
        <v>0</v>
      </c>
      <c r="F1497" t="s">
        <v>1812</v>
      </c>
      <c r="G1497" t="s">
        <v>1812</v>
      </c>
      <c r="H1497">
        <v>0</v>
      </c>
      <c r="I1497">
        <v>4031.462049</v>
      </c>
      <c r="J1497">
        <v>0</v>
      </c>
      <c r="K1497" t="s">
        <v>1812</v>
      </c>
      <c r="L1497">
        <v>1.222566187324043</v>
      </c>
      <c r="M1497">
        <v>91.94</v>
      </c>
      <c r="N1497">
        <v>53.19</v>
      </c>
    </row>
    <row r="1498" spans="1:14">
      <c r="A1498" s="1" t="s">
        <v>1510</v>
      </c>
      <c r="B1498">
        <f>HYPERLINK("https://www.suredividend.com/sure-analysis-research-database/","Squarespace Inc")</f>
        <v>0</v>
      </c>
      <c r="C1498" t="s">
        <v>1812</v>
      </c>
      <c r="D1498">
        <v>32.9</v>
      </c>
      <c r="E1498">
        <v>0</v>
      </c>
      <c r="F1498" t="s">
        <v>1812</v>
      </c>
      <c r="G1498" t="s">
        <v>1812</v>
      </c>
      <c r="H1498">
        <v>0</v>
      </c>
      <c r="I1498">
        <v>2872.129336</v>
      </c>
      <c r="J1498" t="s">
        <v>1812</v>
      </c>
      <c r="K1498">
        <v>-0</v>
      </c>
      <c r="L1498">
        <v>0.76650474599961</v>
      </c>
      <c r="M1498">
        <v>34.38</v>
      </c>
      <c r="N1498">
        <v>16.86</v>
      </c>
    </row>
    <row r="1499" spans="1:14">
      <c r="A1499" s="1" t="s">
        <v>1511</v>
      </c>
      <c r="B1499">
        <f>HYPERLINK("https://www.suredividend.com/sure-analysis-SR/","Spire Inc.")</f>
        <v>0</v>
      </c>
      <c r="C1499" t="s">
        <v>1820</v>
      </c>
      <c r="D1499">
        <v>60.68</v>
      </c>
      <c r="E1499">
        <v>0.04746209624258405</v>
      </c>
      <c r="F1499">
        <v>0.05109489051094873</v>
      </c>
      <c r="G1499">
        <v>0.05061112176150684</v>
      </c>
      <c r="H1499">
        <v>2.800607095962605</v>
      </c>
      <c r="I1499">
        <v>3191.587598</v>
      </c>
      <c r="J1499">
        <v>12.95287174659091</v>
      </c>
      <c r="K1499">
        <v>0.5971443701412804</v>
      </c>
      <c r="L1499">
        <v>0.7137595396736081</v>
      </c>
      <c r="M1499">
        <v>74.5</v>
      </c>
      <c r="N1499">
        <v>59.48</v>
      </c>
    </row>
    <row r="1500" spans="1:14">
      <c r="A1500" s="1" t="s">
        <v>1512</v>
      </c>
      <c r="B1500">
        <f>HYPERLINK("https://www.suredividend.com/sure-analysis-SRCE/","1st Source Corp.")</f>
        <v>0</v>
      </c>
      <c r="C1500" t="s">
        <v>1815</v>
      </c>
      <c r="D1500">
        <v>48.23</v>
      </c>
      <c r="E1500">
        <v>0.02653949823761145</v>
      </c>
      <c r="F1500">
        <v>0</v>
      </c>
      <c r="G1500">
        <v>0.05061112176150684</v>
      </c>
      <c r="H1500">
        <v>1.255508335126249</v>
      </c>
      <c r="I1500">
        <v>1190.696501</v>
      </c>
      <c r="J1500">
        <v>9.432230650522429</v>
      </c>
      <c r="K1500">
        <v>0.2452164717043455</v>
      </c>
      <c r="L1500">
        <v>0.829579418790621</v>
      </c>
      <c r="M1500">
        <v>57.54</v>
      </c>
      <c r="N1500">
        <v>38.25</v>
      </c>
    </row>
    <row r="1501" spans="1:14">
      <c r="A1501" s="1" t="s">
        <v>1513</v>
      </c>
      <c r="B1501">
        <f>HYPERLINK("https://www.suredividend.com/sure-analysis-research-database/","Surmodics, Inc.")</f>
        <v>0</v>
      </c>
      <c r="C1501" t="s">
        <v>1817</v>
      </c>
      <c r="D1501">
        <v>32.63</v>
      </c>
      <c r="E1501">
        <v>0</v>
      </c>
      <c r="F1501" t="s">
        <v>1812</v>
      </c>
      <c r="G1501" t="s">
        <v>1812</v>
      </c>
      <c r="H1501">
        <v>0</v>
      </c>
      <c r="I1501">
        <v>461.19242</v>
      </c>
      <c r="J1501" t="s">
        <v>1812</v>
      </c>
      <c r="K1501">
        <v>-0</v>
      </c>
      <c r="L1501">
        <v>1.057632589856189</v>
      </c>
      <c r="M1501">
        <v>39.17</v>
      </c>
      <c r="N1501">
        <v>16</v>
      </c>
    </row>
    <row r="1502" spans="1:14">
      <c r="A1502" s="1" t="s">
        <v>1514</v>
      </c>
      <c r="B1502">
        <f>HYPERLINK("https://www.suredividend.com/sure-analysis-research-database/","Stoneridge Inc.")</f>
        <v>0</v>
      </c>
      <c r="C1502" t="s">
        <v>1816</v>
      </c>
      <c r="D1502">
        <v>23.49</v>
      </c>
      <c r="E1502">
        <v>0</v>
      </c>
      <c r="F1502" t="s">
        <v>1812</v>
      </c>
      <c r="G1502" t="s">
        <v>1812</v>
      </c>
      <c r="H1502">
        <v>0</v>
      </c>
      <c r="I1502">
        <v>646.487857</v>
      </c>
      <c r="J1502" t="s">
        <v>1812</v>
      </c>
      <c r="K1502">
        <v>-0</v>
      </c>
      <c r="L1502">
        <v>1.036664077748624</v>
      </c>
      <c r="M1502">
        <v>25.87</v>
      </c>
      <c r="N1502">
        <v>14.18</v>
      </c>
    </row>
    <row r="1503" spans="1:14">
      <c r="A1503" s="1" t="s">
        <v>1515</v>
      </c>
      <c r="B1503">
        <f>HYPERLINK("https://www.suredividend.com/sure-analysis-research-database/","SouthState Corporation")</f>
        <v>0</v>
      </c>
      <c r="C1503" t="s">
        <v>1815</v>
      </c>
      <c r="D1503">
        <v>78.18000000000001</v>
      </c>
      <c r="E1503">
        <v>0.025093544432405</v>
      </c>
      <c r="F1503">
        <v>0</v>
      </c>
      <c r="G1503">
        <v>0.06790716584560208</v>
      </c>
      <c r="H1503">
        <v>1.961813303725471</v>
      </c>
      <c r="I1503">
        <v>5935.650524</v>
      </c>
      <c r="J1503">
        <v>11.08129347341341</v>
      </c>
      <c r="K1503">
        <v>0.2794605845762779</v>
      </c>
      <c r="L1503">
        <v>1.084562534318808</v>
      </c>
      <c r="M1503">
        <v>89.44</v>
      </c>
      <c r="N1503">
        <v>58.56</v>
      </c>
    </row>
    <row r="1504" spans="1:14">
      <c r="A1504" s="1" t="s">
        <v>1516</v>
      </c>
      <c r="B1504">
        <f>HYPERLINK("https://www.suredividend.com/sure-analysis-research-database/","Simpson Manufacturing Co., Inc.")</f>
        <v>0</v>
      </c>
      <c r="C1504" t="s">
        <v>1813</v>
      </c>
      <c r="D1504">
        <v>154.14</v>
      </c>
      <c r="E1504">
        <v>0.006798848389429001</v>
      </c>
      <c r="F1504">
        <v>0.03846153846153855</v>
      </c>
      <c r="G1504">
        <v>0.04180926810264429</v>
      </c>
      <c r="H1504">
        <v>1.047974490746606</v>
      </c>
      <c r="I1504">
        <v>6577.18247</v>
      </c>
      <c r="J1504">
        <v>20.09079084115061</v>
      </c>
      <c r="K1504">
        <v>0.1373492124176417</v>
      </c>
      <c r="L1504">
        <v>1.225060572140951</v>
      </c>
      <c r="M1504">
        <v>166.03</v>
      </c>
      <c r="N1504">
        <v>74.84999999999999</v>
      </c>
    </row>
    <row r="1505" spans="1:14">
      <c r="A1505" s="1" t="s">
        <v>1517</v>
      </c>
      <c r="B1505">
        <f>HYPERLINK("https://www.suredividend.com/sure-analysis-research-database/","E.W. Scripps Co.")</f>
        <v>0</v>
      </c>
      <c r="C1505" t="s">
        <v>1821</v>
      </c>
      <c r="D1505">
        <v>9.539999999999999</v>
      </c>
      <c r="E1505">
        <v>0</v>
      </c>
      <c r="F1505" t="s">
        <v>1812</v>
      </c>
      <c r="G1505" t="s">
        <v>1812</v>
      </c>
      <c r="H1505">
        <v>0</v>
      </c>
      <c r="I1505">
        <v>690.482314</v>
      </c>
      <c r="J1505">
        <v>6.595368447827914</v>
      </c>
      <c r="K1505">
        <v>0</v>
      </c>
      <c r="L1505">
        <v>1.705424330456308</v>
      </c>
      <c r="M1505">
        <v>16.44</v>
      </c>
      <c r="N1505">
        <v>7.32</v>
      </c>
    </row>
    <row r="1506" spans="1:14">
      <c r="A1506" s="1" t="s">
        <v>1518</v>
      </c>
      <c r="B1506">
        <f>HYPERLINK("https://www.suredividend.com/sure-analysis-research-database/","SoundThinking Inc")</f>
        <v>0</v>
      </c>
      <c r="C1506" t="s">
        <v>1818</v>
      </c>
      <c r="D1506">
        <v>22.31</v>
      </c>
      <c r="E1506">
        <v>0</v>
      </c>
      <c r="F1506" t="s">
        <v>1812</v>
      </c>
      <c r="G1506" t="s">
        <v>1812</v>
      </c>
      <c r="H1506">
        <v>0</v>
      </c>
      <c r="I1506">
        <v>273.192665</v>
      </c>
      <c r="J1506">
        <v>64.92221133792775</v>
      </c>
      <c r="K1506">
        <v>0</v>
      </c>
      <c r="L1506">
        <v>0.7642587668320241</v>
      </c>
      <c r="M1506">
        <v>39.46</v>
      </c>
      <c r="N1506">
        <v>20.58</v>
      </c>
    </row>
    <row r="1507" spans="1:14">
      <c r="A1507" s="1" t="s">
        <v>1519</v>
      </c>
      <c r="B1507">
        <f>HYPERLINK("https://www.suredividend.com/sure-analysis-research-database/","Shutterstock Inc")</f>
        <v>0</v>
      </c>
      <c r="C1507" t="s">
        <v>1821</v>
      </c>
      <c r="D1507">
        <v>43.1</v>
      </c>
      <c r="E1507">
        <v>0.02350063661018</v>
      </c>
      <c r="F1507" t="s">
        <v>1812</v>
      </c>
      <c r="G1507" t="s">
        <v>1812</v>
      </c>
      <c r="H1507">
        <v>1.012877437898778</v>
      </c>
      <c r="I1507">
        <v>1554.992832</v>
      </c>
      <c r="J1507">
        <v>13.76806530785713</v>
      </c>
      <c r="K1507">
        <v>0.3256840636330476</v>
      </c>
      <c r="L1507">
        <v>1.319529972195258</v>
      </c>
      <c r="M1507">
        <v>80.48</v>
      </c>
      <c r="N1507">
        <v>41.76</v>
      </c>
    </row>
    <row r="1508" spans="1:14">
      <c r="A1508" s="1" t="s">
        <v>1520</v>
      </c>
      <c r="B1508">
        <f>HYPERLINK("https://www.suredividend.com/sure-analysis-research-database/","Staar Surgical Co.")</f>
        <v>0</v>
      </c>
      <c r="C1508" t="s">
        <v>1817</v>
      </c>
      <c r="D1508">
        <v>47.28</v>
      </c>
      <c r="E1508">
        <v>0</v>
      </c>
      <c r="F1508" t="s">
        <v>1812</v>
      </c>
      <c r="G1508" t="s">
        <v>1812</v>
      </c>
      <c r="H1508">
        <v>0</v>
      </c>
      <c r="I1508">
        <v>2285.19606</v>
      </c>
      <c r="J1508">
        <v>71.71942566613313</v>
      </c>
      <c r="K1508">
        <v>0</v>
      </c>
      <c r="L1508">
        <v>1.646464001735047</v>
      </c>
      <c r="M1508">
        <v>112.27</v>
      </c>
      <c r="N1508">
        <v>45</v>
      </c>
    </row>
    <row r="1509" spans="1:14">
      <c r="A1509" s="1" t="s">
        <v>1521</v>
      </c>
      <c r="B1509">
        <f>HYPERLINK("https://www.suredividend.com/sure-analysis-STAG/","STAG Industrial Inc")</f>
        <v>0</v>
      </c>
      <c r="C1509" t="s">
        <v>1814</v>
      </c>
      <c r="D1509">
        <v>35.61</v>
      </c>
      <c r="E1509">
        <v>0.04128053917438922</v>
      </c>
      <c r="F1509">
        <v>0</v>
      </c>
      <c r="G1509">
        <v>0.002744078707042297</v>
      </c>
      <c r="H1509">
        <v>1.437400681003316</v>
      </c>
      <c r="I1509">
        <v>6397.8464</v>
      </c>
      <c r="J1509">
        <v>32.98301009202264</v>
      </c>
      <c r="K1509">
        <v>1.330926556484552</v>
      </c>
      <c r="L1509">
        <v>1.031315907482254</v>
      </c>
      <c r="M1509">
        <v>38.7</v>
      </c>
      <c r="N1509">
        <v>25.61</v>
      </c>
    </row>
    <row r="1510" spans="1:14">
      <c r="A1510" s="1" t="s">
        <v>1522</v>
      </c>
      <c r="B1510">
        <f>HYPERLINK("https://www.suredividend.com/sure-analysis-research-database/","S &amp; T Bancorp, Inc.")</f>
        <v>0</v>
      </c>
      <c r="C1510" t="s">
        <v>1815</v>
      </c>
      <c r="D1510">
        <v>31.91</v>
      </c>
      <c r="E1510">
        <v>0.029210484514616</v>
      </c>
      <c r="F1510" t="s">
        <v>1812</v>
      </c>
      <c r="G1510" t="s">
        <v>1812</v>
      </c>
      <c r="H1510">
        <v>0.9321065608614111</v>
      </c>
      <c r="I1510">
        <v>1243.439363</v>
      </c>
      <c r="J1510">
        <v>8.524940958391323</v>
      </c>
      <c r="K1510">
        <v>0.2492263531715003</v>
      </c>
      <c r="L1510">
        <v>0.8490378954658251</v>
      </c>
      <c r="M1510">
        <v>37.5</v>
      </c>
      <c r="N1510">
        <v>24.32</v>
      </c>
    </row>
    <row r="1511" spans="1:14">
      <c r="A1511" s="1" t="s">
        <v>1523</v>
      </c>
      <c r="B1511">
        <f>HYPERLINK("https://www.suredividend.com/sure-analysis-research-database/","Stewart Information Services Corp.")</f>
        <v>0</v>
      </c>
      <c r="C1511" t="s">
        <v>1815</v>
      </c>
      <c r="D1511">
        <v>46.73</v>
      </c>
      <c r="E1511">
        <v>0.03789720248765401</v>
      </c>
      <c r="F1511">
        <v>0.2</v>
      </c>
      <c r="G1511">
        <v>0.08447177119769855</v>
      </c>
      <c r="H1511">
        <v>1.770936272248089</v>
      </c>
      <c r="I1511">
        <v>1273.163383</v>
      </c>
      <c r="J1511">
        <v>13.23207074362385</v>
      </c>
      <c r="K1511">
        <v>0.5016816635263708</v>
      </c>
      <c r="L1511">
        <v>1.024982311008745</v>
      </c>
      <c r="M1511">
        <v>53.54</v>
      </c>
      <c r="N1511">
        <v>34.8</v>
      </c>
    </row>
    <row r="1512" spans="1:14">
      <c r="A1512" s="1" t="s">
        <v>1524</v>
      </c>
      <c r="B1512">
        <f>HYPERLINK("https://www.suredividend.com/sure-analysis-research-database/","Stellar Bancorp Inc")</f>
        <v>0</v>
      </c>
      <c r="C1512" t="s">
        <v>1812</v>
      </c>
      <c r="D1512">
        <v>24.52</v>
      </c>
      <c r="E1512">
        <v>0.005301794259038001</v>
      </c>
      <c r="F1512" t="s">
        <v>1812</v>
      </c>
      <c r="G1512" t="s">
        <v>1812</v>
      </c>
      <c r="H1512">
        <v>0.129999995231628</v>
      </c>
      <c r="I1512">
        <v>1307.118143</v>
      </c>
      <c r="J1512">
        <v>12.88397723950992</v>
      </c>
      <c r="K1512">
        <v>0.06310679380176117</v>
      </c>
      <c r="L1512">
        <v>0.7736432523633061</v>
      </c>
      <c r="M1512">
        <v>35.39</v>
      </c>
      <c r="N1512">
        <v>20.04</v>
      </c>
    </row>
    <row r="1513" spans="1:14">
      <c r="A1513" s="1" t="s">
        <v>1525</v>
      </c>
      <c r="B1513">
        <f>HYPERLINK("https://www.suredividend.com/sure-analysis-research-database/","Stem Inc")</f>
        <v>0</v>
      </c>
      <c r="C1513" t="s">
        <v>1812</v>
      </c>
      <c r="D1513">
        <v>6.8</v>
      </c>
      <c r="E1513">
        <v>0</v>
      </c>
      <c r="F1513" t="s">
        <v>1812</v>
      </c>
      <c r="G1513" t="s">
        <v>1812</v>
      </c>
      <c r="H1513">
        <v>0</v>
      </c>
      <c r="I1513">
        <v>1057.593508</v>
      </c>
      <c r="J1513" t="s">
        <v>1812</v>
      </c>
      <c r="K1513">
        <v>-0</v>
      </c>
      <c r="L1513">
        <v>1.959245942205053</v>
      </c>
      <c r="M1513">
        <v>18.02</v>
      </c>
      <c r="N1513">
        <v>3.72</v>
      </c>
    </row>
    <row r="1514" spans="1:14">
      <c r="A1514" s="1" t="s">
        <v>1526</v>
      </c>
      <c r="B1514">
        <f>HYPERLINK("https://www.suredividend.com/sure-analysis-research-database/","StepStone Group Inc")</f>
        <v>0</v>
      </c>
      <c r="C1514" t="s">
        <v>1812</v>
      </c>
      <c r="D1514">
        <v>28.34</v>
      </c>
      <c r="E1514">
        <v>0.027743851742253</v>
      </c>
      <c r="F1514" t="s">
        <v>1812</v>
      </c>
      <c r="G1514" t="s">
        <v>1812</v>
      </c>
      <c r="H1514">
        <v>0.7862607583754551</v>
      </c>
      <c r="I1514">
        <v>1780.740244</v>
      </c>
      <c r="J1514">
        <v>0</v>
      </c>
      <c r="K1514" t="s">
        <v>1812</v>
      </c>
      <c r="L1514">
        <v>1.400736847176392</v>
      </c>
      <c r="M1514">
        <v>31.17</v>
      </c>
      <c r="N1514">
        <v>19.51</v>
      </c>
    </row>
    <row r="1515" spans="1:14">
      <c r="A1515" s="1" t="s">
        <v>1527</v>
      </c>
      <c r="B1515">
        <f>HYPERLINK("https://www.suredividend.com/sure-analysis-research-database/","Sterling Check Corp")</f>
        <v>0</v>
      </c>
      <c r="C1515" t="s">
        <v>1812</v>
      </c>
      <c r="D1515">
        <v>11.4</v>
      </c>
      <c r="E1515">
        <v>0</v>
      </c>
      <c r="F1515" t="s">
        <v>1812</v>
      </c>
      <c r="G1515" t="s">
        <v>1812</v>
      </c>
      <c r="H1515">
        <v>0</v>
      </c>
      <c r="I1515">
        <v>1103.736623</v>
      </c>
      <c r="J1515">
        <v>0</v>
      </c>
      <c r="K1515" t="s">
        <v>1812</v>
      </c>
      <c r="L1515">
        <v>1.44620889927468</v>
      </c>
      <c r="M1515">
        <v>23.36</v>
      </c>
      <c r="N1515">
        <v>10.58</v>
      </c>
    </row>
    <row r="1516" spans="1:14">
      <c r="A1516" s="1" t="s">
        <v>1528</v>
      </c>
      <c r="B1516">
        <f>HYPERLINK("https://www.suredividend.com/sure-analysis-research-database/","Stagwell Inc")</f>
        <v>0</v>
      </c>
      <c r="C1516" t="s">
        <v>1812</v>
      </c>
      <c r="D1516">
        <v>6.35</v>
      </c>
      <c r="E1516">
        <v>0</v>
      </c>
      <c r="F1516" t="s">
        <v>1812</v>
      </c>
      <c r="G1516" t="s">
        <v>1812</v>
      </c>
      <c r="H1516">
        <v>0</v>
      </c>
      <c r="I1516">
        <v>727.061976</v>
      </c>
      <c r="J1516">
        <v>48.35153129946133</v>
      </c>
      <c r="K1516">
        <v>0</v>
      </c>
      <c r="L1516">
        <v>1.416605823044939</v>
      </c>
      <c r="M1516">
        <v>9.23</v>
      </c>
      <c r="N1516">
        <v>5.16</v>
      </c>
    </row>
    <row r="1517" spans="1:14">
      <c r="A1517" s="1" t="s">
        <v>1529</v>
      </c>
      <c r="B1517">
        <f>HYPERLINK("https://www.suredividend.com/sure-analysis-research-database/","Star Holdings")</f>
        <v>0</v>
      </c>
      <c r="C1517" t="s">
        <v>1812</v>
      </c>
      <c r="D1517">
        <v>15.04</v>
      </c>
      <c r="E1517">
        <v>0</v>
      </c>
      <c r="F1517" t="s">
        <v>1812</v>
      </c>
      <c r="G1517" t="s">
        <v>1812</v>
      </c>
      <c r="H1517">
        <v>0</v>
      </c>
      <c r="I1517">
        <v>200.326062</v>
      </c>
      <c r="J1517">
        <v>0</v>
      </c>
      <c r="K1517" t="s">
        <v>1812</v>
      </c>
      <c r="L1517">
        <v>0.401701633448251</v>
      </c>
      <c r="M1517">
        <v>19.58</v>
      </c>
      <c r="N1517">
        <v>13.15</v>
      </c>
    </row>
    <row r="1518" spans="1:14">
      <c r="A1518" s="1" t="s">
        <v>1530</v>
      </c>
      <c r="B1518">
        <f>HYPERLINK("https://www.suredividend.com/sure-analysis-research-database/","Sunopta, Inc.")</f>
        <v>0</v>
      </c>
      <c r="C1518" t="s">
        <v>1819</v>
      </c>
      <c r="D1518">
        <v>6.17</v>
      </c>
      <c r="E1518">
        <v>0</v>
      </c>
      <c r="F1518" t="s">
        <v>1812</v>
      </c>
      <c r="G1518" t="s">
        <v>1812</v>
      </c>
      <c r="H1518">
        <v>0</v>
      </c>
      <c r="I1518">
        <v>728.671848</v>
      </c>
      <c r="J1518" t="s">
        <v>1812</v>
      </c>
      <c r="K1518">
        <v>-0</v>
      </c>
      <c r="L1518">
        <v>0.6541235700743691</v>
      </c>
      <c r="M1518">
        <v>11.67</v>
      </c>
      <c r="N1518">
        <v>5.81</v>
      </c>
    </row>
    <row r="1519" spans="1:14">
      <c r="A1519" s="1" t="s">
        <v>1531</v>
      </c>
      <c r="B1519">
        <f>HYPERLINK("https://www.suredividend.com/sure-analysis-research-database/","ONE Group Hospitality Inc")</f>
        <v>0</v>
      </c>
      <c r="C1519" t="s">
        <v>1816</v>
      </c>
      <c r="D1519">
        <v>6.82</v>
      </c>
      <c r="E1519">
        <v>0</v>
      </c>
      <c r="F1519" t="s">
        <v>1812</v>
      </c>
      <c r="G1519" t="s">
        <v>1812</v>
      </c>
      <c r="H1519">
        <v>0</v>
      </c>
      <c r="I1519">
        <v>217.428959</v>
      </c>
      <c r="J1519">
        <v>0</v>
      </c>
      <c r="K1519" t="s">
        <v>1812</v>
      </c>
      <c r="L1519">
        <v>1.501473180476043</v>
      </c>
      <c r="M1519">
        <v>9.4</v>
      </c>
      <c r="N1519">
        <v>4.91</v>
      </c>
    </row>
    <row r="1520" spans="1:14">
      <c r="A1520" s="1" t="s">
        <v>1532</v>
      </c>
      <c r="B1520">
        <f>HYPERLINK("https://www.suredividend.com/sure-analysis-research-database/","StoneCo Ltd")</f>
        <v>0</v>
      </c>
      <c r="C1520" t="s">
        <v>1818</v>
      </c>
      <c r="D1520">
        <v>13.83</v>
      </c>
      <c r="E1520">
        <v>0</v>
      </c>
      <c r="F1520" t="s">
        <v>1812</v>
      </c>
      <c r="G1520" t="s">
        <v>1812</v>
      </c>
      <c r="H1520">
        <v>0</v>
      </c>
      <c r="I1520">
        <v>3685.557571</v>
      </c>
      <c r="J1520">
        <v>310.086564592708</v>
      </c>
      <c r="K1520">
        <v>0</v>
      </c>
      <c r="L1520">
        <v>1.598150257182575</v>
      </c>
      <c r="M1520">
        <v>14.83</v>
      </c>
      <c r="N1520">
        <v>8.07</v>
      </c>
    </row>
    <row r="1521" spans="1:14">
      <c r="A1521" s="1" t="s">
        <v>1533</v>
      </c>
      <c r="B1521">
        <f>HYPERLINK("https://www.suredividend.com/sure-analysis-research-database/","Scorpio Tankers Inc")</f>
        <v>0</v>
      </c>
      <c r="C1521" t="s">
        <v>1822</v>
      </c>
      <c r="D1521">
        <v>49.9</v>
      </c>
      <c r="E1521">
        <v>0.012963850024614</v>
      </c>
      <c r="F1521">
        <v>1.5</v>
      </c>
      <c r="G1521">
        <v>0.9036539387158786</v>
      </c>
      <c r="H1521">
        <v>0.646896116228269</v>
      </c>
      <c r="I1521">
        <v>2761.05203</v>
      </c>
      <c r="J1521">
        <v>0</v>
      </c>
      <c r="K1521" t="s">
        <v>1812</v>
      </c>
      <c r="L1521">
        <v>0.259670948083184</v>
      </c>
      <c r="M1521">
        <v>63.63</v>
      </c>
      <c r="N1521">
        <v>37.28</v>
      </c>
    </row>
    <row r="1522" spans="1:14">
      <c r="A1522" s="1" t="s">
        <v>1534</v>
      </c>
      <c r="B1522">
        <f>HYPERLINK("https://www.suredividend.com/sure-analysis-research-database/","Stoke Therapeutics Inc")</f>
        <v>0</v>
      </c>
      <c r="C1522" t="s">
        <v>1817</v>
      </c>
      <c r="D1522">
        <v>5.85</v>
      </c>
      <c r="E1522">
        <v>0</v>
      </c>
      <c r="F1522" t="s">
        <v>1812</v>
      </c>
      <c r="G1522" t="s">
        <v>1812</v>
      </c>
      <c r="H1522">
        <v>0</v>
      </c>
      <c r="I1522">
        <v>258.502924</v>
      </c>
      <c r="J1522">
        <v>0</v>
      </c>
      <c r="K1522" t="s">
        <v>1812</v>
      </c>
      <c r="L1522">
        <v>1.402498550154292</v>
      </c>
      <c r="M1522">
        <v>22.87</v>
      </c>
      <c r="N1522">
        <v>5.79</v>
      </c>
    </row>
    <row r="1523" spans="1:14">
      <c r="A1523" s="1" t="s">
        <v>1535</v>
      </c>
      <c r="B1523">
        <f>HYPERLINK("https://www.suredividend.com/sure-analysis-research-database/","Sitio Royalties Corp")</f>
        <v>0</v>
      </c>
      <c r="C1523" t="s">
        <v>1812</v>
      </c>
      <c r="D1523">
        <v>27.4</v>
      </c>
      <c r="E1523">
        <v>0.039718115273935</v>
      </c>
      <c r="F1523" t="s">
        <v>1812</v>
      </c>
      <c r="G1523" t="s">
        <v>1812</v>
      </c>
      <c r="H1523">
        <v>1.088276358505839</v>
      </c>
      <c r="I1523">
        <v>2209.664616</v>
      </c>
      <c r="J1523">
        <v>0</v>
      </c>
      <c r="K1523" t="s">
        <v>1812</v>
      </c>
      <c r="L1523">
        <v>0.6972274830084071</v>
      </c>
      <c r="M1523">
        <v>29.23</v>
      </c>
      <c r="N1523">
        <v>18.79</v>
      </c>
    </row>
    <row r="1524" spans="1:14">
      <c r="A1524" s="1" t="s">
        <v>1536</v>
      </c>
      <c r="B1524">
        <f>HYPERLINK("https://www.suredividend.com/sure-analysis-research-database/","Strategic Education Inc")</f>
        <v>0</v>
      </c>
      <c r="C1524" t="s">
        <v>1819</v>
      </c>
      <c r="D1524">
        <v>75.38</v>
      </c>
      <c r="E1524">
        <v>0.031367097417449</v>
      </c>
      <c r="F1524">
        <v>0</v>
      </c>
      <c r="G1524">
        <v>0.03713728933664817</v>
      </c>
      <c r="H1524">
        <v>2.364451803327306</v>
      </c>
      <c r="I1524">
        <v>1843.602053</v>
      </c>
      <c r="J1524">
        <v>50.33863186271297</v>
      </c>
      <c r="K1524">
        <v>1.5353583138489</v>
      </c>
      <c r="L1524">
        <v>0.550940637127159</v>
      </c>
      <c r="M1524">
        <v>96.05</v>
      </c>
      <c r="N1524">
        <v>58.6</v>
      </c>
    </row>
    <row r="1525" spans="1:14">
      <c r="A1525" s="1" t="s">
        <v>1537</v>
      </c>
      <c r="B1525">
        <f>HYPERLINK("https://www.suredividend.com/sure-analysis-research-database/","Sarcos Technology and Robotics Corporation")</f>
        <v>0</v>
      </c>
      <c r="C1525" t="s">
        <v>1812</v>
      </c>
      <c r="D1525">
        <v>1.93</v>
      </c>
      <c r="E1525">
        <v>0</v>
      </c>
      <c r="F1525" t="s">
        <v>1812</v>
      </c>
      <c r="G1525" t="s">
        <v>1812</v>
      </c>
      <c r="H1525">
        <v>0</v>
      </c>
      <c r="I1525">
        <v>297.799</v>
      </c>
      <c r="J1525">
        <v>0</v>
      </c>
      <c r="K1525" t="s">
        <v>1812</v>
      </c>
      <c r="L1525">
        <v>1.126588463736307</v>
      </c>
      <c r="M1525">
        <v>24.48</v>
      </c>
      <c r="N1525">
        <v>1.43</v>
      </c>
    </row>
    <row r="1526" spans="1:14">
      <c r="A1526" s="1" t="s">
        <v>1538</v>
      </c>
      <c r="B1526">
        <f>HYPERLINK("https://www.suredividend.com/sure-analysis-research-database/","Sterling Infrastructure Inc")</f>
        <v>0</v>
      </c>
      <c r="C1526" t="s">
        <v>1813</v>
      </c>
      <c r="D1526">
        <v>61.3</v>
      </c>
      <c r="E1526">
        <v>0</v>
      </c>
      <c r="F1526" t="s">
        <v>1812</v>
      </c>
      <c r="G1526" t="s">
        <v>1812</v>
      </c>
      <c r="H1526">
        <v>0</v>
      </c>
      <c r="I1526">
        <v>1887.407078</v>
      </c>
      <c r="J1526">
        <v>17.66275877800446</v>
      </c>
      <c r="K1526">
        <v>0</v>
      </c>
      <c r="L1526">
        <v>0.9681476651384021</v>
      </c>
      <c r="M1526">
        <v>63.21</v>
      </c>
      <c r="N1526">
        <v>20.46</v>
      </c>
    </row>
    <row r="1527" spans="1:14">
      <c r="A1527" s="1" t="s">
        <v>1539</v>
      </c>
      <c r="B1527">
        <f>HYPERLINK("https://www.suredividend.com/sure-analysis-research-database/","Sutro Biopharma Inc")</f>
        <v>0</v>
      </c>
      <c r="C1527" t="s">
        <v>1817</v>
      </c>
      <c r="D1527">
        <v>4.34</v>
      </c>
      <c r="E1527">
        <v>0</v>
      </c>
      <c r="F1527" t="s">
        <v>1812</v>
      </c>
      <c r="G1527" t="s">
        <v>1812</v>
      </c>
      <c r="H1527">
        <v>0</v>
      </c>
      <c r="I1527">
        <v>262.209415</v>
      </c>
      <c r="J1527">
        <v>0</v>
      </c>
      <c r="K1527" t="s">
        <v>1812</v>
      </c>
      <c r="L1527">
        <v>0.8087596695843861</v>
      </c>
      <c r="M1527">
        <v>8.720000000000001</v>
      </c>
      <c r="N1527">
        <v>4.09</v>
      </c>
    </row>
    <row r="1528" spans="1:14">
      <c r="A1528" s="1" t="s">
        <v>1540</v>
      </c>
      <c r="B1528">
        <f>HYPERLINK("https://www.suredividend.com/sure-analysis-research-database/","Stratus Properties Inc.")</f>
        <v>0</v>
      </c>
      <c r="C1528" t="s">
        <v>1814</v>
      </c>
      <c r="D1528">
        <v>27</v>
      </c>
      <c r="E1528">
        <v>0</v>
      </c>
      <c r="F1528" t="s">
        <v>1812</v>
      </c>
      <c r="G1528" t="s">
        <v>1812</v>
      </c>
      <c r="H1528">
        <v>0</v>
      </c>
      <c r="I1528">
        <v>214.790859</v>
      </c>
      <c r="J1528">
        <v>0</v>
      </c>
      <c r="K1528" t="s">
        <v>1812</v>
      </c>
      <c r="L1528">
        <v>1.011339275066977</v>
      </c>
      <c r="M1528">
        <v>38.01</v>
      </c>
      <c r="N1528">
        <v>18.51</v>
      </c>
    </row>
    <row r="1529" spans="1:14">
      <c r="A1529" s="1" t="s">
        <v>1541</v>
      </c>
      <c r="B1529">
        <f>HYPERLINK("https://www.suredividend.com/sure-analysis-research-database/","Summit Materials Inc")</f>
        <v>0</v>
      </c>
      <c r="C1529" t="s">
        <v>1823</v>
      </c>
      <c r="D1529">
        <v>37.29</v>
      </c>
      <c r="E1529">
        <v>0</v>
      </c>
      <c r="F1529" t="s">
        <v>1812</v>
      </c>
      <c r="G1529" t="s">
        <v>1812</v>
      </c>
      <c r="H1529">
        <v>0</v>
      </c>
      <c r="I1529">
        <v>4431.140719</v>
      </c>
      <c r="J1529">
        <v>16.07623440894233</v>
      </c>
      <c r="K1529">
        <v>0</v>
      </c>
      <c r="L1529">
        <v>1.285161169934487</v>
      </c>
      <c r="M1529">
        <v>38.14</v>
      </c>
      <c r="N1529">
        <v>22.8</v>
      </c>
    </row>
    <row r="1530" spans="1:14">
      <c r="A1530" s="1" t="s">
        <v>1542</v>
      </c>
      <c r="B1530">
        <f>HYPERLINK("https://www.suredividend.com/sure-analysis-research-database/","Sunlight Financial Holdings Inc")</f>
        <v>0</v>
      </c>
      <c r="C1530" t="s">
        <v>1812</v>
      </c>
      <c r="D1530">
        <v>0.5051</v>
      </c>
      <c r="E1530">
        <v>0</v>
      </c>
      <c r="F1530" t="s">
        <v>1812</v>
      </c>
      <c r="G1530" t="s">
        <v>1812</v>
      </c>
      <c r="H1530">
        <v>0</v>
      </c>
      <c r="I1530">
        <v>43.21752</v>
      </c>
      <c r="J1530">
        <v>0</v>
      </c>
      <c r="K1530" t="s">
        <v>1812</v>
      </c>
      <c r="L1530">
        <v>1.71126621855741</v>
      </c>
      <c r="M1530">
        <v>4.73</v>
      </c>
      <c r="N1530">
        <v>0.25</v>
      </c>
    </row>
    <row r="1531" spans="1:14">
      <c r="A1531" s="1" t="s">
        <v>1543</v>
      </c>
      <c r="B1531">
        <f>HYPERLINK("https://www.suredividend.com/sure-analysis-research-database/","Supernus Pharmaceuticals Inc")</f>
        <v>0</v>
      </c>
      <c r="C1531" t="s">
        <v>1817</v>
      </c>
      <c r="D1531">
        <v>31.85</v>
      </c>
      <c r="E1531">
        <v>0</v>
      </c>
      <c r="F1531" t="s">
        <v>1812</v>
      </c>
      <c r="G1531" t="s">
        <v>1812</v>
      </c>
      <c r="H1531">
        <v>0</v>
      </c>
      <c r="I1531">
        <v>1735.073627</v>
      </c>
      <c r="J1531">
        <v>33.33923153257883</v>
      </c>
      <c r="K1531">
        <v>0</v>
      </c>
      <c r="L1531">
        <v>0.6379013834317611</v>
      </c>
      <c r="M1531">
        <v>42.09</v>
      </c>
      <c r="N1531">
        <v>29.06</v>
      </c>
    </row>
    <row r="1532" spans="1:14">
      <c r="A1532" s="1" t="s">
        <v>1544</v>
      </c>
      <c r="B1532">
        <f>HYPERLINK("https://www.suredividend.com/sure-analysis-research-database/","Service Properties Trust")</f>
        <v>0</v>
      </c>
      <c r="C1532" t="s">
        <v>1814</v>
      </c>
      <c r="D1532">
        <v>8.199999999999999</v>
      </c>
      <c r="E1532">
        <v>0.093338948421054</v>
      </c>
      <c r="F1532">
        <v>19</v>
      </c>
      <c r="G1532">
        <v>-0.1770928700583446</v>
      </c>
      <c r="H1532">
        <v>0.765379377052642</v>
      </c>
      <c r="I1532">
        <v>1356.657159</v>
      </c>
      <c r="J1532">
        <v>101.3111163468001</v>
      </c>
      <c r="K1532">
        <v>9.414260480352301</v>
      </c>
      <c r="L1532">
        <v>1.562230978108669</v>
      </c>
      <c r="M1532">
        <v>10.83</v>
      </c>
      <c r="N1532">
        <v>4.44</v>
      </c>
    </row>
    <row r="1533" spans="1:14">
      <c r="A1533" s="1" t="s">
        <v>1545</v>
      </c>
      <c r="B1533">
        <f>HYPERLINK("https://www.suredividend.com/sure-analysis-research-database/","ShockWave Medical Inc")</f>
        <v>0</v>
      </c>
      <c r="C1533" t="s">
        <v>1817</v>
      </c>
      <c r="D1533">
        <v>250.78</v>
      </c>
      <c r="E1533">
        <v>0</v>
      </c>
      <c r="F1533" t="s">
        <v>1812</v>
      </c>
      <c r="G1533" t="s">
        <v>1812</v>
      </c>
      <c r="H1533">
        <v>0</v>
      </c>
      <c r="I1533">
        <v>9185.121195</v>
      </c>
      <c r="J1533">
        <v>38.17589856433916</v>
      </c>
      <c r="K1533">
        <v>0</v>
      </c>
      <c r="L1533">
        <v>1.086486672835603</v>
      </c>
      <c r="M1533">
        <v>320.54</v>
      </c>
      <c r="N1533">
        <v>172.5</v>
      </c>
    </row>
    <row r="1534" spans="1:14">
      <c r="A1534" s="1" t="s">
        <v>1546</v>
      </c>
      <c r="B1534">
        <f>HYPERLINK("https://www.suredividend.com/sure-analysis-research-database/","Smith &amp; Wesson Brands Inc")</f>
        <v>0</v>
      </c>
      <c r="C1534" t="s">
        <v>1812</v>
      </c>
      <c r="D1534">
        <v>12.56</v>
      </c>
      <c r="E1534">
        <v>0.032776510018368</v>
      </c>
      <c r="F1534" t="s">
        <v>1812</v>
      </c>
      <c r="G1534" t="s">
        <v>1812</v>
      </c>
      <c r="H1534">
        <v>0.4116729658307121</v>
      </c>
      <c r="I1534">
        <v>578.7987869999999</v>
      </c>
      <c r="J1534">
        <v>15.69581265213147</v>
      </c>
      <c r="K1534">
        <v>0.5154287790543534</v>
      </c>
      <c r="L1534">
        <v>0.8815026024647461</v>
      </c>
      <c r="M1534">
        <v>14.97</v>
      </c>
      <c r="N1534">
        <v>7.98</v>
      </c>
    </row>
    <row r="1535" spans="1:14">
      <c r="A1535" s="1" t="s">
        <v>1547</v>
      </c>
      <c r="B1535">
        <f>HYPERLINK("https://www.suredividend.com/sure-analysis-research-database/","SolarWinds Corp")</f>
        <v>0</v>
      </c>
      <c r="C1535" t="s">
        <v>1818</v>
      </c>
      <c r="D1535">
        <v>11.85</v>
      </c>
      <c r="E1535">
        <v>0</v>
      </c>
      <c r="F1535" t="s">
        <v>1812</v>
      </c>
      <c r="G1535" t="s">
        <v>1812</v>
      </c>
      <c r="H1535">
        <v>0</v>
      </c>
      <c r="I1535">
        <v>1939.812247</v>
      </c>
      <c r="J1535" t="s">
        <v>1812</v>
      </c>
      <c r="K1535">
        <v>-0</v>
      </c>
      <c r="L1535">
        <v>1.465706082412549</v>
      </c>
      <c r="M1535">
        <v>11.9</v>
      </c>
      <c r="N1535">
        <v>7.51</v>
      </c>
    </row>
    <row r="1536" spans="1:14">
      <c r="A1536" s="1" t="s">
        <v>1548</v>
      </c>
      <c r="B1536">
        <f>HYPERLINK("https://www.suredividend.com/sure-analysis-research-database/","Latham Group Inc")</f>
        <v>0</v>
      </c>
      <c r="C1536" t="s">
        <v>1812</v>
      </c>
      <c r="D1536">
        <v>3.8</v>
      </c>
      <c r="E1536">
        <v>0</v>
      </c>
      <c r="F1536" t="s">
        <v>1812</v>
      </c>
      <c r="G1536" t="s">
        <v>1812</v>
      </c>
      <c r="H1536">
        <v>0</v>
      </c>
      <c r="I1536">
        <v>436.198303</v>
      </c>
      <c r="J1536">
        <v>0</v>
      </c>
      <c r="K1536" t="s">
        <v>1812</v>
      </c>
      <c r="L1536">
        <v>2.043112349288189</v>
      </c>
      <c r="M1536">
        <v>7.92</v>
      </c>
      <c r="N1536">
        <v>2.12</v>
      </c>
    </row>
    <row r="1537" spans="1:14">
      <c r="A1537" s="1" t="s">
        <v>1549</v>
      </c>
      <c r="B1537">
        <f>HYPERLINK("https://www.suredividend.com/sure-analysis-research-database/","Swk Holdings Corp")</f>
        <v>0</v>
      </c>
      <c r="C1537" t="s">
        <v>1815</v>
      </c>
      <c r="D1537">
        <v>15.99</v>
      </c>
      <c r="E1537">
        <v>0</v>
      </c>
      <c r="F1537" t="s">
        <v>1812</v>
      </c>
      <c r="G1537" t="s">
        <v>1812</v>
      </c>
      <c r="H1537">
        <v>0</v>
      </c>
      <c r="I1537">
        <v>204.91452</v>
      </c>
      <c r="J1537">
        <v>13.9892490667668</v>
      </c>
      <c r="K1537">
        <v>0</v>
      </c>
      <c r="L1537">
        <v>0.330562721084735</v>
      </c>
      <c r="M1537">
        <v>19.99</v>
      </c>
      <c r="N1537">
        <v>15.87</v>
      </c>
    </row>
    <row r="1538" spans="1:14">
      <c r="A1538" s="1" t="s">
        <v>1550</v>
      </c>
      <c r="B1538">
        <f>HYPERLINK("https://www.suredividend.com/sure-analysis-research-database/","SpringWorks Therapeutics Inc")</f>
        <v>0</v>
      </c>
      <c r="C1538" t="s">
        <v>1817</v>
      </c>
      <c r="D1538">
        <v>25.49</v>
      </c>
      <c r="E1538">
        <v>0</v>
      </c>
      <c r="F1538" t="s">
        <v>1812</v>
      </c>
      <c r="G1538" t="s">
        <v>1812</v>
      </c>
      <c r="H1538">
        <v>0</v>
      </c>
      <c r="I1538">
        <v>1594.904584</v>
      </c>
      <c r="J1538">
        <v>0</v>
      </c>
      <c r="K1538" t="s">
        <v>1812</v>
      </c>
      <c r="L1538">
        <v>1.123897497018802</v>
      </c>
      <c r="M1538">
        <v>39.78</v>
      </c>
      <c r="N1538">
        <v>21.04</v>
      </c>
    </row>
    <row r="1539" spans="1:14">
      <c r="A1539" s="1" t="s">
        <v>1551</v>
      </c>
      <c r="B1539">
        <f>HYPERLINK("https://www.suredividend.com/sure-analysis-SWX/","Southwest Gas Holdings Inc")</f>
        <v>0</v>
      </c>
      <c r="C1539" t="s">
        <v>1820</v>
      </c>
      <c r="D1539">
        <v>64.67</v>
      </c>
      <c r="E1539">
        <v>0.03834853873511675</v>
      </c>
      <c r="F1539">
        <v>0</v>
      </c>
      <c r="G1539">
        <v>0.03580420358021419</v>
      </c>
      <c r="H1539">
        <v>2.442526511643276</v>
      </c>
      <c r="I1539">
        <v>4613.301383</v>
      </c>
      <c r="J1539" t="s">
        <v>1812</v>
      </c>
      <c r="K1539" t="s">
        <v>1812</v>
      </c>
      <c r="L1539">
        <v>0.7376344493721181</v>
      </c>
      <c r="M1539">
        <v>81.15000000000001</v>
      </c>
      <c r="N1539">
        <v>53.2</v>
      </c>
    </row>
    <row r="1540" spans="1:14">
      <c r="A1540" s="1" t="s">
        <v>1552</v>
      </c>
      <c r="B1540">
        <f>HYPERLINK("https://www.suredividend.com/sure-analysis-research-database/","SunCoke Energy Inc")</f>
        <v>0</v>
      </c>
      <c r="C1540" t="s">
        <v>1823</v>
      </c>
      <c r="D1540">
        <v>9.109999999999999</v>
      </c>
      <c r="E1540">
        <v>0.03461065387202501</v>
      </c>
      <c r="F1540" t="s">
        <v>1812</v>
      </c>
      <c r="G1540" t="s">
        <v>1812</v>
      </c>
      <c r="H1540">
        <v>0.315303056774152</v>
      </c>
      <c r="I1540">
        <v>763.019137</v>
      </c>
      <c r="J1540">
        <v>8.48742087730812</v>
      </c>
      <c r="K1540">
        <v>0.2974557139378793</v>
      </c>
      <c r="L1540">
        <v>0.9888122344776211</v>
      </c>
      <c r="M1540">
        <v>10.31</v>
      </c>
      <c r="N1540">
        <v>5.56</v>
      </c>
    </row>
    <row r="1541" spans="1:14">
      <c r="A1541" s="1" t="s">
        <v>1553</v>
      </c>
      <c r="B1541">
        <f>HYPERLINK("https://www.suredividend.com/sure-analysis-SXI/","Standex International Corp.")</f>
        <v>0</v>
      </c>
      <c r="C1541" t="s">
        <v>1813</v>
      </c>
      <c r="D1541">
        <v>146.45</v>
      </c>
      <c r="E1541">
        <v>0.007647661317855925</v>
      </c>
      <c r="F1541">
        <v>0.07692307692307709</v>
      </c>
      <c r="G1541">
        <v>0.09238846414037316</v>
      </c>
      <c r="H1541">
        <v>1.096306489806103</v>
      </c>
      <c r="I1541">
        <v>1743.1469</v>
      </c>
      <c r="J1541">
        <v>13.19646080156255</v>
      </c>
      <c r="K1541">
        <v>0.09930312407663977</v>
      </c>
      <c r="L1541">
        <v>1.041889116344895</v>
      </c>
      <c r="M1541">
        <v>149.96</v>
      </c>
      <c r="N1541">
        <v>80.3</v>
      </c>
    </row>
    <row r="1542" spans="1:14">
      <c r="A1542" s="1" t="s">
        <v>1554</v>
      </c>
      <c r="B1542">
        <f>HYPERLINK("https://www.suredividend.com/sure-analysis-SXT/","Sensient Technologies Corp.")</f>
        <v>0</v>
      </c>
      <c r="C1542" t="s">
        <v>1823</v>
      </c>
      <c r="D1542">
        <v>62.11</v>
      </c>
      <c r="E1542">
        <v>0.02640476573820641</v>
      </c>
      <c r="F1542">
        <v>0</v>
      </c>
      <c r="G1542">
        <v>0.02635185407071083</v>
      </c>
      <c r="H1542">
        <v>1.223387914476538</v>
      </c>
      <c r="I1542">
        <v>2623.797883</v>
      </c>
      <c r="J1542">
        <v>19.08674723977391</v>
      </c>
      <c r="K1542">
        <v>0.3764270506081656</v>
      </c>
      <c r="L1542">
        <v>1.006605730205478</v>
      </c>
      <c r="M1542">
        <v>87.84999999999999</v>
      </c>
      <c r="N1542">
        <v>62.07</v>
      </c>
    </row>
    <row r="1543" spans="1:14">
      <c r="A1543" s="1" t="s">
        <v>1555</v>
      </c>
      <c r="B1543">
        <f>HYPERLINK("https://www.suredividend.com/sure-analysis-SYBT/","Stock Yards Bancorp Inc")</f>
        <v>0</v>
      </c>
      <c r="C1543" t="s">
        <v>1815</v>
      </c>
      <c r="D1543">
        <v>47.51</v>
      </c>
      <c r="E1543">
        <v>0.02441591243948642</v>
      </c>
      <c r="F1543">
        <v>0.03571428571428559</v>
      </c>
      <c r="G1543">
        <v>0.03012896281839894</v>
      </c>
      <c r="H1543">
        <v>1.145288647338546</v>
      </c>
      <c r="I1543">
        <v>1393.136253</v>
      </c>
      <c r="J1543">
        <v>12.20828515878858</v>
      </c>
      <c r="K1543">
        <v>0.2951774864274603</v>
      </c>
      <c r="L1543">
        <v>0.8065651317351511</v>
      </c>
      <c r="M1543">
        <v>77.01000000000001</v>
      </c>
      <c r="N1543">
        <v>41.11</v>
      </c>
    </row>
    <row r="1544" spans="1:14">
      <c r="A1544" s="1" t="s">
        <v>1556</v>
      </c>
      <c r="B1544">
        <f>HYPERLINK("https://www.suredividend.com/sure-analysis-research-database/","Synaptics Inc")</f>
        <v>0</v>
      </c>
      <c r="C1544" t="s">
        <v>1818</v>
      </c>
      <c r="D1544">
        <v>89.78</v>
      </c>
      <c r="E1544">
        <v>0</v>
      </c>
      <c r="F1544" t="s">
        <v>1812</v>
      </c>
      <c r="G1544" t="s">
        <v>1812</v>
      </c>
      <c r="H1544">
        <v>0</v>
      </c>
      <c r="I1544">
        <v>3548.460051</v>
      </c>
      <c r="J1544">
        <v>19.72462507748749</v>
      </c>
      <c r="K1544">
        <v>0</v>
      </c>
      <c r="L1544">
        <v>2.211812771691359</v>
      </c>
      <c r="M1544">
        <v>149.96</v>
      </c>
      <c r="N1544">
        <v>67.73</v>
      </c>
    </row>
    <row r="1545" spans="1:14">
      <c r="A1545" s="1" t="s">
        <v>1557</v>
      </c>
      <c r="B1545">
        <f>HYPERLINK("https://www.suredividend.com/sure-analysis-research-database/","Talos Energy Inc")</f>
        <v>0</v>
      </c>
      <c r="C1545" t="s">
        <v>1822</v>
      </c>
      <c r="D1545">
        <v>16.08</v>
      </c>
      <c r="E1545">
        <v>0</v>
      </c>
      <c r="F1545" t="s">
        <v>1812</v>
      </c>
      <c r="G1545" t="s">
        <v>1812</v>
      </c>
      <c r="H1545">
        <v>0</v>
      </c>
      <c r="I1545">
        <v>2018.939917</v>
      </c>
      <c r="J1545">
        <v>3.751170379921815</v>
      </c>
      <c r="K1545">
        <v>0</v>
      </c>
      <c r="L1545">
        <v>1.474308488631561</v>
      </c>
      <c r="M1545">
        <v>22.63</v>
      </c>
      <c r="N1545">
        <v>10.69</v>
      </c>
    </row>
    <row r="1546" spans="1:14">
      <c r="A1546" s="1" t="s">
        <v>1558</v>
      </c>
      <c r="B1546">
        <f>HYPERLINK("https://www.suredividend.com/sure-analysis-research-database/","Talaris Therapeutics Inc")</f>
        <v>0</v>
      </c>
      <c r="C1546" t="s">
        <v>1812</v>
      </c>
      <c r="D1546">
        <v>2.8</v>
      </c>
      <c r="E1546">
        <v>0</v>
      </c>
      <c r="F1546" t="s">
        <v>1812</v>
      </c>
      <c r="G1546" t="s">
        <v>1812</v>
      </c>
      <c r="H1546">
        <v>0</v>
      </c>
      <c r="I1546">
        <v>118.06487</v>
      </c>
      <c r="J1546">
        <v>0</v>
      </c>
      <c r="K1546" t="s">
        <v>1812</v>
      </c>
      <c r="L1546">
        <v>1.465841588010037</v>
      </c>
      <c r="M1546">
        <v>5.06</v>
      </c>
      <c r="N1546">
        <v>0.89</v>
      </c>
    </row>
    <row r="1547" spans="1:14">
      <c r="A1547" s="1" t="s">
        <v>1559</v>
      </c>
      <c r="B1547">
        <f>HYPERLINK("https://www.suredividend.com/sure-analysis-research-database/","Tarsus Pharmaceuticals Inc")</f>
        <v>0</v>
      </c>
      <c r="C1547" t="s">
        <v>1812</v>
      </c>
      <c r="D1547">
        <v>17.33</v>
      </c>
      <c r="E1547">
        <v>0</v>
      </c>
      <c r="F1547" t="s">
        <v>1812</v>
      </c>
      <c r="G1547" t="s">
        <v>1812</v>
      </c>
      <c r="H1547">
        <v>0</v>
      </c>
      <c r="I1547">
        <v>464.508693</v>
      </c>
      <c r="J1547">
        <v>0</v>
      </c>
      <c r="K1547" t="s">
        <v>1812</v>
      </c>
      <c r="L1547">
        <v>0.859371871330863</v>
      </c>
      <c r="M1547">
        <v>25.25</v>
      </c>
      <c r="N1547">
        <v>11.33</v>
      </c>
    </row>
    <row r="1548" spans="1:14">
      <c r="A1548" s="1" t="s">
        <v>1560</v>
      </c>
      <c r="B1548">
        <f>HYPERLINK("https://www.suredividend.com/sure-analysis-research-database/","Bancorp Inc. (The)")</f>
        <v>0</v>
      </c>
      <c r="C1548" t="s">
        <v>1815</v>
      </c>
      <c r="D1548">
        <v>39.62</v>
      </c>
      <c r="E1548">
        <v>0</v>
      </c>
      <c r="F1548" t="s">
        <v>1812</v>
      </c>
      <c r="G1548" t="s">
        <v>1812</v>
      </c>
      <c r="H1548">
        <v>0</v>
      </c>
      <c r="I1548">
        <v>2166.873466</v>
      </c>
      <c r="J1548">
        <v>14.4103735883061</v>
      </c>
      <c r="K1548">
        <v>0</v>
      </c>
      <c r="L1548">
        <v>1.346249556813007</v>
      </c>
      <c r="M1548">
        <v>41.52</v>
      </c>
      <c r="N1548">
        <v>21.59</v>
      </c>
    </row>
    <row r="1549" spans="1:14">
      <c r="A1549" s="1" t="s">
        <v>1561</v>
      </c>
      <c r="B1549">
        <f>HYPERLINK("https://www.suredividend.com/sure-analysis-research-database/","TrueBlue Inc")</f>
        <v>0</v>
      </c>
      <c r="C1549" t="s">
        <v>1813</v>
      </c>
      <c r="D1549">
        <v>15.33</v>
      </c>
      <c r="E1549">
        <v>0</v>
      </c>
      <c r="F1549" t="s">
        <v>1812</v>
      </c>
      <c r="G1549" t="s">
        <v>1812</v>
      </c>
      <c r="H1549">
        <v>0</v>
      </c>
      <c r="I1549">
        <v>475.303615</v>
      </c>
      <c r="J1549">
        <v>29.46888304668609</v>
      </c>
      <c r="K1549">
        <v>0</v>
      </c>
      <c r="L1549">
        <v>0.900420813910603</v>
      </c>
      <c r="M1549">
        <v>22.75</v>
      </c>
      <c r="N1549">
        <v>13.52</v>
      </c>
    </row>
    <row r="1550" spans="1:14">
      <c r="A1550" s="1" t="s">
        <v>1562</v>
      </c>
      <c r="B1550">
        <f>HYPERLINK("https://www.suredividend.com/sure-analysis-research-database/","Theravance Biopharma Inc")</f>
        <v>0</v>
      </c>
      <c r="C1550" t="s">
        <v>1817</v>
      </c>
      <c r="D1550">
        <v>9.92</v>
      </c>
      <c r="E1550">
        <v>0</v>
      </c>
      <c r="F1550" t="s">
        <v>1812</v>
      </c>
      <c r="G1550" t="s">
        <v>1812</v>
      </c>
      <c r="H1550">
        <v>0</v>
      </c>
      <c r="I1550">
        <v>573.350883</v>
      </c>
      <c r="J1550">
        <v>0</v>
      </c>
      <c r="K1550" t="s">
        <v>1812</v>
      </c>
      <c r="L1550">
        <v>0.511252878278606</v>
      </c>
      <c r="M1550">
        <v>12.03</v>
      </c>
      <c r="N1550">
        <v>8.6</v>
      </c>
    </row>
    <row r="1551" spans="1:14">
      <c r="A1551" s="1" t="s">
        <v>1563</v>
      </c>
      <c r="B1551">
        <f>HYPERLINK("https://www.suredividend.com/sure-analysis-research-database/","Texas Capital Bancshares, Inc.")</f>
        <v>0</v>
      </c>
      <c r="C1551" t="s">
        <v>1815</v>
      </c>
      <c r="D1551">
        <v>62.92</v>
      </c>
      <c r="E1551">
        <v>0</v>
      </c>
      <c r="F1551" t="s">
        <v>1812</v>
      </c>
      <c r="G1551" t="s">
        <v>1812</v>
      </c>
      <c r="H1551">
        <v>0</v>
      </c>
      <c r="I1551">
        <v>3020.210839</v>
      </c>
      <c r="J1551">
        <v>8.660574595777259</v>
      </c>
      <c r="K1551">
        <v>0</v>
      </c>
      <c r="L1551">
        <v>1.198236061120771</v>
      </c>
      <c r="M1551">
        <v>69.27</v>
      </c>
      <c r="N1551">
        <v>42.79</v>
      </c>
    </row>
    <row r="1552" spans="1:14">
      <c r="A1552" s="1" t="s">
        <v>1564</v>
      </c>
      <c r="B1552">
        <f>HYPERLINK("https://www.suredividend.com/sure-analysis-research-database/","Trico Bancshares")</f>
        <v>0</v>
      </c>
      <c r="C1552" t="s">
        <v>1815</v>
      </c>
      <c r="D1552">
        <v>37.58</v>
      </c>
      <c r="E1552">
        <v>0.031413538592496</v>
      </c>
      <c r="F1552">
        <v>0.2000000000000002</v>
      </c>
      <c r="G1552">
        <v>0.1203003371416174</v>
      </c>
      <c r="H1552">
        <v>1.180520780306015</v>
      </c>
      <c r="I1552">
        <v>1247.911093</v>
      </c>
      <c r="J1552">
        <v>8.85809773733301</v>
      </c>
      <c r="K1552">
        <v>0.2810763762633369</v>
      </c>
      <c r="L1552">
        <v>0.9006325163991661</v>
      </c>
      <c r="M1552">
        <v>57</v>
      </c>
      <c r="N1552">
        <v>28.22</v>
      </c>
    </row>
    <row r="1553" spans="1:14">
      <c r="A1553" s="1" t="s">
        <v>1565</v>
      </c>
      <c r="B1553">
        <f>HYPERLINK("https://www.suredividend.com/sure-analysis-research-database/","Third Coast Bancshares Inc")</f>
        <v>0</v>
      </c>
      <c r="C1553" t="s">
        <v>1812</v>
      </c>
      <c r="D1553">
        <v>21.03</v>
      </c>
      <c r="E1553">
        <v>0</v>
      </c>
      <c r="F1553" t="s">
        <v>1812</v>
      </c>
      <c r="G1553" t="s">
        <v>1812</v>
      </c>
      <c r="H1553">
        <v>0</v>
      </c>
      <c r="I1553">
        <v>285.594866</v>
      </c>
      <c r="J1553">
        <v>0</v>
      </c>
      <c r="K1553" t="s">
        <v>1812</v>
      </c>
      <c r="L1553">
        <v>0.843875160223415</v>
      </c>
      <c r="M1553">
        <v>21.1</v>
      </c>
      <c r="N1553">
        <v>12.31</v>
      </c>
    </row>
    <row r="1554" spans="1:14">
      <c r="A1554" s="1" t="s">
        <v>1566</v>
      </c>
      <c r="B1554">
        <f>HYPERLINK("https://www.suredividend.com/sure-analysis-research-database/","Transcontinental Realty Investors, Inc.")</f>
        <v>0</v>
      </c>
      <c r="C1554" t="s">
        <v>1814</v>
      </c>
      <c r="D1554">
        <v>35</v>
      </c>
      <c r="E1554">
        <v>0</v>
      </c>
      <c r="F1554" t="s">
        <v>1812</v>
      </c>
      <c r="G1554" t="s">
        <v>1812</v>
      </c>
      <c r="H1554">
        <v>0</v>
      </c>
      <c r="I1554">
        <v>302.37606</v>
      </c>
      <c r="J1554">
        <v>0.66125359464832</v>
      </c>
      <c r="K1554">
        <v>0</v>
      </c>
      <c r="L1554">
        <v>0.6281518229869161</v>
      </c>
      <c r="M1554">
        <v>47.35</v>
      </c>
      <c r="N1554">
        <v>33.91</v>
      </c>
    </row>
    <row r="1555" spans="1:14">
      <c r="A1555" s="1" t="s">
        <v>1567</v>
      </c>
      <c r="B1555">
        <f>HYPERLINK("https://www.suredividend.com/sure-analysis-research-database/","Tactile Systems Technology Inc")</f>
        <v>0</v>
      </c>
      <c r="C1555" t="s">
        <v>1817</v>
      </c>
      <c r="D1555">
        <v>22.29</v>
      </c>
      <c r="E1555">
        <v>0</v>
      </c>
      <c r="F1555" t="s">
        <v>1812</v>
      </c>
      <c r="G1555" t="s">
        <v>1812</v>
      </c>
      <c r="H1555">
        <v>0</v>
      </c>
      <c r="I1555">
        <v>517.931421</v>
      </c>
      <c r="J1555" t="s">
        <v>1812</v>
      </c>
      <c r="K1555">
        <v>-0</v>
      </c>
      <c r="L1555">
        <v>1.171474117374453</v>
      </c>
      <c r="M1555">
        <v>26.11</v>
      </c>
      <c r="N1555">
        <v>6.52</v>
      </c>
    </row>
    <row r="1556" spans="1:14">
      <c r="A1556" s="1" t="s">
        <v>1568</v>
      </c>
      <c r="B1556">
        <f>HYPERLINK("https://www.suredividend.com/sure-analysis-research-database/","Container Store Group Inc")</f>
        <v>0</v>
      </c>
      <c r="C1556" t="s">
        <v>1816</v>
      </c>
      <c r="D1556">
        <v>2.49</v>
      </c>
      <c r="E1556">
        <v>0</v>
      </c>
      <c r="F1556" t="s">
        <v>1812</v>
      </c>
      <c r="G1556" t="s">
        <v>1812</v>
      </c>
      <c r="H1556">
        <v>0</v>
      </c>
      <c r="I1556">
        <v>127.968304</v>
      </c>
      <c r="J1556" t="s">
        <v>1812</v>
      </c>
      <c r="K1556">
        <v>-0</v>
      </c>
      <c r="L1556">
        <v>1.567813827377232</v>
      </c>
      <c r="M1556">
        <v>8.09</v>
      </c>
      <c r="N1556">
        <v>2.15</v>
      </c>
    </row>
    <row r="1557" spans="1:14">
      <c r="A1557" s="1" t="s">
        <v>1569</v>
      </c>
      <c r="B1557">
        <f>HYPERLINK("https://www.suredividend.com/sure-analysis-research-database/","Tucows, Inc.")</f>
        <v>0</v>
      </c>
      <c r="C1557" t="s">
        <v>1818</v>
      </c>
      <c r="D1557">
        <v>26.33</v>
      </c>
      <c r="E1557">
        <v>0</v>
      </c>
      <c r="F1557" t="s">
        <v>1812</v>
      </c>
      <c r="G1557" t="s">
        <v>1812</v>
      </c>
      <c r="H1557">
        <v>0</v>
      </c>
      <c r="I1557">
        <v>285.76731</v>
      </c>
      <c r="J1557" t="s">
        <v>1812</v>
      </c>
      <c r="K1557">
        <v>-0</v>
      </c>
      <c r="L1557">
        <v>1.460934106929982</v>
      </c>
      <c r="M1557">
        <v>54.53</v>
      </c>
      <c r="N1557">
        <v>16.03</v>
      </c>
    </row>
    <row r="1558" spans="1:14">
      <c r="A1558" s="1" t="s">
        <v>1570</v>
      </c>
      <c r="B1558">
        <f>HYPERLINK("https://www.suredividend.com/sure-analysis-TDS/","Telephone And Data Systems, Inc.")</f>
        <v>0</v>
      </c>
      <c r="C1558" t="s">
        <v>1821</v>
      </c>
      <c r="D1558">
        <v>7.9</v>
      </c>
      <c r="E1558">
        <v>0.09367088607594937</v>
      </c>
      <c r="F1558">
        <v>0.0277777777777779</v>
      </c>
      <c r="G1558">
        <v>0.02946206823925857</v>
      </c>
      <c r="H1558">
        <v>0.7076423205162801</v>
      </c>
      <c r="I1558">
        <v>830.53569</v>
      </c>
      <c r="J1558" t="s">
        <v>1812</v>
      </c>
      <c r="K1558" t="s">
        <v>1812</v>
      </c>
      <c r="L1558">
        <v>0.621033104439155</v>
      </c>
      <c r="M1558">
        <v>16.33</v>
      </c>
      <c r="N1558">
        <v>6.28</v>
      </c>
    </row>
    <row r="1559" spans="1:14">
      <c r="A1559" s="1" t="s">
        <v>1571</v>
      </c>
      <c r="B1559">
        <f>HYPERLINK("https://www.suredividend.com/sure-analysis-research-database/","ThredUp Inc")</f>
        <v>0</v>
      </c>
      <c r="C1559" t="s">
        <v>1812</v>
      </c>
      <c r="D1559">
        <v>3.54</v>
      </c>
      <c r="E1559">
        <v>0</v>
      </c>
      <c r="F1559" t="s">
        <v>1812</v>
      </c>
      <c r="G1559" t="s">
        <v>1812</v>
      </c>
      <c r="H1559">
        <v>0</v>
      </c>
      <c r="I1559">
        <v>107.916142</v>
      </c>
      <c r="J1559">
        <v>0</v>
      </c>
      <c r="K1559" t="s">
        <v>1812</v>
      </c>
      <c r="L1559">
        <v>1.959737347637255</v>
      </c>
      <c r="M1559">
        <v>3.72</v>
      </c>
      <c r="N1559">
        <v>0.7305</v>
      </c>
    </row>
    <row r="1560" spans="1:14">
      <c r="A1560" s="1" t="s">
        <v>1572</v>
      </c>
      <c r="B1560">
        <f>HYPERLINK("https://www.suredividend.com/sure-analysis-research-database/","Tidewater Inc.")</f>
        <v>0</v>
      </c>
      <c r="C1560" t="s">
        <v>1822</v>
      </c>
      <c r="D1560">
        <v>64.75</v>
      </c>
      <c r="E1560">
        <v>0</v>
      </c>
      <c r="F1560" t="s">
        <v>1812</v>
      </c>
      <c r="G1560" t="s">
        <v>1812</v>
      </c>
      <c r="H1560">
        <v>0</v>
      </c>
      <c r="I1560">
        <v>3293.480066</v>
      </c>
      <c r="J1560">
        <v>2846.568769014693</v>
      </c>
      <c r="K1560">
        <v>0</v>
      </c>
      <c r="L1560">
        <v>0.8725647846000451</v>
      </c>
      <c r="M1560">
        <v>65.79000000000001</v>
      </c>
      <c r="N1560">
        <v>18.37</v>
      </c>
    </row>
    <row r="1561" spans="1:14">
      <c r="A1561" s="1" t="s">
        <v>1573</v>
      </c>
      <c r="B1561">
        <f>HYPERLINK("https://www.suredividend.com/sure-analysis-research-database/","Tellurian Inc")</f>
        <v>0</v>
      </c>
      <c r="C1561" t="s">
        <v>1822</v>
      </c>
      <c r="D1561">
        <v>1.69</v>
      </c>
      <c r="E1561">
        <v>0</v>
      </c>
      <c r="F1561" t="s">
        <v>1812</v>
      </c>
      <c r="G1561" t="s">
        <v>1812</v>
      </c>
      <c r="H1561">
        <v>0</v>
      </c>
      <c r="I1561">
        <v>951.147036</v>
      </c>
      <c r="J1561" t="s">
        <v>1812</v>
      </c>
      <c r="K1561">
        <v>-0</v>
      </c>
      <c r="L1561">
        <v>1.88550716799225</v>
      </c>
      <c r="M1561">
        <v>4.89</v>
      </c>
      <c r="N1561">
        <v>0.9400000000000001</v>
      </c>
    </row>
    <row r="1562" spans="1:14">
      <c r="A1562" s="1" t="s">
        <v>1574</v>
      </c>
      <c r="B1562">
        <f>HYPERLINK("https://www.suredividend.com/sure-analysis-research-database/","Tenable Holdings Inc")</f>
        <v>0</v>
      </c>
      <c r="C1562" t="s">
        <v>1818</v>
      </c>
      <c r="D1562">
        <v>47.52</v>
      </c>
      <c r="E1562">
        <v>0</v>
      </c>
      <c r="F1562" t="s">
        <v>1812</v>
      </c>
      <c r="G1562" t="s">
        <v>1812</v>
      </c>
      <c r="H1562">
        <v>0</v>
      </c>
      <c r="I1562">
        <v>5495.165993</v>
      </c>
      <c r="J1562" t="s">
        <v>1812</v>
      </c>
      <c r="K1562">
        <v>-0</v>
      </c>
      <c r="L1562">
        <v>1.427242891809098</v>
      </c>
      <c r="M1562">
        <v>49.77</v>
      </c>
      <c r="N1562">
        <v>28.8</v>
      </c>
    </row>
    <row r="1563" spans="1:14">
      <c r="A1563" s="1" t="s">
        <v>1575</v>
      </c>
      <c r="B1563">
        <f>HYPERLINK("https://www.suredividend.com/sure-analysis-research-database/","Terex Corp.")</f>
        <v>0</v>
      </c>
      <c r="C1563" t="s">
        <v>1813</v>
      </c>
      <c r="D1563">
        <v>63.33</v>
      </c>
      <c r="E1563">
        <v>0.008825804452560001</v>
      </c>
      <c r="F1563" t="s">
        <v>1812</v>
      </c>
      <c r="G1563" t="s">
        <v>1812</v>
      </c>
      <c r="H1563">
        <v>0.5589381959806621</v>
      </c>
      <c r="I1563">
        <v>4268.442</v>
      </c>
      <c r="J1563">
        <v>11.83377321874134</v>
      </c>
      <c r="K1563">
        <v>0.1066675946527981</v>
      </c>
      <c r="L1563">
        <v>1.387032065839928</v>
      </c>
      <c r="M1563">
        <v>65.64</v>
      </c>
      <c r="N1563">
        <v>28.66</v>
      </c>
    </row>
    <row r="1564" spans="1:14">
      <c r="A1564" s="1" t="s">
        <v>1576</v>
      </c>
      <c r="B1564">
        <f>HYPERLINK("https://www.suredividend.com/sure-analysis-research-database/","Triumph Financial Inc")</f>
        <v>0</v>
      </c>
      <c r="C1564" t="s">
        <v>1812</v>
      </c>
      <c r="D1564">
        <v>69.72</v>
      </c>
      <c r="E1564">
        <v>0</v>
      </c>
      <c r="F1564" t="s">
        <v>1812</v>
      </c>
      <c r="G1564" t="s">
        <v>1812</v>
      </c>
      <c r="H1564">
        <v>0</v>
      </c>
      <c r="I1564">
        <v>1622.778667</v>
      </c>
      <c r="J1564">
        <v>32.95383532206969</v>
      </c>
      <c r="K1564">
        <v>0</v>
      </c>
      <c r="L1564">
        <v>1.436342978339468</v>
      </c>
      <c r="M1564">
        <v>76.48999999999999</v>
      </c>
      <c r="N1564">
        <v>45.08</v>
      </c>
    </row>
    <row r="1565" spans="1:14">
      <c r="A1565" s="1" t="s">
        <v>1577</v>
      </c>
      <c r="B1565">
        <f>HYPERLINK("https://www.suredividend.com/sure-analysis-research-database/","Fresh Market Holdings Inc (The)")</f>
        <v>0</v>
      </c>
      <c r="C1565" t="s">
        <v>1812</v>
      </c>
      <c r="E1565">
        <v>0</v>
      </c>
      <c r="F1565" t="s">
        <v>1812</v>
      </c>
      <c r="G1565" t="s">
        <v>1812</v>
      </c>
      <c r="H1565">
        <v>0</v>
      </c>
      <c r="I1565">
        <v>0</v>
      </c>
      <c r="J1565">
        <v>0</v>
      </c>
      <c r="K1565" t="s">
        <v>1812</v>
      </c>
    </row>
    <row r="1566" spans="1:14">
      <c r="A1566" s="1" t="s">
        <v>1578</v>
      </c>
      <c r="B1566">
        <f>HYPERLINK("https://www.suredividend.com/sure-analysis-research-database/","Tredegar Corp.")</f>
        <v>0</v>
      </c>
      <c r="C1566" t="s">
        <v>1823</v>
      </c>
      <c r="D1566">
        <v>6.54</v>
      </c>
      <c r="E1566">
        <v>0.07751334249226401</v>
      </c>
      <c r="F1566">
        <v>0.08333333333333348</v>
      </c>
      <c r="G1566">
        <v>0.03397522653195018</v>
      </c>
      <c r="H1566">
        <v>0.5069372598994101</v>
      </c>
      <c r="I1566">
        <v>222.266373</v>
      </c>
      <c r="J1566">
        <v>20.1620440275762</v>
      </c>
      <c r="K1566">
        <v>1.557889551012323</v>
      </c>
      <c r="L1566">
        <v>0.8254163003871661</v>
      </c>
      <c r="M1566">
        <v>12.08</v>
      </c>
      <c r="N1566">
        <v>5.85</v>
      </c>
    </row>
    <row r="1567" spans="1:14">
      <c r="A1567" s="1" t="s">
        <v>1579</v>
      </c>
      <c r="B1567">
        <f>HYPERLINK("https://www.suredividend.com/sure-analysis-research-database/","Transphorm Inc")</f>
        <v>0</v>
      </c>
      <c r="C1567" t="s">
        <v>1812</v>
      </c>
      <c r="D1567">
        <v>3.07</v>
      </c>
      <c r="E1567">
        <v>0</v>
      </c>
      <c r="F1567" t="s">
        <v>1812</v>
      </c>
      <c r="G1567" t="s">
        <v>1812</v>
      </c>
      <c r="H1567">
        <v>0</v>
      </c>
      <c r="I1567">
        <v>182.278355</v>
      </c>
      <c r="J1567">
        <v>0</v>
      </c>
      <c r="K1567" t="s">
        <v>1812</v>
      </c>
      <c r="L1567">
        <v>1.362528373064102</v>
      </c>
      <c r="M1567">
        <v>7.67</v>
      </c>
      <c r="N1567">
        <v>2.7</v>
      </c>
    </row>
    <row r="1568" spans="1:14">
      <c r="A1568" s="1" t="s">
        <v>1580</v>
      </c>
      <c r="B1568">
        <f>HYPERLINK("https://www.suredividend.com/sure-analysis-research-database/","Textainer Group Holdings Limited")</f>
        <v>0</v>
      </c>
      <c r="C1568" t="s">
        <v>1813</v>
      </c>
      <c r="D1568">
        <v>42.1</v>
      </c>
      <c r="E1568">
        <v>0.025812948935306</v>
      </c>
      <c r="F1568" t="s">
        <v>1812</v>
      </c>
      <c r="G1568" t="s">
        <v>1812</v>
      </c>
      <c r="H1568">
        <v>1.086725150176395</v>
      </c>
      <c r="I1568">
        <v>1784.925025</v>
      </c>
      <c r="J1568">
        <v>7.338967752002369</v>
      </c>
      <c r="K1568">
        <v>0.199033910288717</v>
      </c>
      <c r="L1568">
        <v>0.757212483464708</v>
      </c>
      <c r="M1568">
        <v>42.75</v>
      </c>
      <c r="N1568">
        <v>25.41</v>
      </c>
    </row>
    <row r="1569" spans="1:14">
      <c r="A1569" s="1" t="s">
        <v>1581</v>
      </c>
      <c r="B1569">
        <f>HYPERLINK("https://www.suredividend.com/sure-analysis-research-database/","Triumph Group Inc.")</f>
        <v>0</v>
      </c>
      <c r="C1569" t="s">
        <v>1813</v>
      </c>
      <c r="D1569">
        <v>9.140000000000001</v>
      </c>
      <c r="E1569">
        <v>0</v>
      </c>
      <c r="F1569" t="s">
        <v>1812</v>
      </c>
      <c r="G1569" t="s">
        <v>1812</v>
      </c>
      <c r="H1569">
        <v>0</v>
      </c>
      <c r="I1569">
        <v>598.581095</v>
      </c>
      <c r="J1569">
        <v>6.681114542654002</v>
      </c>
      <c r="K1569">
        <v>0</v>
      </c>
      <c r="M1569">
        <v>15.65</v>
      </c>
      <c r="N1569">
        <v>7.84</v>
      </c>
    </row>
    <row r="1570" spans="1:14">
      <c r="A1570" s="1" t="s">
        <v>1582</v>
      </c>
      <c r="B1570">
        <f>HYPERLINK("https://www.suredividend.com/sure-analysis-research-database/","TEGNA Inc")</f>
        <v>0</v>
      </c>
      <c r="C1570" t="s">
        <v>1821</v>
      </c>
      <c r="D1570">
        <v>16.85</v>
      </c>
      <c r="E1570">
        <v>0.022364789678259</v>
      </c>
      <c r="F1570">
        <v>0</v>
      </c>
      <c r="G1570">
        <v>0.06298004826234438</v>
      </c>
      <c r="H1570">
        <v>0.376846706078679</v>
      </c>
      <c r="I1570">
        <v>3393.655007</v>
      </c>
      <c r="J1570">
        <v>5.651024593447875</v>
      </c>
      <c r="K1570">
        <v>0.1411410884189809</v>
      </c>
      <c r="L1570">
        <v>0.378244352560751</v>
      </c>
      <c r="M1570">
        <v>22.04</v>
      </c>
      <c r="N1570">
        <v>15</v>
      </c>
    </row>
    <row r="1571" spans="1:14">
      <c r="A1571" s="1" t="s">
        <v>1583</v>
      </c>
      <c r="B1571">
        <f>HYPERLINK("https://www.suredividend.com/sure-analysis-research-database/","TG Therapeutics Inc")</f>
        <v>0</v>
      </c>
      <c r="C1571" t="s">
        <v>1817</v>
      </c>
      <c r="D1571">
        <v>11.2</v>
      </c>
      <c r="E1571">
        <v>0</v>
      </c>
      <c r="F1571" t="s">
        <v>1812</v>
      </c>
      <c r="G1571" t="s">
        <v>1812</v>
      </c>
      <c r="H1571">
        <v>0</v>
      </c>
      <c r="I1571">
        <v>1673.235626</v>
      </c>
      <c r="J1571" t="s">
        <v>1812</v>
      </c>
      <c r="K1571">
        <v>-0</v>
      </c>
      <c r="L1571">
        <v>3.121064104790397</v>
      </c>
      <c r="M1571">
        <v>35.67</v>
      </c>
      <c r="N1571">
        <v>4.86</v>
      </c>
    </row>
    <row r="1572" spans="1:14">
      <c r="A1572" s="1" t="s">
        <v>1584</v>
      </c>
      <c r="B1572">
        <f>HYPERLINK("https://www.suredividend.com/sure-analysis-research-database/","Target Hospitality Corp")</f>
        <v>0</v>
      </c>
      <c r="C1572" t="s">
        <v>1822</v>
      </c>
      <c r="D1572">
        <v>12.82</v>
      </c>
      <c r="E1572">
        <v>0</v>
      </c>
      <c r="F1572" t="s">
        <v>1812</v>
      </c>
      <c r="G1572" t="s">
        <v>1812</v>
      </c>
      <c r="H1572">
        <v>0</v>
      </c>
      <c r="I1572">
        <v>1299.618116</v>
      </c>
      <c r="J1572">
        <v>0</v>
      </c>
      <c r="K1572" t="s">
        <v>1812</v>
      </c>
      <c r="L1572">
        <v>0.528545478105899</v>
      </c>
      <c r="M1572">
        <v>18.48</v>
      </c>
      <c r="N1572">
        <v>10.4</v>
      </c>
    </row>
    <row r="1573" spans="1:14">
      <c r="A1573" s="1" t="s">
        <v>1585</v>
      </c>
      <c r="B1573">
        <f>HYPERLINK("https://www.suredividend.com/sure-analysis-THFF/","First Financial Corp. - Indiana")</f>
        <v>0</v>
      </c>
      <c r="C1573" t="s">
        <v>1815</v>
      </c>
      <c r="D1573">
        <v>38.09</v>
      </c>
      <c r="E1573">
        <v>0.0283538986610659</v>
      </c>
      <c r="F1573" t="s">
        <v>1812</v>
      </c>
      <c r="G1573" t="s">
        <v>1812</v>
      </c>
      <c r="H1573">
        <v>1.063577498266335</v>
      </c>
      <c r="I1573">
        <v>459.589674</v>
      </c>
      <c r="J1573">
        <v>6.946114621325474</v>
      </c>
      <c r="K1573">
        <v>0.1944382995002441</v>
      </c>
      <c r="L1573">
        <v>0.5955701134614461</v>
      </c>
      <c r="M1573">
        <v>47.81</v>
      </c>
      <c r="N1573">
        <v>30.06</v>
      </c>
    </row>
    <row r="1574" spans="1:14">
      <c r="A1574" s="1" t="s">
        <v>1586</v>
      </c>
      <c r="B1574">
        <f>HYPERLINK("https://www.suredividend.com/sure-analysis-research-database/","Thermon Group Holdings Inc")</f>
        <v>0</v>
      </c>
      <c r="C1574" t="s">
        <v>1813</v>
      </c>
      <c r="D1574">
        <v>26</v>
      </c>
      <c r="E1574">
        <v>0</v>
      </c>
      <c r="F1574" t="s">
        <v>1812</v>
      </c>
      <c r="G1574" t="s">
        <v>1812</v>
      </c>
      <c r="H1574">
        <v>0</v>
      </c>
      <c r="I1574">
        <v>875.70509</v>
      </c>
      <c r="J1574">
        <v>26.01155735757144</v>
      </c>
      <c r="K1574">
        <v>0</v>
      </c>
      <c r="L1574">
        <v>0.965418296535528</v>
      </c>
      <c r="M1574">
        <v>28.92</v>
      </c>
      <c r="N1574">
        <v>15.23</v>
      </c>
    </row>
    <row r="1575" spans="1:14">
      <c r="A1575" s="1" t="s">
        <v>1587</v>
      </c>
      <c r="B1575">
        <f>HYPERLINK("https://www.suredividend.com/sure-analysis-research-database/","Third Harmonic Bio Inc")</f>
        <v>0</v>
      </c>
      <c r="C1575" t="s">
        <v>1812</v>
      </c>
      <c r="D1575">
        <v>6.64</v>
      </c>
      <c r="E1575">
        <v>0</v>
      </c>
      <c r="F1575" t="s">
        <v>1812</v>
      </c>
      <c r="G1575" t="s">
        <v>1812</v>
      </c>
      <c r="H1575">
        <v>0</v>
      </c>
      <c r="I1575">
        <v>268.01945</v>
      </c>
      <c r="J1575">
        <v>0</v>
      </c>
      <c r="K1575" t="s">
        <v>1812</v>
      </c>
      <c r="L1575">
        <v>0.8782803448603831</v>
      </c>
      <c r="M1575">
        <v>24.6</v>
      </c>
      <c r="N1575">
        <v>3.75</v>
      </c>
    </row>
    <row r="1576" spans="1:14">
      <c r="A1576" s="1" t="s">
        <v>1588</v>
      </c>
      <c r="B1576">
        <f>HYPERLINK("https://www.suredividend.com/sure-analysis-research-database/","Gentherm Inc")</f>
        <v>0</v>
      </c>
      <c r="C1576" t="s">
        <v>1816</v>
      </c>
      <c r="D1576">
        <v>64.77</v>
      </c>
      <c r="E1576">
        <v>0</v>
      </c>
      <c r="F1576" t="s">
        <v>1812</v>
      </c>
      <c r="G1576" t="s">
        <v>1812</v>
      </c>
      <c r="H1576">
        <v>0</v>
      </c>
      <c r="I1576">
        <v>2136.797664</v>
      </c>
      <c r="J1576">
        <v>177.5633758035566</v>
      </c>
      <c r="K1576">
        <v>0</v>
      </c>
      <c r="L1576">
        <v>1.12649640726022</v>
      </c>
      <c r="M1576">
        <v>76.13</v>
      </c>
      <c r="N1576">
        <v>49.45</v>
      </c>
    </row>
    <row r="1577" spans="1:14">
      <c r="A1577" s="1" t="s">
        <v>1589</v>
      </c>
      <c r="B1577">
        <f>HYPERLINK("https://www.suredividend.com/sure-analysis-research-database/","Thorne Healthtech Inc")</f>
        <v>0</v>
      </c>
      <c r="C1577" t="s">
        <v>1812</v>
      </c>
      <c r="D1577">
        <v>5.91</v>
      </c>
      <c r="E1577">
        <v>0</v>
      </c>
      <c r="F1577" t="s">
        <v>1812</v>
      </c>
      <c r="G1577" t="s">
        <v>1812</v>
      </c>
      <c r="H1577">
        <v>0</v>
      </c>
      <c r="I1577">
        <v>318.302393</v>
      </c>
      <c r="J1577">
        <v>0</v>
      </c>
      <c r="K1577" t="s">
        <v>1812</v>
      </c>
      <c r="L1577">
        <v>0.3993662783345761</v>
      </c>
      <c r="M1577">
        <v>6.55</v>
      </c>
      <c r="N1577">
        <v>3.41</v>
      </c>
    </row>
    <row r="1578" spans="1:14">
      <c r="A1578" s="1" t="s">
        <v>1590</v>
      </c>
      <c r="B1578">
        <f>HYPERLINK("https://www.suredividend.com/sure-analysis-research-database/","Theseus Pharmaceuticals Inc")</f>
        <v>0</v>
      </c>
      <c r="C1578" t="s">
        <v>1812</v>
      </c>
      <c r="D1578">
        <v>3.28</v>
      </c>
      <c r="E1578">
        <v>0</v>
      </c>
      <c r="F1578" t="s">
        <v>1812</v>
      </c>
      <c r="G1578" t="s">
        <v>1812</v>
      </c>
      <c r="H1578">
        <v>0</v>
      </c>
      <c r="I1578">
        <v>142.931032</v>
      </c>
      <c r="J1578">
        <v>0</v>
      </c>
      <c r="K1578" t="s">
        <v>1812</v>
      </c>
      <c r="L1578">
        <v>1.433817883619027</v>
      </c>
      <c r="M1578">
        <v>14.77</v>
      </c>
      <c r="N1578">
        <v>2.62</v>
      </c>
    </row>
    <row r="1579" spans="1:14">
      <c r="A1579" s="1" t="s">
        <v>1591</v>
      </c>
      <c r="B1579">
        <f>HYPERLINK("https://www.suredividend.com/sure-analysis-research-database/","Thryv Holdings Inc")</f>
        <v>0</v>
      </c>
      <c r="C1579" t="s">
        <v>1812</v>
      </c>
      <c r="D1579">
        <v>24.17</v>
      </c>
      <c r="E1579">
        <v>0</v>
      </c>
      <c r="F1579" t="s">
        <v>1812</v>
      </c>
      <c r="G1579" t="s">
        <v>1812</v>
      </c>
      <c r="H1579">
        <v>0</v>
      </c>
      <c r="I1579">
        <v>841.6904970000001</v>
      </c>
      <c r="J1579">
        <v>27.91584016218368</v>
      </c>
      <c r="K1579">
        <v>0</v>
      </c>
      <c r="L1579">
        <v>1.016943017000973</v>
      </c>
      <c r="M1579">
        <v>28.8</v>
      </c>
      <c r="N1579">
        <v>17.3</v>
      </c>
    </row>
    <row r="1580" spans="1:14">
      <c r="A1580" s="1" t="s">
        <v>1592</v>
      </c>
      <c r="B1580">
        <f>HYPERLINK("https://www.suredividend.com/sure-analysis-research-database/","Treehouse Foods Inc")</f>
        <v>0</v>
      </c>
      <c r="C1580" t="s">
        <v>1819</v>
      </c>
      <c r="D1580">
        <v>51.96</v>
      </c>
      <c r="E1580">
        <v>0</v>
      </c>
      <c r="F1580" t="s">
        <v>1812</v>
      </c>
      <c r="G1580" t="s">
        <v>1812</v>
      </c>
      <c r="H1580">
        <v>0</v>
      </c>
      <c r="I1580">
        <v>2926.092119</v>
      </c>
      <c r="J1580" t="s">
        <v>1812</v>
      </c>
      <c r="K1580">
        <v>-0</v>
      </c>
      <c r="L1580">
        <v>0.447510610873169</v>
      </c>
      <c r="M1580">
        <v>55.3</v>
      </c>
      <c r="N1580">
        <v>40.56</v>
      </c>
    </row>
    <row r="1581" spans="1:14">
      <c r="A1581" s="1" t="s">
        <v>1593</v>
      </c>
      <c r="B1581">
        <f>HYPERLINK("https://www.suredividend.com/sure-analysis-research-database/","Instil Bio Inc")</f>
        <v>0</v>
      </c>
      <c r="C1581" t="s">
        <v>1812</v>
      </c>
      <c r="D1581">
        <v>0.5393</v>
      </c>
      <c r="E1581">
        <v>0</v>
      </c>
      <c r="F1581" t="s">
        <v>1812</v>
      </c>
      <c r="G1581" t="s">
        <v>1812</v>
      </c>
      <c r="H1581">
        <v>0</v>
      </c>
      <c r="I1581">
        <v>70.151657</v>
      </c>
      <c r="J1581">
        <v>0</v>
      </c>
      <c r="K1581" t="s">
        <v>1812</v>
      </c>
      <c r="L1581">
        <v>1.558825166825544</v>
      </c>
      <c r="M1581">
        <v>7.71</v>
      </c>
      <c r="N1581">
        <v>0.471</v>
      </c>
    </row>
    <row r="1582" spans="1:14">
      <c r="A1582" s="1" t="s">
        <v>1594</v>
      </c>
      <c r="B1582">
        <f>HYPERLINK("https://www.suredividend.com/sure-analysis-research-database/","Interface Inc.")</f>
        <v>0</v>
      </c>
      <c r="C1582" t="s">
        <v>1816</v>
      </c>
      <c r="D1582">
        <v>9.85</v>
      </c>
      <c r="E1582">
        <v>0.004048647077921</v>
      </c>
      <c r="F1582">
        <v>0</v>
      </c>
      <c r="G1582">
        <v>-0.312271014707454</v>
      </c>
      <c r="H1582">
        <v>0.039879173717526</v>
      </c>
      <c r="I1582">
        <v>571.430256</v>
      </c>
      <c r="J1582">
        <v>99.65648001395186</v>
      </c>
      <c r="K1582">
        <v>0.4073460032433708</v>
      </c>
      <c r="L1582">
        <v>1.259586558493575</v>
      </c>
      <c r="M1582">
        <v>14.38</v>
      </c>
      <c r="N1582">
        <v>6.49</v>
      </c>
    </row>
    <row r="1583" spans="1:14">
      <c r="A1583" s="1" t="s">
        <v>1595</v>
      </c>
      <c r="B1583">
        <f>HYPERLINK("https://www.suredividend.com/sure-analysis-research-database/","Tiptree Inc")</f>
        <v>0</v>
      </c>
      <c r="C1583" t="s">
        <v>1815</v>
      </c>
      <c r="D1583">
        <v>15.93</v>
      </c>
      <c r="E1583">
        <v>0.011214619870684</v>
      </c>
      <c r="F1583">
        <v>0.25</v>
      </c>
      <c r="G1583">
        <v>0.07394092378577932</v>
      </c>
      <c r="H1583">
        <v>0.178648894540011</v>
      </c>
      <c r="I1583">
        <v>585.304759</v>
      </c>
      <c r="J1583">
        <v>0</v>
      </c>
      <c r="K1583" t="s">
        <v>1812</v>
      </c>
      <c r="L1583">
        <v>0.53886683962033</v>
      </c>
      <c r="M1583">
        <v>16.79</v>
      </c>
      <c r="N1583">
        <v>9.84</v>
      </c>
    </row>
    <row r="1584" spans="1:14">
      <c r="A1584" s="1" t="s">
        <v>1596</v>
      </c>
      <c r="B1584">
        <f>HYPERLINK("https://www.suredividend.com/sure-analysis-research-database/","Titan Machinery Inc")</f>
        <v>0</v>
      </c>
      <c r="C1584" t="s">
        <v>1813</v>
      </c>
      <c r="D1584">
        <v>31.13</v>
      </c>
      <c r="E1584">
        <v>0</v>
      </c>
      <c r="F1584" t="s">
        <v>1812</v>
      </c>
      <c r="G1584" t="s">
        <v>1812</v>
      </c>
      <c r="H1584">
        <v>0</v>
      </c>
      <c r="I1584">
        <v>705.628878</v>
      </c>
      <c r="J1584">
        <v>6.419885523823387</v>
      </c>
      <c r="K1584">
        <v>0</v>
      </c>
      <c r="L1584">
        <v>1.225020972728401</v>
      </c>
      <c r="M1584">
        <v>47.87</v>
      </c>
      <c r="N1584">
        <v>24.9</v>
      </c>
    </row>
    <row r="1585" spans="1:14">
      <c r="A1585" s="1" t="s">
        <v>1597</v>
      </c>
      <c r="B1585">
        <f>HYPERLINK("https://www.suredividend.com/sure-analysis-research-database/","Teekay Corp")</f>
        <v>0</v>
      </c>
      <c r="C1585" t="s">
        <v>1822</v>
      </c>
      <c r="D1585">
        <v>6.53</v>
      </c>
      <c r="E1585">
        <v>0</v>
      </c>
      <c r="F1585" t="s">
        <v>1812</v>
      </c>
      <c r="G1585" t="s">
        <v>1812</v>
      </c>
      <c r="H1585">
        <v>0</v>
      </c>
      <c r="I1585">
        <v>642.019119</v>
      </c>
      <c r="J1585">
        <v>5.084011334552826</v>
      </c>
      <c r="K1585">
        <v>0</v>
      </c>
      <c r="L1585">
        <v>0.5763005819018191</v>
      </c>
      <c r="M1585">
        <v>6.85</v>
      </c>
      <c r="N1585">
        <v>3.15</v>
      </c>
    </row>
    <row r="1586" spans="1:14">
      <c r="A1586" s="1" t="s">
        <v>1598</v>
      </c>
      <c r="B1586">
        <f>HYPERLINK("https://www.suredividend.com/sure-analysis-research-database/","Alpha Teknova Inc")</f>
        <v>0</v>
      </c>
      <c r="C1586" t="s">
        <v>1812</v>
      </c>
      <c r="D1586">
        <v>3.31</v>
      </c>
      <c r="E1586">
        <v>0</v>
      </c>
      <c r="F1586" t="s">
        <v>1812</v>
      </c>
      <c r="G1586" t="s">
        <v>1812</v>
      </c>
      <c r="H1586">
        <v>0</v>
      </c>
      <c r="I1586">
        <v>93.417574</v>
      </c>
      <c r="J1586">
        <v>0</v>
      </c>
      <c r="K1586" t="s">
        <v>1812</v>
      </c>
      <c r="L1586">
        <v>1.709451850991463</v>
      </c>
      <c r="M1586">
        <v>7.96</v>
      </c>
      <c r="N1586">
        <v>1.62</v>
      </c>
    </row>
    <row r="1587" spans="1:14">
      <c r="A1587" s="1" t="s">
        <v>1599</v>
      </c>
      <c r="B1587">
        <f>HYPERLINK("https://www.suredividend.com/sure-analysis-research-database/","Telos Corp")</f>
        <v>0</v>
      </c>
      <c r="C1587" t="s">
        <v>1812</v>
      </c>
      <c r="D1587">
        <v>2.42</v>
      </c>
      <c r="E1587">
        <v>0</v>
      </c>
      <c r="F1587" t="s">
        <v>1812</v>
      </c>
      <c r="G1587" t="s">
        <v>1812</v>
      </c>
      <c r="H1587">
        <v>0</v>
      </c>
      <c r="I1587">
        <v>167.922605</v>
      </c>
      <c r="J1587">
        <v>0</v>
      </c>
      <c r="K1587" t="s">
        <v>1812</v>
      </c>
      <c r="L1587">
        <v>1.650108909122665</v>
      </c>
      <c r="M1587">
        <v>12.51</v>
      </c>
      <c r="N1587">
        <v>1.53</v>
      </c>
    </row>
    <row r="1588" spans="1:14">
      <c r="A1588" s="1" t="s">
        <v>1600</v>
      </c>
      <c r="B1588">
        <f>HYPERLINK("https://www.suredividend.com/sure-analysis-research-database/","Tillys Inc")</f>
        <v>0</v>
      </c>
      <c r="C1588" t="s">
        <v>1816</v>
      </c>
      <c r="D1588">
        <v>9</v>
      </c>
      <c r="E1588">
        <v>0</v>
      </c>
      <c r="F1588" t="s">
        <v>1812</v>
      </c>
      <c r="G1588" t="s">
        <v>1812</v>
      </c>
      <c r="H1588">
        <v>0</v>
      </c>
      <c r="I1588">
        <v>203.161149</v>
      </c>
      <c r="J1588" t="s">
        <v>1812</v>
      </c>
      <c r="K1588">
        <v>-0</v>
      </c>
      <c r="L1588">
        <v>0.9771129856956441</v>
      </c>
      <c r="M1588">
        <v>10.35</v>
      </c>
      <c r="N1588">
        <v>6.05</v>
      </c>
    </row>
    <row r="1589" spans="1:14">
      <c r="A1589" s="1" t="s">
        <v>1601</v>
      </c>
      <c r="B1589">
        <f>HYPERLINK("https://www.suredividend.com/sure-analysis-research-database/","Treace Medical Concepts Inc")</f>
        <v>0</v>
      </c>
      <c r="C1589" t="s">
        <v>1812</v>
      </c>
      <c r="D1589">
        <v>21.14</v>
      </c>
      <c r="E1589">
        <v>0</v>
      </c>
      <c r="F1589" t="s">
        <v>1812</v>
      </c>
      <c r="G1589" t="s">
        <v>1812</v>
      </c>
      <c r="H1589">
        <v>0</v>
      </c>
      <c r="I1589">
        <v>1295.882</v>
      </c>
      <c r="J1589">
        <v>0</v>
      </c>
      <c r="K1589" t="s">
        <v>1812</v>
      </c>
      <c r="L1589">
        <v>1.055171528522265</v>
      </c>
      <c r="M1589">
        <v>27.97</v>
      </c>
      <c r="N1589">
        <v>18.2</v>
      </c>
    </row>
    <row r="1590" spans="1:14">
      <c r="A1590" s="1" t="s">
        <v>1602</v>
      </c>
      <c r="B1590">
        <f>HYPERLINK("https://www.suredividend.com/sure-analysis-research-database/","Transmedics Group Inc")</f>
        <v>0</v>
      </c>
      <c r="C1590" t="s">
        <v>1817</v>
      </c>
      <c r="D1590">
        <v>87.53</v>
      </c>
      <c r="E1590">
        <v>0</v>
      </c>
      <c r="F1590" t="s">
        <v>1812</v>
      </c>
      <c r="G1590" t="s">
        <v>1812</v>
      </c>
      <c r="H1590">
        <v>0</v>
      </c>
      <c r="I1590">
        <v>2849.420985</v>
      </c>
      <c r="J1590">
        <v>0</v>
      </c>
      <c r="K1590" t="s">
        <v>1812</v>
      </c>
      <c r="L1590">
        <v>1.501942967051111</v>
      </c>
      <c r="M1590">
        <v>99.63</v>
      </c>
      <c r="N1590">
        <v>38.86</v>
      </c>
    </row>
    <row r="1591" spans="1:14">
      <c r="A1591" s="1" t="s">
        <v>1603</v>
      </c>
      <c r="B1591">
        <f>HYPERLINK("https://www.suredividend.com/sure-analysis-research-database/","Taylor Morrison Home Corp.")</f>
        <v>0</v>
      </c>
      <c r="C1591" t="s">
        <v>1816</v>
      </c>
      <c r="D1591">
        <v>47.58</v>
      </c>
      <c r="E1591">
        <v>0</v>
      </c>
      <c r="F1591" t="s">
        <v>1812</v>
      </c>
      <c r="G1591" t="s">
        <v>1812</v>
      </c>
      <c r="H1591">
        <v>0</v>
      </c>
      <c r="I1591">
        <v>5207.540075</v>
      </c>
      <c r="J1591">
        <v>5.152088149863024</v>
      </c>
      <c r="K1591">
        <v>0</v>
      </c>
      <c r="L1591">
        <v>1.392512964061943</v>
      </c>
      <c r="M1591">
        <v>52.09</v>
      </c>
      <c r="N1591">
        <v>22.64</v>
      </c>
    </row>
    <row r="1592" spans="1:14">
      <c r="A1592" s="1" t="s">
        <v>1604</v>
      </c>
      <c r="B1592">
        <f>HYPERLINK("https://www.suredividend.com/sure-analysis-TMP/","Tompkins Financial Corp")</f>
        <v>0</v>
      </c>
      <c r="C1592" t="s">
        <v>1815</v>
      </c>
      <c r="D1592">
        <v>59.19</v>
      </c>
      <c r="E1592">
        <v>0.04054738976178408</v>
      </c>
      <c r="F1592">
        <v>0.05263157894736836</v>
      </c>
      <c r="G1592">
        <v>0.03713728933664817</v>
      </c>
      <c r="H1592">
        <v>2.334893604152763</v>
      </c>
      <c r="I1592">
        <v>859.37227</v>
      </c>
      <c r="J1592">
        <v>10.61661194425914</v>
      </c>
      <c r="K1592">
        <v>0.4147235531354819</v>
      </c>
      <c r="L1592">
        <v>0.8681991448118821</v>
      </c>
      <c r="M1592">
        <v>80.91</v>
      </c>
      <c r="N1592">
        <v>46.69</v>
      </c>
    </row>
    <row r="1593" spans="1:14">
      <c r="A1593" s="1" t="s">
        <v>1605</v>
      </c>
      <c r="B1593">
        <f>HYPERLINK("https://www.suredividend.com/sure-analysis-research-database/","TimkenSteel Corp")</f>
        <v>0</v>
      </c>
      <c r="C1593" t="s">
        <v>1823</v>
      </c>
      <c r="D1593">
        <v>22.13</v>
      </c>
      <c r="E1593">
        <v>0</v>
      </c>
      <c r="F1593" t="s">
        <v>1812</v>
      </c>
      <c r="G1593" t="s">
        <v>1812</v>
      </c>
      <c r="H1593">
        <v>0</v>
      </c>
      <c r="I1593">
        <v>970.9753490000001</v>
      </c>
      <c r="J1593">
        <v>22.9003620018868</v>
      </c>
      <c r="K1593">
        <v>0</v>
      </c>
      <c r="L1593">
        <v>1.504256250059172</v>
      </c>
      <c r="M1593">
        <v>23.49</v>
      </c>
      <c r="N1593">
        <v>14.09</v>
      </c>
    </row>
    <row r="1594" spans="1:14">
      <c r="A1594" s="1" t="s">
        <v>1606</v>
      </c>
      <c r="B1594">
        <f>HYPERLINK("https://www.suredividend.com/sure-analysis-TNC/","Tennant Co.")</f>
        <v>0</v>
      </c>
      <c r="C1594" t="s">
        <v>1813</v>
      </c>
      <c r="D1594">
        <v>81.23</v>
      </c>
      <c r="E1594">
        <v>0.01304936599778407</v>
      </c>
      <c r="F1594">
        <v>0.06000000000000005</v>
      </c>
      <c r="G1594">
        <v>0.04762370263962179</v>
      </c>
      <c r="H1594">
        <v>1.042035028557365</v>
      </c>
      <c r="I1594">
        <v>1503.579728</v>
      </c>
      <c r="J1594">
        <v>18.72452961631382</v>
      </c>
      <c r="K1594">
        <v>0.2423337275714802</v>
      </c>
      <c r="L1594">
        <v>0.9719336702426361</v>
      </c>
      <c r="M1594">
        <v>82.06999999999999</v>
      </c>
      <c r="N1594">
        <v>55.6</v>
      </c>
    </row>
    <row r="1595" spans="1:14">
      <c r="A1595" s="1" t="s">
        <v>1607</v>
      </c>
      <c r="B1595">
        <f>HYPERLINK("https://www.suredividend.com/sure-analysis-research-database/","TriNet Group Inc")</f>
        <v>0</v>
      </c>
      <c r="C1595" t="s">
        <v>1813</v>
      </c>
      <c r="D1595">
        <v>104.27</v>
      </c>
      <c r="E1595">
        <v>0</v>
      </c>
      <c r="F1595" t="s">
        <v>1812</v>
      </c>
      <c r="G1595" t="s">
        <v>1812</v>
      </c>
      <c r="H1595">
        <v>0</v>
      </c>
      <c r="I1595">
        <v>6222.965606</v>
      </c>
      <c r="J1595">
        <v>18.4111408456213</v>
      </c>
      <c r="K1595">
        <v>0</v>
      </c>
      <c r="L1595">
        <v>0.9902705526828821</v>
      </c>
      <c r="M1595">
        <v>111.85</v>
      </c>
      <c r="N1595">
        <v>60.61</v>
      </c>
    </row>
    <row r="1596" spans="1:14">
      <c r="A1596" s="1" t="s">
        <v>1608</v>
      </c>
      <c r="B1596">
        <f>HYPERLINK("https://www.suredividend.com/sure-analysis-research-database/","Tango Therapeutics Inc")</f>
        <v>0</v>
      </c>
      <c r="C1596" t="s">
        <v>1812</v>
      </c>
      <c r="D1596">
        <v>3.39</v>
      </c>
      <c r="E1596">
        <v>0</v>
      </c>
      <c r="F1596" t="s">
        <v>1812</v>
      </c>
      <c r="G1596" t="s">
        <v>1812</v>
      </c>
      <c r="H1596">
        <v>0</v>
      </c>
      <c r="I1596">
        <v>299.698113</v>
      </c>
      <c r="J1596">
        <v>0</v>
      </c>
      <c r="K1596" t="s">
        <v>1812</v>
      </c>
      <c r="L1596">
        <v>1.578008411241399</v>
      </c>
      <c r="M1596">
        <v>8.56</v>
      </c>
      <c r="N1596">
        <v>2.47</v>
      </c>
    </row>
    <row r="1597" spans="1:14">
      <c r="A1597" s="1" t="s">
        <v>1609</v>
      </c>
      <c r="B1597">
        <f>HYPERLINK("https://www.suredividend.com/sure-analysis-research-database/","Teekay Tankers Ltd")</f>
        <v>0</v>
      </c>
      <c r="C1597" t="s">
        <v>1822</v>
      </c>
      <c r="D1597">
        <v>44.08</v>
      </c>
      <c r="E1597">
        <v>0</v>
      </c>
      <c r="F1597" t="s">
        <v>1812</v>
      </c>
      <c r="G1597" t="s">
        <v>1812</v>
      </c>
      <c r="H1597">
        <v>0</v>
      </c>
      <c r="I1597">
        <v>1292.114616</v>
      </c>
      <c r="J1597">
        <v>3.133189011532604</v>
      </c>
      <c r="K1597">
        <v>0</v>
      </c>
      <c r="L1597">
        <v>0.391342999680607</v>
      </c>
      <c r="M1597">
        <v>47.75</v>
      </c>
      <c r="N1597">
        <v>22.24</v>
      </c>
    </row>
    <row r="1598" spans="1:14">
      <c r="A1598" s="1" t="s">
        <v>1610</v>
      </c>
      <c r="B1598">
        <f>HYPERLINK("https://www.suredividend.com/sure-analysis-research-database/","Tenaya Therapeutics Inc")</f>
        <v>0</v>
      </c>
      <c r="C1598" t="s">
        <v>1812</v>
      </c>
      <c r="D1598">
        <v>4.61</v>
      </c>
      <c r="E1598">
        <v>0</v>
      </c>
      <c r="F1598" t="s">
        <v>1812</v>
      </c>
      <c r="G1598" t="s">
        <v>1812</v>
      </c>
      <c r="H1598">
        <v>0</v>
      </c>
      <c r="I1598">
        <v>308.270091</v>
      </c>
      <c r="J1598">
        <v>0</v>
      </c>
      <c r="K1598" t="s">
        <v>1812</v>
      </c>
      <c r="L1598">
        <v>1.578427294834873</v>
      </c>
      <c r="M1598">
        <v>8.09</v>
      </c>
      <c r="N1598">
        <v>1.64</v>
      </c>
    </row>
    <row r="1599" spans="1:14">
      <c r="A1599" s="1" t="s">
        <v>1611</v>
      </c>
      <c r="B1599">
        <f>HYPERLINK("https://www.suredividend.com/sure-analysis-research-database/","Oncology Institute Inc (The)")</f>
        <v>0</v>
      </c>
      <c r="C1599" t="s">
        <v>1812</v>
      </c>
      <c r="D1599">
        <v>0.9500000000000001</v>
      </c>
      <c r="E1599">
        <v>0</v>
      </c>
      <c r="F1599" t="s">
        <v>1812</v>
      </c>
      <c r="G1599" t="s">
        <v>1812</v>
      </c>
      <c r="H1599">
        <v>0</v>
      </c>
      <c r="I1599">
        <v>71.58374499999999</v>
      </c>
      <c r="J1599">
        <v>0</v>
      </c>
      <c r="K1599" t="s">
        <v>1812</v>
      </c>
      <c r="L1599">
        <v>0.994328229011429</v>
      </c>
      <c r="M1599">
        <v>7.6</v>
      </c>
      <c r="N1599">
        <v>0.33</v>
      </c>
    </row>
    <row r="1600" spans="1:14">
      <c r="A1600" s="1" t="s">
        <v>1612</v>
      </c>
      <c r="B1600">
        <f>HYPERLINK("https://www.suredividend.com/sure-analysis-research-database/","Townebank Portsmouth VA")</f>
        <v>0</v>
      </c>
      <c r="C1600" t="s">
        <v>1815</v>
      </c>
      <c r="D1600">
        <v>25.1</v>
      </c>
      <c r="E1600">
        <v>0.03664964311491</v>
      </c>
      <c r="F1600">
        <v>0.08695652173913038</v>
      </c>
      <c r="G1600">
        <v>0.09336207394327811</v>
      </c>
      <c r="H1600">
        <v>0.9199060421842441</v>
      </c>
      <c r="I1600">
        <v>1297.134542</v>
      </c>
      <c r="J1600">
        <v>0</v>
      </c>
      <c r="K1600" t="s">
        <v>1812</v>
      </c>
      <c r="L1600">
        <v>0.868788496806676</v>
      </c>
      <c r="M1600">
        <v>32.2</v>
      </c>
      <c r="N1600">
        <v>20.77</v>
      </c>
    </row>
    <row r="1601" spans="1:14">
      <c r="A1601" s="1" t="s">
        <v>1613</v>
      </c>
      <c r="B1601">
        <f>HYPERLINK("https://www.suredividend.com/sure-analysis-research-database/","Turning Point Brands Inc")</f>
        <v>0</v>
      </c>
      <c r="C1601" t="s">
        <v>1819</v>
      </c>
      <c r="D1601">
        <v>25.42</v>
      </c>
      <c r="E1601">
        <v>0.009792336971306001</v>
      </c>
      <c r="F1601">
        <v>0.08333333333333348</v>
      </c>
      <c r="G1601">
        <v>0.1019722877214801</v>
      </c>
      <c r="H1601">
        <v>0.248921205810617</v>
      </c>
      <c r="I1601">
        <v>447.279618</v>
      </c>
      <c r="J1601">
        <v>0</v>
      </c>
      <c r="K1601" t="s">
        <v>1812</v>
      </c>
      <c r="L1601">
        <v>0.59090741043506</v>
      </c>
      <c r="M1601">
        <v>26.31</v>
      </c>
      <c r="N1601">
        <v>18.64</v>
      </c>
    </row>
    <row r="1602" spans="1:14">
      <c r="A1602" s="1" t="s">
        <v>1614</v>
      </c>
      <c r="B1602">
        <f>HYPERLINK("https://www.suredividend.com/sure-analysis-research-database/","Tutor Perini Corp")</f>
        <v>0</v>
      </c>
      <c r="C1602" t="s">
        <v>1813</v>
      </c>
      <c r="D1602">
        <v>8.359999999999999</v>
      </c>
      <c r="E1602">
        <v>0</v>
      </c>
      <c r="F1602" t="s">
        <v>1812</v>
      </c>
      <c r="G1602" t="s">
        <v>1812</v>
      </c>
      <c r="H1602">
        <v>0</v>
      </c>
      <c r="I1602">
        <v>431.751389</v>
      </c>
      <c r="J1602" t="s">
        <v>1812</v>
      </c>
      <c r="K1602">
        <v>-0</v>
      </c>
      <c r="L1602">
        <v>1.319324194219816</v>
      </c>
      <c r="M1602">
        <v>9.6</v>
      </c>
      <c r="N1602">
        <v>4.9</v>
      </c>
    </row>
    <row r="1603" spans="1:14">
      <c r="A1603" s="1" t="s">
        <v>1615</v>
      </c>
      <c r="B1603">
        <f>HYPERLINK("https://www.suredividend.com/sure-analysis-research-database/","Tri Pointe Homes Inc.")</f>
        <v>0</v>
      </c>
      <c r="C1603" t="s">
        <v>1816</v>
      </c>
      <c r="D1603">
        <v>30.65</v>
      </c>
      <c r="E1603">
        <v>0</v>
      </c>
      <c r="F1603" t="s">
        <v>1812</v>
      </c>
      <c r="G1603" t="s">
        <v>1812</v>
      </c>
      <c r="H1603">
        <v>0</v>
      </c>
      <c r="I1603">
        <v>3034.180138</v>
      </c>
      <c r="J1603">
        <v>6.221853398747091</v>
      </c>
      <c r="K1603">
        <v>0</v>
      </c>
      <c r="L1603">
        <v>1.320841454946129</v>
      </c>
      <c r="M1603">
        <v>34.04</v>
      </c>
      <c r="N1603">
        <v>14.59</v>
      </c>
    </row>
    <row r="1604" spans="1:14">
      <c r="A1604" s="1" t="s">
        <v>1616</v>
      </c>
      <c r="B1604">
        <f>HYPERLINK("https://www.suredividend.com/sure-analysis-research-database/","TPI Composites Inc")</f>
        <v>0</v>
      </c>
      <c r="C1604" t="s">
        <v>1813</v>
      </c>
      <c r="D1604">
        <v>6.2</v>
      </c>
      <c r="E1604">
        <v>0</v>
      </c>
      <c r="F1604" t="s">
        <v>1812</v>
      </c>
      <c r="G1604" t="s">
        <v>1812</v>
      </c>
      <c r="H1604">
        <v>0</v>
      </c>
      <c r="I1604">
        <v>263.374599</v>
      </c>
      <c r="J1604" t="s">
        <v>1812</v>
      </c>
      <c r="K1604">
        <v>-0</v>
      </c>
      <c r="L1604">
        <v>1.908458049881543</v>
      </c>
      <c r="M1604">
        <v>25.05</v>
      </c>
      <c r="N1604">
        <v>5.53</v>
      </c>
    </row>
    <row r="1605" spans="1:14">
      <c r="A1605" s="1" t="s">
        <v>1617</v>
      </c>
      <c r="B1605">
        <f>HYPERLINK("https://www.suredividend.com/sure-analysis-TR/","Tootsie Roll Industries, Inc.")</f>
        <v>0</v>
      </c>
      <c r="C1605" t="s">
        <v>1819</v>
      </c>
      <c r="D1605">
        <v>34.35</v>
      </c>
      <c r="E1605">
        <v>0.01048034934497817</v>
      </c>
      <c r="F1605">
        <v>0</v>
      </c>
      <c r="G1605">
        <v>0</v>
      </c>
      <c r="H1605">
        <v>0.353590165333549</v>
      </c>
      <c r="I1605">
        <v>1403.934514</v>
      </c>
      <c r="J1605">
        <v>18.15956996546416</v>
      </c>
      <c r="K1605">
        <v>0.3243946470949991</v>
      </c>
      <c r="L1605">
        <v>0.4420449305490861</v>
      </c>
      <c r="M1605">
        <v>45.9</v>
      </c>
      <c r="N1605">
        <v>31.83</v>
      </c>
    </row>
    <row r="1606" spans="1:14">
      <c r="A1606" s="1" t="s">
        <v>1618</v>
      </c>
      <c r="B1606">
        <f>HYPERLINK("https://www.suredividend.com/sure-analysis-research-database/","Tejon Ranch Co.")</f>
        <v>0</v>
      </c>
      <c r="C1606" t="s">
        <v>1813</v>
      </c>
      <c r="D1606">
        <v>17.63</v>
      </c>
      <c r="E1606">
        <v>0</v>
      </c>
      <c r="F1606" t="s">
        <v>1812</v>
      </c>
      <c r="G1606" t="s">
        <v>1812</v>
      </c>
      <c r="H1606">
        <v>0</v>
      </c>
      <c r="I1606">
        <v>470.904916</v>
      </c>
      <c r="J1606">
        <v>35.47306336421845</v>
      </c>
      <c r="K1606">
        <v>0</v>
      </c>
      <c r="L1606">
        <v>0.860894193342277</v>
      </c>
      <c r="M1606">
        <v>20.65</v>
      </c>
      <c r="N1606">
        <v>14.31</v>
      </c>
    </row>
    <row r="1607" spans="1:14">
      <c r="A1607" s="1" t="s">
        <v>1619</v>
      </c>
      <c r="B1607">
        <f>HYPERLINK("https://www.suredividend.com/sure-analysis-research-database/","LendingTree Inc.")</f>
        <v>0</v>
      </c>
      <c r="C1607" t="s">
        <v>1815</v>
      </c>
      <c r="D1607">
        <v>22.42</v>
      </c>
      <c r="E1607">
        <v>0</v>
      </c>
      <c r="F1607" t="s">
        <v>1812</v>
      </c>
      <c r="G1607" t="s">
        <v>1812</v>
      </c>
      <c r="H1607">
        <v>0</v>
      </c>
      <c r="I1607">
        <v>291.46</v>
      </c>
      <c r="J1607" t="s">
        <v>1812</v>
      </c>
      <c r="K1607">
        <v>-0</v>
      </c>
      <c r="L1607">
        <v>2.751049982819903</v>
      </c>
      <c r="M1607">
        <v>49.57</v>
      </c>
      <c r="N1607">
        <v>16.02</v>
      </c>
    </row>
    <row r="1608" spans="1:14">
      <c r="A1608" s="1" t="s">
        <v>1620</v>
      </c>
      <c r="B1608">
        <f>HYPERLINK("https://www.suredividend.com/sure-analysis-research-database/","Trustmark Corp.")</f>
        <v>0</v>
      </c>
      <c r="C1608" t="s">
        <v>1815</v>
      </c>
      <c r="D1608">
        <v>25.84</v>
      </c>
      <c r="E1608">
        <v>0.034852855787685</v>
      </c>
      <c r="F1608">
        <v>0</v>
      </c>
      <c r="G1608">
        <v>0</v>
      </c>
      <c r="H1608">
        <v>0.9005977935538021</v>
      </c>
      <c r="I1608">
        <v>1578.019446</v>
      </c>
      <c r="J1608">
        <v>16.97233098606092</v>
      </c>
      <c r="K1608">
        <v>0.5924985483906593</v>
      </c>
      <c r="L1608">
        <v>0.7408202953867601</v>
      </c>
      <c r="M1608">
        <v>37.13</v>
      </c>
      <c r="N1608">
        <v>19.85</v>
      </c>
    </row>
    <row r="1609" spans="1:14">
      <c r="A1609" s="1" t="s">
        <v>1621</v>
      </c>
      <c r="B1609">
        <f>HYPERLINK("https://www.suredividend.com/sure-analysis-TRN/","Trinity Industries, Inc.")</f>
        <v>0</v>
      </c>
      <c r="C1609" t="s">
        <v>1813</v>
      </c>
      <c r="D1609">
        <v>26.16</v>
      </c>
      <c r="E1609">
        <v>0.03975535168195719</v>
      </c>
      <c r="F1609">
        <v>0.1304347826086956</v>
      </c>
      <c r="G1609">
        <v>0.1486983549970351</v>
      </c>
      <c r="H1609">
        <v>0.995168543337373</v>
      </c>
      <c r="I1609">
        <v>2122.853864</v>
      </c>
      <c r="J1609">
        <v>27.04272437808917</v>
      </c>
      <c r="K1609">
        <v>1.057003232434809</v>
      </c>
      <c r="L1609">
        <v>1.157784473895291</v>
      </c>
      <c r="M1609">
        <v>30.74</v>
      </c>
      <c r="N1609">
        <v>19.87</v>
      </c>
    </row>
    <row r="1610" spans="1:14">
      <c r="A1610" s="1" t="s">
        <v>1622</v>
      </c>
      <c r="B1610">
        <f>HYPERLINK("https://www.suredividend.com/sure-analysis-research-database/","Terreno Realty Corp")</f>
        <v>0</v>
      </c>
      <c r="C1610" t="s">
        <v>1814</v>
      </c>
      <c r="D1610">
        <v>59.41</v>
      </c>
      <c r="E1610">
        <v>0.026661157674235</v>
      </c>
      <c r="F1610">
        <v>0.1764705882352942</v>
      </c>
      <c r="G1610">
        <v>0.1075663432482901</v>
      </c>
      <c r="H1610">
        <v>1.583939377426344</v>
      </c>
      <c r="I1610">
        <v>4985.135638</v>
      </c>
      <c r="J1610">
        <v>24.82575452583352</v>
      </c>
      <c r="K1610">
        <v>0.606873324684423</v>
      </c>
      <c r="L1610">
        <v>0.9194334872138161</v>
      </c>
      <c r="M1610">
        <v>66.15000000000001</v>
      </c>
      <c r="N1610">
        <v>49.34</v>
      </c>
    </row>
    <row r="1611" spans="1:14">
      <c r="A1611" s="1" t="s">
        <v>1623</v>
      </c>
      <c r="B1611">
        <f>HYPERLINK("https://www.suredividend.com/sure-analysis-research-database/","Transcat Inc")</f>
        <v>0</v>
      </c>
      <c r="C1611" t="s">
        <v>1813</v>
      </c>
      <c r="D1611">
        <v>89.5</v>
      </c>
      <c r="E1611">
        <v>0</v>
      </c>
      <c r="F1611" t="s">
        <v>1812</v>
      </c>
      <c r="G1611" t="s">
        <v>1812</v>
      </c>
      <c r="H1611">
        <v>0</v>
      </c>
      <c r="I1611">
        <v>688.062665</v>
      </c>
      <c r="J1611">
        <v>0</v>
      </c>
      <c r="K1611" t="s">
        <v>1812</v>
      </c>
      <c r="L1611">
        <v>1.00359217010897</v>
      </c>
      <c r="M1611">
        <v>94.09999999999999</v>
      </c>
      <c r="N1611">
        <v>65.59999999999999</v>
      </c>
    </row>
    <row r="1612" spans="1:14">
      <c r="A1612" s="1" t="s">
        <v>1624</v>
      </c>
      <c r="B1612">
        <f>HYPERLINK("https://www.suredividend.com/sure-analysis-research-database/","Tronox Holdings plc")</f>
        <v>0</v>
      </c>
      <c r="C1612" t="s">
        <v>1823</v>
      </c>
      <c r="D1612">
        <v>12.72</v>
      </c>
      <c r="E1612">
        <v>0.038558110582225</v>
      </c>
      <c r="F1612">
        <v>0</v>
      </c>
      <c r="G1612">
        <v>0.2267032046963888</v>
      </c>
      <c r="H1612">
        <v>0.490459166605914</v>
      </c>
      <c r="I1612">
        <v>1994.327982</v>
      </c>
      <c r="J1612">
        <v>0</v>
      </c>
      <c r="K1612" t="s">
        <v>1812</v>
      </c>
      <c r="L1612">
        <v>1.575192029050097</v>
      </c>
      <c r="M1612">
        <v>17.29</v>
      </c>
      <c r="N1612">
        <v>10.58</v>
      </c>
    </row>
    <row r="1613" spans="1:14">
      <c r="A1613" s="1" t="s">
        <v>1625</v>
      </c>
      <c r="B1613">
        <f>HYPERLINK("https://www.suredividend.com/sure-analysis-research-database/","Trimas Corporation")</f>
        <v>0</v>
      </c>
      <c r="C1613" t="s">
        <v>1813</v>
      </c>
      <c r="D1613">
        <v>25.83</v>
      </c>
      <c r="E1613">
        <v>0.006168264181125</v>
      </c>
      <c r="F1613" t="s">
        <v>1812</v>
      </c>
      <c r="G1613" t="s">
        <v>1812</v>
      </c>
      <c r="H1613">
        <v>0.159326263798467</v>
      </c>
      <c r="I1613">
        <v>1070.025134</v>
      </c>
      <c r="J1613">
        <v>22.25972817952985</v>
      </c>
      <c r="K1613">
        <v>0.1385445772160583</v>
      </c>
      <c r="L1613">
        <v>0.8381170206649241</v>
      </c>
      <c r="M1613">
        <v>31.64</v>
      </c>
      <c r="N1613">
        <v>21.21</v>
      </c>
    </row>
    <row r="1614" spans="1:14">
      <c r="A1614" s="1" t="s">
        <v>1626</v>
      </c>
      <c r="B1614">
        <f>HYPERLINK("https://www.suredividend.com/sure-analysis-TRST/","Trustco Bank Corp.")</f>
        <v>0</v>
      </c>
      <c r="C1614" t="s">
        <v>1815</v>
      </c>
      <c r="D1614">
        <v>30.31</v>
      </c>
      <c r="E1614">
        <v>0.04750907291322996</v>
      </c>
      <c r="F1614">
        <v>0.02857142857142847</v>
      </c>
      <c r="G1614">
        <v>0.3950802711953256</v>
      </c>
      <c r="H1614">
        <v>1.392874751005887</v>
      </c>
      <c r="I1614">
        <v>59.172394</v>
      </c>
      <c r="J1614">
        <v>0.779702394223293</v>
      </c>
      <c r="K1614">
        <v>0.3499685304034892</v>
      </c>
      <c r="L1614">
        <v>0.708190519843592</v>
      </c>
      <c r="M1614">
        <v>37.63</v>
      </c>
      <c r="N1614">
        <v>26.57</v>
      </c>
    </row>
    <row r="1615" spans="1:14">
      <c r="A1615" s="1" t="s">
        <v>1627</v>
      </c>
      <c r="B1615">
        <f>HYPERLINK("https://www.suredividend.com/sure-analysis-TRTN/","Triton International Ltd")</f>
        <v>0</v>
      </c>
      <c r="C1615" t="s">
        <v>1813</v>
      </c>
      <c r="D1615">
        <v>83.73999999999999</v>
      </c>
      <c r="E1615">
        <v>0.03343682827800334</v>
      </c>
      <c r="F1615">
        <v>0.07692307692307709</v>
      </c>
      <c r="G1615">
        <v>0.06125302037503699</v>
      </c>
      <c r="H1615">
        <v>2.712160193048677</v>
      </c>
      <c r="I1615">
        <v>4610.892969</v>
      </c>
      <c r="J1615">
        <v>7.755813157468023</v>
      </c>
      <c r="K1615">
        <v>0.2630611244470104</v>
      </c>
      <c r="L1615">
        <v>0.7029561109372171</v>
      </c>
      <c r="M1615">
        <v>84.68000000000001</v>
      </c>
      <c r="N1615">
        <v>51.76</v>
      </c>
    </row>
    <row r="1616" spans="1:14">
      <c r="A1616" s="1" t="s">
        <v>1628</v>
      </c>
      <c r="B1616">
        <f>HYPERLINK("https://www.suredividend.com/sure-analysis-research-database/","TPG RE Finance Trust Inc")</f>
        <v>0</v>
      </c>
      <c r="C1616" t="s">
        <v>1814</v>
      </c>
      <c r="D1616">
        <v>7.09</v>
      </c>
      <c r="E1616">
        <v>0.128931681088076</v>
      </c>
      <c r="F1616">
        <v>0</v>
      </c>
      <c r="G1616">
        <v>-0.1100849382703697</v>
      </c>
      <c r="H1616">
        <v>0.9141256189144631</v>
      </c>
      <c r="I1616">
        <v>548.865303</v>
      </c>
      <c r="J1616" t="s">
        <v>1812</v>
      </c>
      <c r="K1616" t="s">
        <v>1812</v>
      </c>
      <c r="L1616">
        <v>1.499567156975997</v>
      </c>
      <c r="M1616">
        <v>9.140000000000001</v>
      </c>
      <c r="N1616">
        <v>4.98</v>
      </c>
    </row>
    <row r="1617" spans="1:14">
      <c r="A1617" s="1" t="s">
        <v>1629</v>
      </c>
      <c r="B1617">
        <f>HYPERLINK("https://www.suredividend.com/sure-analysis-research-database/","Truecar Inc")</f>
        <v>0</v>
      </c>
      <c r="C1617" t="s">
        <v>1821</v>
      </c>
      <c r="D1617">
        <v>2.45</v>
      </c>
      <c r="E1617">
        <v>0</v>
      </c>
      <c r="F1617" t="s">
        <v>1812</v>
      </c>
      <c r="G1617" t="s">
        <v>1812</v>
      </c>
      <c r="H1617">
        <v>0</v>
      </c>
      <c r="I1617">
        <v>218.533226</v>
      </c>
      <c r="J1617" t="s">
        <v>1812</v>
      </c>
      <c r="K1617">
        <v>-0</v>
      </c>
      <c r="L1617">
        <v>1.330463072876725</v>
      </c>
      <c r="M1617">
        <v>3.49</v>
      </c>
      <c r="N1617">
        <v>1.3</v>
      </c>
    </row>
    <row r="1618" spans="1:14">
      <c r="A1618" s="1" t="s">
        <v>1630</v>
      </c>
      <c r="B1618">
        <f>HYPERLINK("https://www.suredividend.com/sure-analysis-research-database/","Trupanion Inc")</f>
        <v>0</v>
      </c>
      <c r="C1618" t="s">
        <v>1815</v>
      </c>
      <c r="D1618">
        <v>29.24</v>
      </c>
      <c r="E1618">
        <v>0</v>
      </c>
      <c r="F1618" t="s">
        <v>1812</v>
      </c>
      <c r="G1618" t="s">
        <v>1812</v>
      </c>
      <c r="H1618">
        <v>0</v>
      </c>
      <c r="I1618">
        <v>1205.429907</v>
      </c>
      <c r="J1618" t="s">
        <v>1812</v>
      </c>
      <c r="K1618">
        <v>-0</v>
      </c>
      <c r="L1618">
        <v>2.131610017287718</v>
      </c>
      <c r="M1618">
        <v>82.48999999999999</v>
      </c>
      <c r="N1618">
        <v>18.45</v>
      </c>
    </row>
    <row r="1619" spans="1:14">
      <c r="A1619" s="1" t="s">
        <v>1631</v>
      </c>
      <c r="B1619">
        <f>HYPERLINK("https://www.suredividend.com/sure-analysis-research-database/","Trinseo PLC")</f>
        <v>0</v>
      </c>
      <c r="C1619" t="s">
        <v>1823</v>
      </c>
      <c r="D1619">
        <v>16.27</v>
      </c>
      <c r="E1619">
        <v>0.048027595865434</v>
      </c>
      <c r="F1619">
        <v>-0.96875</v>
      </c>
      <c r="G1619">
        <v>-0.5218237501049816</v>
      </c>
      <c r="H1619">
        <v>0.781408984730621</v>
      </c>
      <c r="I1619">
        <v>571.8309839999999</v>
      </c>
      <c r="J1619" t="s">
        <v>1812</v>
      </c>
      <c r="K1619" t="s">
        <v>1812</v>
      </c>
      <c r="L1619">
        <v>1.78021692502257</v>
      </c>
      <c r="M1619">
        <v>34.67</v>
      </c>
      <c r="N1619">
        <v>11.79</v>
      </c>
    </row>
    <row r="1620" spans="1:14">
      <c r="A1620" s="1" t="s">
        <v>1632</v>
      </c>
      <c r="B1620">
        <f>HYPERLINK("https://www.suredividend.com/sure-analysis-research-database/","TuSimple Holdings Inc")</f>
        <v>0</v>
      </c>
      <c r="C1620" t="s">
        <v>1812</v>
      </c>
      <c r="D1620">
        <v>2.08</v>
      </c>
      <c r="E1620">
        <v>0</v>
      </c>
      <c r="F1620" t="s">
        <v>1812</v>
      </c>
      <c r="G1620" t="s">
        <v>1812</v>
      </c>
      <c r="H1620">
        <v>0</v>
      </c>
      <c r="I1620">
        <v>425.01944</v>
      </c>
      <c r="J1620" t="s">
        <v>1812</v>
      </c>
      <c r="K1620">
        <v>-0</v>
      </c>
      <c r="L1620">
        <v>2.751918541288715</v>
      </c>
      <c r="M1620">
        <v>10.63</v>
      </c>
      <c r="N1620">
        <v>0.75</v>
      </c>
    </row>
    <row r="1621" spans="1:14">
      <c r="A1621" s="1" t="s">
        <v>1633</v>
      </c>
      <c r="B1621">
        <f>HYPERLINK("https://www.suredividend.com/sure-analysis-research-database/","2seventy bio Inc")</f>
        <v>0</v>
      </c>
      <c r="C1621" t="s">
        <v>1812</v>
      </c>
      <c r="D1621">
        <v>6.15</v>
      </c>
      <c r="E1621">
        <v>0</v>
      </c>
      <c r="F1621" t="s">
        <v>1812</v>
      </c>
      <c r="G1621" t="s">
        <v>1812</v>
      </c>
      <c r="H1621">
        <v>0</v>
      </c>
      <c r="I1621">
        <v>308.725498</v>
      </c>
      <c r="J1621" t="s">
        <v>1812</v>
      </c>
      <c r="K1621">
        <v>-0</v>
      </c>
      <c r="L1621">
        <v>1.409111459299812</v>
      </c>
      <c r="M1621">
        <v>18.88</v>
      </c>
      <c r="N1621">
        <v>6.06</v>
      </c>
    </row>
    <row r="1622" spans="1:14">
      <c r="A1622" s="1" t="s">
        <v>1634</v>
      </c>
      <c r="B1622">
        <f>HYPERLINK("https://www.suredividend.com/sure-analysis-research-database/","Tattooed Chef Inc")</f>
        <v>0</v>
      </c>
      <c r="C1622" t="s">
        <v>1812</v>
      </c>
      <c r="D1622">
        <v>0.158</v>
      </c>
      <c r="E1622">
        <v>0</v>
      </c>
      <c r="F1622" t="s">
        <v>1812</v>
      </c>
      <c r="G1622" t="s">
        <v>1812</v>
      </c>
      <c r="H1622">
        <v>0</v>
      </c>
      <c r="I1622">
        <v>0</v>
      </c>
      <c r="J1622">
        <v>0</v>
      </c>
      <c r="K1622">
        <v>-0</v>
      </c>
    </row>
    <row r="1623" spans="1:14">
      <c r="A1623" s="1" t="s">
        <v>1635</v>
      </c>
      <c r="B1623">
        <f>HYPERLINK("https://www.suredividend.com/sure-analysis-research-database/","TTEC Holdings Inc")</f>
        <v>0</v>
      </c>
      <c r="C1623" t="s">
        <v>1818</v>
      </c>
      <c r="D1623">
        <v>32.82</v>
      </c>
      <c r="E1623">
        <v>0.031463557664931</v>
      </c>
      <c r="F1623" t="s">
        <v>1812</v>
      </c>
      <c r="G1623" t="s">
        <v>1812</v>
      </c>
      <c r="H1623">
        <v>1.032633962563061</v>
      </c>
      <c r="I1623">
        <v>1550.84707</v>
      </c>
      <c r="J1623">
        <v>17.52706248883966</v>
      </c>
      <c r="K1623">
        <v>0.5522106751674123</v>
      </c>
      <c r="L1623">
        <v>1.215298250487175</v>
      </c>
      <c r="M1623">
        <v>74.37</v>
      </c>
      <c r="N1623">
        <v>30.77</v>
      </c>
    </row>
    <row r="1624" spans="1:14">
      <c r="A1624" s="1" t="s">
        <v>1636</v>
      </c>
      <c r="B1624">
        <f>HYPERLINK("https://www.suredividend.com/sure-analysis-research-database/","Techtarget Inc.")</f>
        <v>0</v>
      </c>
      <c r="C1624" t="s">
        <v>1821</v>
      </c>
      <c r="D1624">
        <v>29.79</v>
      </c>
      <c r="E1624">
        <v>0</v>
      </c>
      <c r="F1624" t="s">
        <v>1812</v>
      </c>
      <c r="G1624" t="s">
        <v>1812</v>
      </c>
      <c r="H1624">
        <v>0</v>
      </c>
      <c r="I1624">
        <v>836.250611</v>
      </c>
      <c r="J1624">
        <v>23.17125548877805</v>
      </c>
      <c r="K1624">
        <v>0</v>
      </c>
      <c r="L1624">
        <v>1.017172877073164</v>
      </c>
      <c r="M1624">
        <v>72.79000000000001</v>
      </c>
      <c r="N1624">
        <v>28.25</v>
      </c>
    </row>
    <row r="1625" spans="1:14">
      <c r="A1625" s="1" t="s">
        <v>1637</v>
      </c>
      <c r="B1625">
        <f>HYPERLINK("https://www.suredividend.com/sure-analysis-research-database/","Tetra Technologies, Inc.")</f>
        <v>0</v>
      </c>
      <c r="C1625" t="s">
        <v>1822</v>
      </c>
      <c r="D1625">
        <v>5.48</v>
      </c>
      <c r="E1625">
        <v>0</v>
      </c>
      <c r="F1625" t="s">
        <v>1812</v>
      </c>
      <c r="G1625" t="s">
        <v>1812</v>
      </c>
      <c r="H1625">
        <v>0</v>
      </c>
      <c r="I1625">
        <v>709.970272</v>
      </c>
      <c r="J1625">
        <v>31.37435468292899</v>
      </c>
      <c r="K1625">
        <v>0</v>
      </c>
      <c r="L1625">
        <v>1.405869125747418</v>
      </c>
      <c r="M1625">
        <v>5.53</v>
      </c>
      <c r="N1625">
        <v>2.43</v>
      </c>
    </row>
    <row r="1626" spans="1:14">
      <c r="A1626" s="1" t="s">
        <v>1638</v>
      </c>
      <c r="B1626">
        <f>HYPERLINK("https://www.suredividend.com/sure-analysis-research-database/","TTM Technologies Inc")</f>
        <v>0</v>
      </c>
      <c r="C1626" t="s">
        <v>1818</v>
      </c>
      <c r="D1626">
        <v>14.7</v>
      </c>
      <c r="E1626">
        <v>0</v>
      </c>
      <c r="F1626" t="s">
        <v>1812</v>
      </c>
      <c r="G1626" t="s">
        <v>1812</v>
      </c>
      <c r="H1626">
        <v>0</v>
      </c>
      <c r="I1626">
        <v>1508.009893</v>
      </c>
      <c r="J1626">
        <v>21.08426510213497</v>
      </c>
      <c r="K1626">
        <v>0</v>
      </c>
      <c r="L1626">
        <v>1.387427776044424</v>
      </c>
      <c r="M1626">
        <v>17.49</v>
      </c>
      <c r="N1626">
        <v>11.13</v>
      </c>
    </row>
    <row r="1627" spans="1:14">
      <c r="A1627" s="1" t="s">
        <v>1639</v>
      </c>
      <c r="B1627">
        <f>HYPERLINK("https://www.suredividend.com/sure-analysis-research-database/","Tile Shop Hldgs Inc")</f>
        <v>0</v>
      </c>
      <c r="C1627" t="s">
        <v>1816</v>
      </c>
      <c r="D1627">
        <v>5.76</v>
      </c>
      <c r="E1627">
        <v>0</v>
      </c>
      <c r="F1627" t="s">
        <v>1812</v>
      </c>
      <c r="G1627" t="s">
        <v>1812</v>
      </c>
      <c r="H1627">
        <v>0</v>
      </c>
      <c r="I1627">
        <v>256.932248</v>
      </c>
      <c r="J1627">
        <v>17.4760065079581</v>
      </c>
      <c r="K1627">
        <v>0</v>
      </c>
      <c r="L1627">
        <v>1.217932833460182</v>
      </c>
      <c r="M1627">
        <v>6.51</v>
      </c>
      <c r="N1627">
        <v>3.28</v>
      </c>
    </row>
    <row r="1628" spans="1:14">
      <c r="A1628" s="1" t="s">
        <v>1640</v>
      </c>
      <c r="B1628">
        <f>HYPERLINK("https://www.suredividend.com/sure-analysis-research-database/","Tupperware Brands Corporation")</f>
        <v>0</v>
      </c>
      <c r="C1628" t="s">
        <v>1816</v>
      </c>
      <c r="D1628">
        <v>3.52</v>
      </c>
      <c r="E1628">
        <v>0</v>
      </c>
      <c r="F1628" t="s">
        <v>1812</v>
      </c>
      <c r="G1628" t="s">
        <v>1812</v>
      </c>
      <c r="H1628">
        <v>0</v>
      </c>
      <c r="I1628">
        <v>156.562652</v>
      </c>
      <c r="J1628">
        <v>3.75450003645084</v>
      </c>
      <c r="K1628">
        <v>0</v>
      </c>
      <c r="L1628">
        <v>2.657072266619282</v>
      </c>
      <c r="M1628">
        <v>12.86</v>
      </c>
      <c r="N1628">
        <v>0.61</v>
      </c>
    </row>
    <row r="1629" spans="1:14">
      <c r="A1629" s="1" t="s">
        <v>1641</v>
      </c>
      <c r="B1629">
        <f>HYPERLINK("https://www.suredividend.com/sure-analysis-research-database/","Travere Therapeutics Inc")</f>
        <v>0</v>
      </c>
      <c r="C1629" t="s">
        <v>1812</v>
      </c>
      <c r="D1629">
        <v>16.28</v>
      </c>
      <c r="E1629">
        <v>0</v>
      </c>
      <c r="F1629" t="s">
        <v>1812</v>
      </c>
      <c r="G1629" t="s">
        <v>1812</v>
      </c>
      <c r="H1629">
        <v>0</v>
      </c>
      <c r="I1629">
        <v>1214.616628</v>
      </c>
      <c r="J1629">
        <v>0</v>
      </c>
      <c r="K1629" t="s">
        <v>1812</v>
      </c>
      <c r="L1629">
        <v>1.106172734603352</v>
      </c>
      <c r="M1629">
        <v>29.14</v>
      </c>
      <c r="N1629">
        <v>14.51</v>
      </c>
    </row>
    <row r="1630" spans="1:14">
      <c r="A1630" s="1" t="s">
        <v>1642</v>
      </c>
      <c r="B1630">
        <f>HYPERLINK("https://www.suredividend.com/sure-analysis-research-database/","Titan International, Inc.")</f>
        <v>0</v>
      </c>
      <c r="C1630" t="s">
        <v>1813</v>
      </c>
      <c r="D1630">
        <v>11.5</v>
      </c>
      <c r="E1630">
        <v>0</v>
      </c>
      <c r="F1630" t="s">
        <v>1812</v>
      </c>
      <c r="G1630" t="s">
        <v>1812</v>
      </c>
      <c r="H1630">
        <v>0</v>
      </c>
      <c r="I1630">
        <v>721.36088</v>
      </c>
      <c r="J1630">
        <v>3.915800190535127</v>
      </c>
      <c r="K1630">
        <v>0</v>
      </c>
      <c r="L1630">
        <v>1.315370767332483</v>
      </c>
      <c r="M1630">
        <v>17.29</v>
      </c>
      <c r="N1630">
        <v>9.23</v>
      </c>
    </row>
    <row r="1631" spans="1:14">
      <c r="A1631" s="1" t="s">
        <v>1643</v>
      </c>
      <c r="B1631">
        <f>HYPERLINK("https://www.suredividend.com/sure-analysis-research-database/","Hostess Brands Inc")</f>
        <v>0</v>
      </c>
      <c r="C1631" t="s">
        <v>1819</v>
      </c>
      <c r="D1631">
        <v>23.63</v>
      </c>
      <c r="E1631">
        <v>0</v>
      </c>
      <c r="F1631" t="s">
        <v>1812</v>
      </c>
      <c r="G1631" t="s">
        <v>1812</v>
      </c>
      <c r="H1631">
        <v>0</v>
      </c>
      <c r="I1631">
        <v>3139.250793</v>
      </c>
      <c r="J1631">
        <v>18.69425099817777</v>
      </c>
      <c r="K1631">
        <v>0</v>
      </c>
      <c r="L1631">
        <v>0.41028901991874</v>
      </c>
      <c r="M1631">
        <v>29</v>
      </c>
      <c r="N1631">
        <v>21.46</v>
      </c>
    </row>
    <row r="1632" spans="1:14">
      <c r="A1632" s="1" t="s">
        <v>1644</v>
      </c>
      <c r="B1632">
        <f>HYPERLINK("https://www.suredividend.com/sure-analysis-TWO/","Two Harbors Investment Corp")</f>
        <v>0</v>
      </c>
      <c r="C1632" t="s">
        <v>1814</v>
      </c>
      <c r="D1632">
        <v>13.17</v>
      </c>
      <c r="E1632">
        <v>0.1822323462414578</v>
      </c>
      <c r="F1632">
        <v>1.647058823529412</v>
      </c>
      <c r="G1632">
        <v>0.07625368343416317</v>
      </c>
      <c r="H1632">
        <v>2.19515650183779</v>
      </c>
      <c r="I1632">
        <v>1266.508683</v>
      </c>
      <c r="J1632" t="s">
        <v>1812</v>
      </c>
      <c r="K1632" t="s">
        <v>1812</v>
      </c>
      <c r="L1632">
        <v>1.126678712983162</v>
      </c>
      <c r="M1632">
        <v>17.75</v>
      </c>
      <c r="N1632">
        <v>10.83</v>
      </c>
    </row>
    <row r="1633" spans="1:14">
      <c r="A1633" s="1" t="s">
        <v>1645</v>
      </c>
      <c r="B1633">
        <f>HYPERLINK("https://www.suredividend.com/sure-analysis-research-database/","2U Inc")</f>
        <v>0</v>
      </c>
      <c r="C1633" t="s">
        <v>1819</v>
      </c>
      <c r="D1633">
        <v>4.13</v>
      </c>
      <c r="E1633">
        <v>0</v>
      </c>
      <c r="F1633" t="s">
        <v>1812</v>
      </c>
      <c r="G1633" t="s">
        <v>1812</v>
      </c>
      <c r="H1633">
        <v>0</v>
      </c>
      <c r="I1633">
        <v>332.132242</v>
      </c>
      <c r="J1633" t="s">
        <v>1812</v>
      </c>
      <c r="K1633">
        <v>-0</v>
      </c>
      <c r="L1633">
        <v>2.544810761869075</v>
      </c>
      <c r="M1633">
        <v>13.15</v>
      </c>
      <c r="N1633">
        <v>3.34</v>
      </c>
    </row>
    <row r="1634" spans="1:14">
      <c r="A1634" s="1" t="s">
        <v>1646</v>
      </c>
      <c r="B1634">
        <f>HYPERLINK("https://www.suredividend.com/sure-analysis-research-database/","Twist Bioscience Corp")</f>
        <v>0</v>
      </c>
      <c r="C1634" t="s">
        <v>1817</v>
      </c>
      <c r="D1634">
        <v>20.67</v>
      </c>
      <c r="E1634">
        <v>0</v>
      </c>
      <c r="F1634" t="s">
        <v>1812</v>
      </c>
      <c r="G1634" t="s">
        <v>1812</v>
      </c>
      <c r="H1634">
        <v>0</v>
      </c>
      <c r="I1634">
        <v>1181.229958</v>
      </c>
      <c r="J1634" t="s">
        <v>1812</v>
      </c>
      <c r="K1634">
        <v>-0</v>
      </c>
      <c r="L1634">
        <v>2.587497510413119</v>
      </c>
      <c r="M1634">
        <v>58.76</v>
      </c>
      <c r="N1634">
        <v>11.46</v>
      </c>
    </row>
    <row r="1635" spans="1:14">
      <c r="A1635" s="1" t="s">
        <v>1647</v>
      </c>
      <c r="B1635">
        <f>HYPERLINK("https://www.suredividend.com/sure-analysis-research-database/","Texas Roadhouse Inc")</f>
        <v>0</v>
      </c>
      <c r="C1635" t="s">
        <v>1816</v>
      </c>
      <c r="D1635">
        <v>110.93</v>
      </c>
      <c r="E1635">
        <v>0.018016260508848</v>
      </c>
      <c r="F1635" t="s">
        <v>1812</v>
      </c>
      <c r="G1635" t="s">
        <v>1812</v>
      </c>
      <c r="H1635">
        <v>1.998543778246533</v>
      </c>
      <c r="I1635">
        <v>7432.31</v>
      </c>
      <c r="J1635">
        <v>26.44921940335157</v>
      </c>
      <c r="K1635">
        <v>0.4792670931046842</v>
      </c>
      <c r="L1635">
        <v>0.608785525351704</v>
      </c>
      <c r="M1635">
        <v>118.16</v>
      </c>
      <c r="N1635">
        <v>81.64</v>
      </c>
    </row>
    <row r="1636" spans="1:14">
      <c r="A1636" s="1" t="s">
        <v>1648</v>
      </c>
      <c r="B1636">
        <f>HYPERLINK("https://www.suredividend.com/sure-analysis-research-database/","Tyra Biosciences Inc")</f>
        <v>0</v>
      </c>
      <c r="C1636" t="s">
        <v>1812</v>
      </c>
      <c r="D1636">
        <v>14.8</v>
      </c>
      <c r="E1636">
        <v>0</v>
      </c>
      <c r="F1636" t="s">
        <v>1812</v>
      </c>
      <c r="G1636" t="s">
        <v>1812</v>
      </c>
      <c r="H1636">
        <v>0</v>
      </c>
      <c r="I1636">
        <v>629.913648</v>
      </c>
      <c r="J1636">
        <v>0</v>
      </c>
      <c r="K1636" t="s">
        <v>1812</v>
      </c>
      <c r="L1636">
        <v>1.658711121263495</v>
      </c>
      <c r="M1636">
        <v>19.74</v>
      </c>
      <c r="N1636">
        <v>5.5</v>
      </c>
    </row>
    <row r="1637" spans="1:14">
      <c r="A1637" s="1" t="s">
        <v>1649</v>
      </c>
      <c r="B1637">
        <f>HYPERLINK("https://www.suredividend.com/sure-analysis-UBA/","Urstadt Biddle Properties, Inc.")</f>
        <v>0</v>
      </c>
      <c r="C1637" t="s">
        <v>1814</v>
      </c>
      <c r="D1637">
        <v>22.83</v>
      </c>
      <c r="E1637">
        <v>0.03635567236092861</v>
      </c>
      <c r="F1637">
        <v>-0.1229473684210527</v>
      </c>
      <c r="G1637">
        <v>-0.05056529811354737</v>
      </c>
      <c r="H1637">
        <v>1.172511706427133</v>
      </c>
      <c r="I1637">
        <v>896.156797</v>
      </c>
      <c r="J1637">
        <v>35.07737581571943</v>
      </c>
      <c r="K1637">
        <v>1.743771127940412</v>
      </c>
      <c r="L1637">
        <v>0.795298677483755</v>
      </c>
      <c r="M1637">
        <v>22.97</v>
      </c>
      <c r="N1637">
        <v>14.51</v>
      </c>
    </row>
    <row r="1638" spans="1:14">
      <c r="A1638" s="1" t="s">
        <v>1650</v>
      </c>
      <c r="B1638">
        <f>HYPERLINK("https://www.suredividend.com/sure-analysis-UBSI/","United Bankshares, Inc.")</f>
        <v>0</v>
      </c>
      <c r="C1638" t="s">
        <v>1815</v>
      </c>
      <c r="D1638">
        <v>33.16</v>
      </c>
      <c r="E1638">
        <v>0.04342581423401689</v>
      </c>
      <c r="F1638">
        <v>0</v>
      </c>
      <c r="G1638">
        <v>0.01149727415513624</v>
      </c>
      <c r="H1638">
        <v>1.407657099874274</v>
      </c>
      <c r="I1638">
        <v>4474.403714</v>
      </c>
      <c r="J1638">
        <v>11.29130066298231</v>
      </c>
      <c r="K1638">
        <v>0.4787949319300252</v>
      </c>
      <c r="L1638">
        <v>0.9736645290634161</v>
      </c>
      <c r="M1638">
        <v>42.44</v>
      </c>
      <c r="N1638">
        <v>27.1</v>
      </c>
    </row>
    <row r="1639" spans="1:14">
      <c r="A1639" s="1" t="s">
        <v>1651</v>
      </c>
      <c r="B1639">
        <f>HYPERLINK("https://www.suredividend.com/sure-analysis-research-database/","United Community Banks Inc")</f>
        <v>0</v>
      </c>
      <c r="C1639" t="s">
        <v>1815</v>
      </c>
      <c r="D1639">
        <v>29.48</v>
      </c>
      <c r="E1639">
        <v>0.029971543084312</v>
      </c>
      <c r="F1639">
        <v>0.09523809523809534</v>
      </c>
      <c r="G1639">
        <v>0.08924936491294377</v>
      </c>
      <c r="H1639">
        <v>0.8835610901255241</v>
      </c>
      <c r="I1639">
        <v>3394.760527</v>
      </c>
      <c r="J1639">
        <v>11.98228306485714</v>
      </c>
      <c r="K1639">
        <v>0.3398311885098169</v>
      </c>
      <c r="L1639">
        <v>1.065273430796835</v>
      </c>
      <c r="M1639">
        <v>38.25</v>
      </c>
      <c r="N1639">
        <v>20.02</v>
      </c>
    </row>
    <row r="1640" spans="1:14">
      <c r="A1640" s="1" t="s">
        <v>1652</v>
      </c>
      <c r="B1640">
        <f>HYPERLINK("https://www.suredividend.com/sure-analysis-research-database/","Ultra Clean Hldgs Inc")</f>
        <v>0</v>
      </c>
      <c r="C1640" t="s">
        <v>1818</v>
      </c>
      <c r="D1640">
        <v>36</v>
      </c>
      <c r="E1640">
        <v>0</v>
      </c>
      <c r="F1640" t="s">
        <v>1812</v>
      </c>
      <c r="G1640" t="s">
        <v>1812</v>
      </c>
      <c r="H1640">
        <v>0</v>
      </c>
      <c r="I1640">
        <v>1609.2</v>
      </c>
      <c r="J1640">
        <v>176.8351648351648</v>
      </c>
      <c r="K1640">
        <v>0</v>
      </c>
      <c r="L1640">
        <v>1.727512353334974</v>
      </c>
      <c r="M1640">
        <v>40.8</v>
      </c>
      <c r="N1640">
        <v>23.32</v>
      </c>
    </row>
    <row r="1641" spans="1:14">
      <c r="A1641" s="1" t="s">
        <v>1653</v>
      </c>
      <c r="B1641">
        <f>HYPERLINK("https://www.suredividend.com/sure-analysis-research-database/","Udemy Inc")</f>
        <v>0</v>
      </c>
      <c r="C1641" t="s">
        <v>1812</v>
      </c>
      <c r="D1641">
        <v>11.31</v>
      </c>
      <c r="E1641">
        <v>0</v>
      </c>
      <c r="F1641" t="s">
        <v>1812</v>
      </c>
      <c r="G1641" t="s">
        <v>1812</v>
      </c>
      <c r="H1641">
        <v>0</v>
      </c>
      <c r="I1641">
        <v>1660.020375</v>
      </c>
      <c r="J1641" t="s">
        <v>1812</v>
      </c>
      <c r="K1641">
        <v>-0</v>
      </c>
      <c r="L1641">
        <v>1.400318921677779</v>
      </c>
      <c r="M1641">
        <v>17.26</v>
      </c>
      <c r="N1641">
        <v>8.17</v>
      </c>
    </row>
    <row r="1642" spans="1:14">
      <c r="A1642" s="1" t="s">
        <v>1654</v>
      </c>
      <c r="B1642">
        <f>HYPERLINK("https://www.suredividend.com/sure-analysis-UE/","Urban Edge Properties")</f>
        <v>0</v>
      </c>
      <c r="C1642" t="s">
        <v>1814</v>
      </c>
      <c r="D1642">
        <v>17.53</v>
      </c>
      <c r="E1642">
        <v>0.03650884198516828</v>
      </c>
      <c r="F1642" t="s">
        <v>1812</v>
      </c>
      <c r="G1642" t="s">
        <v>1812</v>
      </c>
      <c r="H1642">
        <v>0.629606510515323</v>
      </c>
      <c r="I1642">
        <v>2062.222223</v>
      </c>
      <c r="J1642">
        <v>117.4319357132282</v>
      </c>
      <c r="K1642">
        <v>4.360155889995312</v>
      </c>
      <c r="L1642">
        <v>1.072280239242452</v>
      </c>
      <c r="M1642">
        <v>17.58</v>
      </c>
      <c r="N1642">
        <v>12.49</v>
      </c>
    </row>
    <row r="1643" spans="1:14">
      <c r="A1643" s="1" t="s">
        <v>1655</v>
      </c>
      <c r="B1643">
        <f>HYPERLINK("https://www.suredividend.com/sure-analysis-research-database/","Uranium Energy Corp")</f>
        <v>0</v>
      </c>
      <c r="C1643" t="s">
        <v>1822</v>
      </c>
      <c r="D1643">
        <v>3.55</v>
      </c>
      <c r="E1643">
        <v>0</v>
      </c>
      <c r="F1643" t="s">
        <v>1812</v>
      </c>
      <c r="G1643" t="s">
        <v>1812</v>
      </c>
      <c r="H1643">
        <v>0</v>
      </c>
      <c r="I1643">
        <v>1340.231642</v>
      </c>
      <c r="J1643">
        <v>821.54506039458</v>
      </c>
      <c r="K1643">
        <v>0</v>
      </c>
      <c r="L1643">
        <v>1.734423689171251</v>
      </c>
      <c r="M1643">
        <v>4.65</v>
      </c>
      <c r="N1643">
        <v>2.3</v>
      </c>
    </row>
    <row r="1644" spans="1:14">
      <c r="A1644" s="1" t="s">
        <v>1656</v>
      </c>
      <c r="B1644">
        <f>HYPERLINK("https://www.suredividend.com/sure-analysis-research-database/","Universal Electronics Inc.")</f>
        <v>0</v>
      </c>
      <c r="C1644" t="s">
        <v>1818</v>
      </c>
      <c r="D1644">
        <v>11.14</v>
      </c>
      <c r="E1644">
        <v>0</v>
      </c>
      <c r="F1644" t="s">
        <v>1812</v>
      </c>
      <c r="G1644" t="s">
        <v>1812</v>
      </c>
      <c r="H1644">
        <v>0</v>
      </c>
      <c r="I1644">
        <v>143.231837</v>
      </c>
      <c r="J1644" t="s">
        <v>1812</v>
      </c>
      <c r="K1644">
        <v>-0</v>
      </c>
      <c r="L1644">
        <v>0.9166338907342011</v>
      </c>
      <c r="M1644">
        <v>27.69</v>
      </c>
      <c r="N1644">
        <v>7.59</v>
      </c>
    </row>
    <row r="1645" spans="1:14">
      <c r="A1645" s="1" t="s">
        <v>1657</v>
      </c>
      <c r="B1645">
        <f>HYPERLINK("https://www.suredividend.com/sure-analysis-research-database/","United Fire Group Inc")</f>
        <v>0</v>
      </c>
      <c r="C1645" t="s">
        <v>1815</v>
      </c>
      <c r="D1645">
        <v>21.11</v>
      </c>
      <c r="E1645">
        <v>0.029859055410485</v>
      </c>
      <c r="F1645">
        <v>0</v>
      </c>
      <c r="G1645">
        <v>-0.1239040801101997</v>
      </c>
      <c r="H1645">
        <v>0.630324659715353</v>
      </c>
      <c r="I1645">
        <v>532.760247</v>
      </c>
      <c r="J1645" t="s">
        <v>1812</v>
      </c>
      <c r="K1645" t="s">
        <v>1812</v>
      </c>
      <c r="L1645">
        <v>0.462080174211736</v>
      </c>
      <c r="M1645">
        <v>33.1</v>
      </c>
      <c r="N1645">
        <v>19.63</v>
      </c>
    </row>
    <row r="1646" spans="1:14">
      <c r="A1646" s="1" t="s">
        <v>1658</v>
      </c>
      <c r="B1646">
        <f>HYPERLINK("https://www.suredividend.com/sure-analysis-research-database/","UNIFI, Inc.")</f>
        <v>0</v>
      </c>
      <c r="C1646" t="s">
        <v>1816</v>
      </c>
      <c r="D1646">
        <v>7.83</v>
      </c>
      <c r="E1646">
        <v>0</v>
      </c>
      <c r="F1646" t="s">
        <v>1812</v>
      </c>
      <c r="G1646" t="s">
        <v>1812</v>
      </c>
      <c r="H1646">
        <v>0</v>
      </c>
      <c r="I1646">
        <v>141.380109</v>
      </c>
      <c r="J1646" t="s">
        <v>1812</v>
      </c>
      <c r="K1646">
        <v>-0</v>
      </c>
      <c r="L1646">
        <v>1.006910193265296</v>
      </c>
      <c r="M1646">
        <v>14.79</v>
      </c>
      <c r="N1646">
        <v>6.33</v>
      </c>
    </row>
    <row r="1647" spans="1:14">
      <c r="A1647" s="1" t="s">
        <v>1659</v>
      </c>
      <c r="B1647">
        <f>HYPERLINK("https://www.suredividend.com/sure-analysis-research-database/","UFP Industries Inc")</f>
        <v>0</v>
      </c>
      <c r="C1647" t="s">
        <v>1823</v>
      </c>
      <c r="D1647">
        <v>101.57</v>
      </c>
      <c r="E1647">
        <v>0.009778254734495001</v>
      </c>
      <c r="F1647" t="s">
        <v>1812</v>
      </c>
      <c r="G1647" t="s">
        <v>1812</v>
      </c>
      <c r="H1647">
        <v>0.9931773333827131</v>
      </c>
      <c r="I1647">
        <v>6260.522297</v>
      </c>
      <c r="J1647">
        <v>10.38652965717357</v>
      </c>
      <c r="K1647">
        <v>0.09991723675882426</v>
      </c>
      <c r="L1647">
        <v>1.25904323102672</v>
      </c>
      <c r="M1647">
        <v>103.81</v>
      </c>
      <c r="N1647">
        <v>65.36</v>
      </c>
    </row>
    <row r="1648" spans="1:14">
      <c r="A1648" s="1" t="s">
        <v>1660</v>
      </c>
      <c r="B1648">
        <f>HYPERLINK("https://www.suredividend.com/sure-analysis-research-database/","UFP Technologies Inc.")</f>
        <v>0</v>
      </c>
      <c r="C1648" t="s">
        <v>1816</v>
      </c>
      <c r="D1648">
        <v>186.52</v>
      </c>
      <c r="E1648">
        <v>0</v>
      </c>
      <c r="F1648" t="s">
        <v>1812</v>
      </c>
      <c r="G1648" t="s">
        <v>1812</v>
      </c>
      <c r="H1648">
        <v>0</v>
      </c>
      <c r="I1648">
        <v>1420.200024</v>
      </c>
      <c r="J1648">
        <v>30.43068404628241</v>
      </c>
      <c r="K1648">
        <v>0</v>
      </c>
      <c r="L1648">
        <v>0.7136831954367491</v>
      </c>
      <c r="M1648">
        <v>205.08</v>
      </c>
      <c r="N1648">
        <v>80</v>
      </c>
    </row>
    <row r="1649" spans="1:14">
      <c r="A1649" s="1" t="s">
        <v>1661</v>
      </c>
      <c r="B1649">
        <f>HYPERLINK("https://www.suredividend.com/sure-analysis-UHT/","Universal Health Realty Income Trust")</f>
        <v>0</v>
      </c>
      <c r="C1649" t="s">
        <v>1814</v>
      </c>
      <c r="D1649">
        <v>47.72</v>
      </c>
      <c r="E1649">
        <v>0.06035205364626991</v>
      </c>
      <c r="F1649">
        <v>0.0140845070422535</v>
      </c>
      <c r="G1649">
        <v>0.01449880252679092</v>
      </c>
      <c r="H1649">
        <v>2.798957244690708</v>
      </c>
      <c r="I1649">
        <v>658.733799</v>
      </c>
      <c r="J1649">
        <v>32.68177214725144</v>
      </c>
      <c r="K1649">
        <v>1.917094003212814</v>
      </c>
      <c r="L1649">
        <v>0.663872010307754</v>
      </c>
      <c r="M1649">
        <v>55.86</v>
      </c>
      <c r="N1649">
        <v>39.19</v>
      </c>
    </row>
    <row r="1650" spans="1:14">
      <c r="A1650" s="1" t="s">
        <v>1662</v>
      </c>
      <c r="B1650">
        <f>HYPERLINK("https://www.suredividend.com/sure-analysis-research-database/","Unisys Corp.")</f>
        <v>0</v>
      </c>
      <c r="C1650" t="s">
        <v>1818</v>
      </c>
      <c r="D1650">
        <v>4.74</v>
      </c>
      <c r="E1650">
        <v>0</v>
      </c>
      <c r="F1650" t="s">
        <v>1812</v>
      </c>
      <c r="G1650" t="s">
        <v>1812</v>
      </c>
      <c r="H1650">
        <v>0</v>
      </c>
      <c r="I1650">
        <v>323.744337</v>
      </c>
      <c r="J1650" t="s">
        <v>1812</v>
      </c>
      <c r="K1650">
        <v>-0</v>
      </c>
      <c r="L1650">
        <v>1.537145611382094</v>
      </c>
      <c r="M1650">
        <v>12.22</v>
      </c>
      <c r="N1650">
        <v>3.05</v>
      </c>
    </row>
    <row r="1651" spans="1:14">
      <c r="A1651" s="1" t="s">
        <v>1663</v>
      </c>
      <c r="B1651">
        <f>HYPERLINK("https://www.suredividend.com/sure-analysis-research-database/","Frontier Group Holdings Inc")</f>
        <v>0</v>
      </c>
      <c r="C1651" t="s">
        <v>1812</v>
      </c>
      <c r="D1651">
        <v>8.27</v>
      </c>
      <c r="E1651">
        <v>0</v>
      </c>
      <c r="F1651" t="s">
        <v>1812</v>
      </c>
      <c r="G1651" t="s">
        <v>1812</v>
      </c>
      <c r="H1651">
        <v>0</v>
      </c>
      <c r="I1651">
        <v>1807.132108</v>
      </c>
      <c r="J1651">
        <v>14.00877603356589</v>
      </c>
      <c r="K1651">
        <v>0</v>
      </c>
      <c r="L1651">
        <v>1.327155042073991</v>
      </c>
      <c r="M1651">
        <v>15.25</v>
      </c>
      <c r="N1651">
        <v>7.61</v>
      </c>
    </row>
    <row r="1652" spans="1:14">
      <c r="A1652" s="1" t="s">
        <v>1664</v>
      </c>
      <c r="B1652">
        <f>HYPERLINK("https://www.suredividend.com/sure-analysis-research-database/","Universal Logistics Holdings Inc")</f>
        <v>0</v>
      </c>
      <c r="C1652" t="s">
        <v>1813</v>
      </c>
      <c r="D1652">
        <v>32.1</v>
      </c>
      <c r="E1652">
        <v>0.012977357598587</v>
      </c>
      <c r="F1652">
        <v>0</v>
      </c>
      <c r="G1652">
        <v>0</v>
      </c>
      <c r="H1652">
        <v>0.4165731789146701</v>
      </c>
      <c r="I1652">
        <v>843.843933</v>
      </c>
      <c r="J1652">
        <v>5.569926952475248</v>
      </c>
      <c r="K1652">
        <v>0.07244750937646435</v>
      </c>
      <c r="L1652">
        <v>0.9696931173708351</v>
      </c>
      <c r="M1652">
        <v>44.5</v>
      </c>
      <c r="N1652">
        <v>23.91</v>
      </c>
    </row>
    <row r="1653" spans="1:14">
      <c r="A1653" s="1" t="s">
        <v>1665</v>
      </c>
      <c r="B1653">
        <f>HYPERLINK("https://www.suredividend.com/sure-analysis-UMBF/","UMB Financial Corp.")</f>
        <v>0</v>
      </c>
      <c r="C1653" t="s">
        <v>1815</v>
      </c>
      <c r="D1653">
        <v>70.69</v>
      </c>
      <c r="E1653">
        <v>0.02150233413495544</v>
      </c>
      <c r="F1653">
        <v>0.02702702702702697</v>
      </c>
      <c r="G1653">
        <v>0.05554589164848411</v>
      </c>
      <c r="H1653">
        <v>1.492197556902143</v>
      </c>
      <c r="I1653">
        <v>3429.840486</v>
      </c>
      <c r="J1653">
        <v>9.252085150171292</v>
      </c>
      <c r="K1653">
        <v>0.1960837788307678</v>
      </c>
      <c r="L1653">
        <v>1.120715405385997</v>
      </c>
      <c r="M1653">
        <v>96.78</v>
      </c>
      <c r="N1653">
        <v>50.1</v>
      </c>
    </row>
    <row r="1654" spans="1:14">
      <c r="A1654" s="1" t="s">
        <v>1666</v>
      </c>
      <c r="B1654">
        <f>HYPERLINK("https://www.suredividend.com/sure-analysis-UMH/","UMH Properties Inc")</f>
        <v>0</v>
      </c>
      <c r="C1654" t="s">
        <v>1814</v>
      </c>
      <c r="D1654">
        <v>16.21</v>
      </c>
      <c r="E1654">
        <v>0.05058605798889574</v>
      </c>
      <c r="F1654">
        <v>0.02499999999999991</v>
      </c>
      <c r="G1654">
        <v>0.02635185407071083</v>
      </c>
      <c r="H1654">
        <v>0.7956646300832421</v>
      </c>
      <c r="I1654">
        <v>985.2453400000001</v>
      </c>
      <c r="J1654" t="s">
        <v>1812</v>
      </c>
      <c r="K1654" t="s">
        <v>1812</v>
      </c>
      <c r="L1654">
        <v>1.011228945962733</v>
      </c>
      <c r="M1654">
        <v>19.79</v>
      </c>
      <c r="N1654">
        <v>13.55</v>
      </c>
    </row>
    <row r="1655" spans="1:14">
      <c r="A1655" s="1" t="s">
        <v>1667</v>
      </c>
      <c r="B1655">
        <f>HYPERLINK("https://www.suredividend.com/sure-analysis-UNF/","Unifirst Corp.")</f>
        <v>0</v>
      </c>
      <c r="C1655" t="s">
        <v>1813</v>
      </c>
      <c r="D1655">
        <v>165.92</v>
      </c>
      <c r="E1655">
        <v>0.007473481195756992</v>
      </c>
      <c r="F1655">
        <v>0.03333333333333321</v>
      </c>
      <c r="G1655">
        <v>0.2247341685311497</v>
      </c>
      <c r="H1655">
        <v>1.226930514020384</v>
      </c>
      <c r="I1655">
        <v>2506.061487</v>
      </c>
      <c r="J1655">
        <v>24.51539254186883</v>
      </c>
      <c r="K1655">
        <v>0.2255386974302176</v>
      </c>
      <c r="L1655">
        <v>0.716403165785185</v>
      </c>
      <c r="M1655">
        <v>204.9</v>
      </c>
      <c r="N1655">
        <v>150.5</v>
      </c>
    </row>
    <row r="1656" spans="1:14">
      <c r="A1656" s="1" t="s">
        <v>1668</v>
      </c>
      <c r="B1656">
        <f>HYPERLINK("https://www.suredividend.com/sure-analysis-research-database/","United Natural Foods Inc.")</f>
        <v>0</v>
      </c>
      <c r="C1656" t="s">
        <v>1819</v>
      </c>
      <c r="D1656">
        <v>20.63</v>
      </c>
      <c r="E1656">
        <v>0</v>
      </c>
      <c r="F1656" t="s">
        <v>1812</v>
      </c>
      <c r="G1656" t="s">
        <v>1812</v>
      </c>
      <c r="H1656">
        <v>0</v>
      </c>
      <c r="I1656">
        <v>1208.934442</v>
      </c>
      <c r="J1656">
        <v>9.228507191679389</v>
      </c>
      <c r="K1656">
        <v>0</v>
      </c>
      <c r="L1656">
        <v>0.998573142922297</v>
      </c>
      <c r="M1656">
        <v>48.26</v>
      </c>
      <c r="N1656">
        <v>19.36</v>
      </c>
    </row>
    <row r="1657" spans="1:14">
      <c r="A1657" s="1" t="s">
        <v>1669</v>
      </c>
      <c r="B1657">
        <f>HYPERLINK("https://www.suredividend.com/sure-analysis-UNIT/","Uniti Group Inc")</f>
        <v>0</v>
      </c>
      <c r="C1657" t="s">
        <v>1814</v>
      </c>
      <c r="D1657">
        <v>4.97</v>
      </c>
      <c r="E1657">
        <v>0.1207243460764588</v>
      </c>
      <c r="F1657">
        <v>0</v>
      </c>
      <c r="G1657">
        <v>-0.242141716744801</v>
      </c>
      <c r="H1657">
        <v>0.5553421834745981</v>
      </c>
      <c r="I1657">
        <v>1185.70866</v>
      </c>
      <c r="J1657" t="s">
        <v>1812</v>
      </c>
      <c r="K1657" t="s">
        <v>1812</v>
      </c>
      <c r="L1657">
        <v>1.871321898628559</v>
      </c>
      <c r="M1657">
        <v>8.92</v>
      </c>
      <c r="N1657">
        <v>2.75</v>
      </c>
    </row>
    <row r="1658" spans="1:14">
      <c r="A1658" s="1" t="s">
        <v>1670</v>
      </c>
      <c r="B1658">
        <f>HYPERLINK("https://www.suredividend.com/sure-analysis-research-database/","Unity Bancorp, Inc.")</f>
        <v>0</v>
      </c>
      <c r="C1658" t="s">
        <v>1815</v>
      </c>
      <c r="D1658">
        <v>26.72</v>
      </c>
      <c r="E1658">
        <v>0.017030806217463</v>
      </c>
      <c r="F1658">
        <v>0.09090909090909083</v>
      </c>
      <c r="G1658">
        <v>0.1138241786028789</v>
      </c>
      <c r="H1658">
        <v>0.455063142130616</v>
      </c>
      <c r="I1658">
        <v>270.37968</v>
      </c>
      <c r="J1658">
        <v>0</v>
      </c>
      <c r="K1658" t="s">
        <v>1812</v>
      </c>
      <c r="L1658">
        <v>0.583137781760893</v>
      </c>
      <c r="M1658">
        <v>29.32</v>
      </c>
      <c r="N1658">
        <v>19.8</v>
      </c>
    </row>
    <row r="1659" spans="1:14">
      <c r="A1659" s="1" t="s">
        <v>1671</v>
      </c>
      <c r="B1659">
        <f>HYPERLINK("https://www.suredividend.com/sure-analysis-research-database/","Urban One Inc")</f>
        <v>0</v>
      </c>
      <c r="C1659" t="s">
        <v>1821</v>
      </c>
      <c r="D1659">
        <v>5.7</v>
      </c>
      <c r="E1659">
        <v>0</v>
      </c>
      <c r="F1659" t="s">
        <v>1812</v>
      </c>
      <c r="G1659" t="s">
        <v>1812</v>
      </c>
      <c r="H1659">
        <v>0</v>
      </c>
      <c r="I1659">
        <v>250.172624</v>
      </c>
      <c r="J1659">
        <v>6.701830328163092</v>
      </c>
      <c r="K1659">
        <v>0</v>
      </c>
      <c r="L1659">
        <v>1.233234078525225</v>
      </c>
      <c r="M1659">
        <v>8.039999999999999</v>
      </c>
      <c r="N1659">
        <v>4.33</v>
      </c>
    </row>
    <row r="1660" spans="1:14">
      <c r="A1660" s="1" t="s">
        <v>1672</v>
      </c>
      <c r="B1660">
        <f>HYPERLINK("https://www.suredividend.com/sure-analysis-research-database/","Urban One Inc")</f>
        <v>0</v>
      </c>
      <c r="C1660" t="s">
        <v>1821</v>
      </c>
      <c r="D1660">
        <v>5.69</v>
      </c>
      <c r="E1660">
        <v>0</v>
      </c>
      <c r="F1660" t="s">
        <v>1812</v>
      </c>
      <c r="G1660" t="s">
        <v>1812</v>
      </c>
      <c r="H1660">
        <v>0</v>
      </c>
      <c r="I1660">
        <v>250.172624</v>
      </c>
      <c r="J1660">
        <v>6.701830328163092</v>
      </c>
      <c r="K1660">
        <v>0</v>
      </c>
      <c r="L1660">
        <v>1.147068414203039</v>
      </c>
      <c r="M1660">
        <v>6.34</v>
      </c>
      <c r="N1660">
        <v>3.64</v>
      </c>
    </row>
    <row r="1661" spans="1:14">
      <c r="A1661" s="1" t="s">
        <v>1673</v>
      </c>
      <c r="B1661">
        <f>HYPERLINK("https://www.suredividend.com/sure-analysis-research-database/","Wheels Up Experience Inc")</f>
        <v>0</v>
      </c>
      <c r="C1661" t="s">
        <v>1812</v>
      </c>
      <c r="D1661">
        <v>2.36</v>
      </c>
      <c r="E1661">
        <v>0</v>
      </c>
      <c r="F1661" t="s">
        <v>1812</v>
      </c>
      <c r="G1661" t="s">
        <v>1812</v>
      </c>
      <c r="H1661">
        <v>0</v>
      </c>
      <c r="I1661">
        <v>593.808327</v>
      </c>
      <c r="J1661">
        <v>0</v>
      </c>
      <c r="K1661" t="s">
        <v>1812</v>
      </c>
      <c r="L1661">
        <v>2.070074380824628</v>
      </c>
      <c r="M1661">
        <v>28.8</v>
      </c>
      <c r="N1661">
        <v>0.98</v>
      </c>
    </row>
    <row r="1662" spans="1:14">
      <c r="A1662" s="1" t="s">
        <v>1674</v>
      </c>
      <c r="B1662">
        <f>HYPERLINK("https://www.suredividend.com/sure-analysis-research-database/","Upbound Group Inc")</f>
        <v>0</v>
      </c>
      <c r="C1662" t="s">
        <v>1812</v>
      </c>
      <c r="D1662">
        <v>32.38</v>
      </c>
      <c r="E1662">
        <v>0.041633812173062</v>
      </c>
      <c r="F1662" t="s">
        <v>1812</v>
      </c>
      <c r="G1662" t="s">
        <v>1812</v>
      </c>
      <c r="H1662">
        <v>1.348102838163775</v>
      </c>
      <c r="I1662">
        <v>1811.126471</v>
      </c>
      <c r="J1662">
        <v>0</v>
      </c>
      <c r="K1662" t="s">
        <v>1812</v>
      </c>
      <c r="L1662">
        <v>1.563395707221379</v>
      </c>
      <c r="M1662">
        <v>36.17</v>
      </c>
      <c r="N1662">
        <v>16.57</v>
      </c>
    </row>
    <row r="1663" spans="1:14">
      <c r="A1663" s="1" t="s">
        <v>1675</v>
      </c>
      <c r="B1663">
        <f>HYPERLINK("https://www.suredividend.com/sure-analysis-research-database/","Upland Software Inc")</f>
        <v>0</v>
      </c>
      <c r="C1663" t="s">
        <v>1818</v>
      </c>
      <c r="D1663">
        <v>3.43</v>
      </c>
      <c r="E1663">
        <v>0</v>
      </c>
      <c r="F1663" t="s">
        <v>1812</v>
      </c>
      <c r="G1663" t="s">
        <v>1812</v>
      </c>
      <c r="H1663">
        <v>0</v>
      </c>
      <c r="I1663">
        <v>111.272664</v>
      </c>
      <c r="J1663">
        <v>0</v>
      </c>
      <c r="K1663" t="s">
        <v>1812</v>
      </c>
      <c r="L1663">
        <v>1.862856009360307</v>
      </c>
      <c r="M1663">
        <v>12.2</v>
      </c>
      <c r="N1663">
        <v>2.73</v>
      </c>
    </row>
    <row r="1664" spans="1:14">
      <c r="A1664" s="1" t="s">
        <v>1676</v>
      </c>
      <c r="B1664">
        <f>HYPERLINK("https://www.suredividend.com/sure-analysis-research-database/","Upwork Inc")</f>
        <v>0</v>
      </c>
      <c r="C1664" t="s">
        <v>1813</v>
      </c>
      <c r="D1664">
        <v>14.38</v>
      </c>
      <c r="E1664">
        <v>0</v>
      </c>
      <c r="F1664" t="s">
        <v>1812</v>
      </c>
      <c r="G1664" t="s">
        <v>1812</v>
      </c>
      <c r="H1664">
        <v>0</v>
      </c>
      <c r="I1664">
        <v>1939.626125</v>
      </c>
      <c r="J1664" t="s">
        <v>1812</v>
      </c>
      <c r="K1664">
        <v>-0</v>
      </c>
      <c r="L1664">
        <v>1.792516732517111</v>
      </c>
      <c r="M1664">
        <v>21.91</v>
      </c>
      <c r="N1664">
        <v>6.56</v>
      </c>
    </row>
    <row r="1665" spans="1:14">
      <c r="A1665" s="1" t="s">
        <v>1677</v>
      </c>
      <c r="B1665">
        <f>HYPERLINK("https://www.suredividend.com/sure-analysis-research-database/","Urban Outfitters, Inc.")</f>
        <v>0</v>
      </c>
      <c r="C1665" t="s">
        <v>1816</v>
      </c>
      <c r="D1665">
        <v>36.72</v>
      </c>
      <c r="E1665">
        <v>0</v>
      </c>
      <c r="F1665" t="s">
        <v>1812</v>
      </c>
      <c r="G1665" t="s">
        <v>1812</v>
      </c>
      <c r="H1665">
        <v>0</v>
      </c>
      <c r="I1665">
        <v>3403.864501</v>
      </c>
      <c r="J1665">
        <v>18.80764768624677</v>
      </c>
      <c r="K1665">
        <v>0</v>
      </c>
      <c r="L1665">
        <v>1.206468675736257</v>
      </c>
      <c r="M1665">
        <v>37.09</v>
      </c>
      <c r="N1665">
        <v>18.75</v>
      </c>
    </row>
    <row r="1666" spans="1:14">
      <c r="A1666" s="1" t="s">
        <v>1678</v>
      </c>
      <c r="B1666">
        <f>HYPERLINK("https://www.suredividend.com/sure-analysis-research-database/","Ur-Energy Inc.")</f>
        <v>0</v>
      </c>
      <c r="C1666" t="s">
        <v>1822</v>
      </c>
      <c r="D1666">
        <v>1.06</v>
      </c>
      <c r="E1666">
        <v>0</v>
      </c>
      <c r="F1666" t="s">
        <v>1812</v>
      </c>
      <c r="G1666" t="s">
        <v>1812</v>
      </c>
      <c r="H1666">
        <v>0</v>
      </c>
      <c r="I1666">
        <v>280.610412</v>
      </c>
      <c r="J1666">
        <v>0</v>
      </c>
      <c r="K1666" t="s">
        <v>1812</v>
      </c>
      <c r="L1666">
        <v>1.620589364519786</v>
      </c>
      <c r="M1666">
        <v>1.5</v>
      </c>
      <c r="N1666">
        <v>0.8201000000000001</v>
      </c>
    </row>
    <row r="1667" spans="1:14">
      <c r="A1667" s="1" t="s">
        <v>1679</v>
      </c>
      <c r="B1667">
        <f>HYPERLINK("https://www.suredividend.com/sure-analysis-research-database/","USCB Financial Holdings Inc")</f>
        <v>0</v>
      </c>
      <c r="C1667" t="s">
        <v>1812</v>
      </c>
      <c r="D1667">
        <v>11.33</v>
      </c>
      <c r="E1667">
        <v>0</v>
      </c>
      <c r="F1667" t="s">
        <v>1812</v>
      </c>
      <c r="G1667" t="s">
        <v>1812</v>
      </c>
      <c r="H1667">
        <v>0</v>
      </c>
      <c r="I1667">
        <v>222.321565</v>
      </c>
      <c r="J1667">
        <v>0</v>
      </c>
      <c r="K1667" t="s">
        <v>1812</v>
      </c>
      <c r="L1667">
        <v>0.353052896868246</v>
      </c>
      <c r="M1667">
        <v>14.97</v>
      </c>
      <c r="N1667">
        <v>8.56</v>
      </c>
    </row>
    <row r="1668" spans="1:14">
      <c r="A1668" s="1" t="s">
        <v>1680</v>
      </c>
      <c r="B1668">
        <f>HYPERLINK("https://www.suredividend.com/sure-analysis-research-database/","United States Lime &amp; Minerals Inc.")</f>
        <v>0</v>
      </c>
      <c r="C1668" t="s">
        <v>1823</v>
      </c>
      <c r="D1668">
        <v>209.51</v>
      </c>
      <c r="E1668">
        <v>0.003808056469654</v>
      </c>
      <c r="F1668">
        <v>0</v>
      </c>
      <c r="G1668">
        <v>0.08178074106640287</v>
      </c>
      <c r="H1668">
        <v>0.7978259109574161</v>
      </c>
      <c r="I1668">
        <v>1192.1119</v>
      </c>
      <c r="J1668">
        <v>22.13147498375568</v>
      </c>
      <c r="K1668">
        <v>0.08424772027005449</v>
      </c>
      <c r="L1668">
        <v>0.626748588004847</v>
      </c>
      <c r="M1668">
        <v>214.16</v>
      </c>
      <c r="N1668">
        <v>101.61</v>
      </c>
    </row>
    <row r="1669" spans="1:14">
      <c r="A1669" s="1" t="s">
        <v>1681</v>
      </c>
      <c r="B1669">
        <f>HYPERLINK("https://www.suredividend.com/sure-analysis-research-database/","United States Cellular Corporation")</f>
        <v>0</v>
      </c>
      <c r="C1669" t="s">
        <v>1821</v>
      </c>
      <c r="D1669">
        <v>17.5</v>
      </c>
      <c r="E1669">
        <v>0</v>
      </c>
      <c r="F1669" t="s">
        <v>1812</v>
      </c>
      <c r="G1669" t="s">
        <v>1812</v>
      </c>
      <c r="H1669">
        <v>0</v>
      </c>
      <c r="I1669">
        <v>904.9705</v>
      </c>
      <c r="J1669" t="s">
        <v>1812</v>
      </c>
      <c r="K1669">
        <v>-0</v>
      </c>
      <c r="L1669">
        <v>0.418899560336899</v>
      </c>
      <c r="M1669">
        <v>32.41</v>
      </c>
      <c r="N1669">
        <v>13.79</v>
      </c>
    </row>
    <row r="1670" spans="1:14">
      <c r="A1670" s="1" t="s">
        <v>1682</v>
      </c>
      <c r="B1670">
        <f>HYPERLINK("https://www.suredividend.com/sure-analysis-research-database/","Usana Health Sciences Inc")</f>
        <v>0</v>
      </c>
      <c r="C1670" t="s">
        <v>1819</v>
      </c>
      <c r="D1670">
        <v>66.61</v>
      </c>
      <c r="E1670">
        <v>0</v>
      </c>
      <c r="F1670" t="s">
        <v>1812</v>
      </c>
      <c r="G1670" t="s">
        <v>1812</v>
      </c>
      <c r="H1670">
        <v>0</v>
      </c>
      <c r="I1670">
        <v>1285.573</v>
      </c>
      <c r="J1670">
        <v>19.69804179946065</v>
      </c>
      <c r="K1670">
        <v>0</v>
      </c>
      <c r="L1670">
        <v>0.727398495597529</v>
      </c>
      <c r="M1670">
        <v>73.25</v>
      </c>
      <c r="N1670">
        <v>48.61</v>
      </c>
    </row>
    <row r="1671" spans="1:14">
      <c r="A1671" s="1" t="s">
        <v>1683</v>
      </c>
      <c r="B1671">
        <f>HYPERLINK("https://www.suredividend.com/sure-analysis-research-database/","U.S. Physical Therapy, Inc.")</f>
        <v>0</v>
      </c>
      <c r="C1671" t="s">
        <v>1817</v>
      </c>
      <c r="D1671">
        <v>118.25</v>
      </c>
      <c r="E1671">
        <v>0.014118732961832</v>
      </c>
      <c r="F1671" t="s">
        <v>1812</v>
      </c>
      <c r="G1671" t="s">
        <v>1812</v>
      </c>
      <c r="H1671">
        <v>1.669540172736725</v>
      </c>
      <c r="I1671">
        <v>1544.65044</v>
      </c>
      <c r="J1671">
        <v>55.01675593923636</v>
      </c>
      <c r="K1671">
        <v>0.7729352651558912</v>
      </c>
      <c r="L1671">
        <v>0.7815209066415211</v>
      </c>
      <c r="M1671">
        <v>124.11</v>
      </c>
      <c r="N1671">
        <v>72.34</v>
      </c>
    </row>
    <row r="1672" spans="1:14">
      <c r="A1672" s="1" t="s">
        <v>1684</v>
      </c>
      <c r="B1672">
        <f>HYPERLINK("https://www.suredividend.com/sure-analysis-research-database/","Universal Technical Institute Inc")</f>
        <v>0</v>
      </c>
      <c r="C1672" t="s">
        <v>1819</v>
      </c>
      <c r="D1672">
        <v>7.33</v>
      </c>
      <c r="E1672">
        <v>0</v>
      </c>
      <c r="F1672" t="s">
        <v>1812</v>
      </c>
      <c r="G1672" t="s">
        <v>1812</v>
      </c>
      <c r="H1672">
        <v>0</v>
      </c>
      <c r="I1672">
        <v>249.707438</v>
      </c>
      <c r="J1672">
        <v>78.97135916192283</v>
      </c>
      <c r="K1672">
        <v>0</v>
      </c>
      <c r="L1672">
        <v>0.8422118994469311</v>
      </c>
      <c r="M1672">
        <v>7.84</v>
      </c>
      <c r="N1672">
        <v>5.27</v>
      </c>
    </row>
    <row r="1673" spans="1:14">
      <c r="A1673" s="1" t="s">
        <v>1685</v>
      </c>
      <c r="B1673">
        <f>HYPERLINK("https://www.suredividend.com/sure-analysis-research-database/","Unitil Corp.")</f>
        <v>0</v>
      </c>
      <c r="C1673" t="s">
        <v>1820</v>
      </c>
      <c r="D1673">
        <v>49.58</v>
      </c>
      <c r="E1673">
        <v>0.031605734594396</v>
      </c>
      <c r="F1673">
        <v>0.03846153846153855</v>
      </c>
      <c r="G1673">
        <v>0.0210157271173752</v>
      </c>
      <c r="H1673">
        <v>1.567012321190192</v>
      </c>
      <c r="I1673">
        <v>797.864613</v>
      </c>
      <c r="J1673">
        <v>18.42643448083141</v>
      </c>
      <c r="K1673">
        <v>0.5782333288524694</v>
      </c>
      <c r="L1673">
        <v>0.689282691584288</v>
      </c>
      <c r="M1673">
        <v>60.16</v>
      </c>
      <c r="N1673">
        <v>43.35</v>
      </c>
    </row>
    <row r="1674" spans="1:14">
      <c r="A1674" s="1" t="s">
        <v>1686</v>
      </c>
      <c r="B1674">
        <f>HYPERLINK("https://www.suredividend.com/sure-analysis-research-database/","Utah Medical Products, Inc.")</f>
        <v>0</v>
      </c>
      <c r="C1674" t="s">
        <v>1817</v>
      </c>
      <c r="D1674">
        <v>97.45</v>
      </c>
      <c r="E1674">
        <v>0.011971800131815</v>
      </c>
      <c r="F1674">
        <v>0.01724137931034475</v>
      </c>
      <c r="G1674">
        <v>0.01786844354535022</v>
      </c>
      <c r="H1674">
        <v>1.16665192284539</v>
      </c>
      <c r="I1674">
        <v>353.555129</v>
      </c>
      <c r="J1674">
        <v>0</v>
      </c>
      <c r="K1674" t="s">
        <v>1812</v>
      </c>
      <c r="L1674">
        <v>0.776201633839797</v>
      </c>
      <c r="M1674">
        <v>108.12</v>
      </c>
      <c r="N1674">
        <v>79.66</v>
      </c>
    </row>
    <row r="1675" spans="1:14">
      <c r="A1675" s="1" t="s">
        <v>1687</v>
      </c>
      <c r="B1675">
        <f>HYPERLINK("https://www.suredividend.com/sure-analysis-research-database/","Utz Brands Inc")</f>
        <v>0</v>
      </c>
      <c r="C1675" t="s">
        <v>1812</v>
      </c>
      <c r="D1675">
        <v>16.09</v>
      </c>
      <c r="E1675">
        <v>0.013914013210838</v>
      </c>
      <c r="F1675" t="s">
        <v>1812</v>
      </c>
      <c r="G1675" t="s">
        <v>1812</v>
      </c>
      <c r="H1675">
        <v>0.223876472562394</v>
      </c>
      <c r="I1675">
        <v>1304.708961</v>
      </c>
      <c r="J1675">
        <v>0</v>
      </c>
      <c r="K1675" t="s">
        <v>1812</v>
      </c>
      <c r="L1675">
        <v>0.5384389679053611</v>
      </c>
      <c r="M1675">
        <v>19.71</v>
      </c>
      <c r="N1675">
        <v>13.71</v>
      </c>
    </row>
    <row r="1676" spans="1:14">
      <c r="A1676" s="1" t="s">
        <v>1688</v>
      </c>
      <c r="B1676">
        <f>HYPERLINK("https://www.suredividend.com/sure-analysis-research-database/","Energy Fuels Inc")</f>
        <v>0</v>
      </c>
      <c r="C1676" t="s">
        <v>1822</v>
      </c>
      <c r="D1676">
        <v>6.07</v>
      </c>
      <c r="E1676">
        <v>0</v>
      </c>
      <c r="F1676" t="s">
        <v>1812</v>
      </c>
      <c r="G1676" t="s">
        <v>1812</v>
      </c>
      <c r="H1676">
        <v>0</v>
      </c>
      <c r="I1676">
        <v>960.761427</v>
      </c>
      <c r="J1676">
        <v>0</v>
      </c>
      <c r="K1676" t="s">
        <v>1812</v>
      </c>
      <c r="L1676">
        <v>1.730158230092664</v>
      </c>
      <c r="M1676">
        <v>8.24</v>
      </c>
      <c r="N1676">
        <v>4.85</v>
      </c>
    </row>
    <row r="1677" spans="1:14">
      <c r="A1677" s="1" t="s">
        <v>1689</v>
      </c>
      <c r="B1677">
        <f>HYPERLINK("https://www.suredividend.com/sure-analysis-research-database/","Universal Insurance Holdings Inc")</f>
        <v>0</v>
      </c>
      <c r="C1677" t="s">
        <v>1815</v>
      </c>
      <c r="D1677">
        <v>14.78</v>
      </c>
      <c r="E1677">
        <v>0.042651321767685</v>
      </c>
      <c r="F1677">
        <v>0.2307692307692308</v>
      </c>
      <c r="G1677">
        <v>0.0424022162772979</v>
      </c>
      <c r="H1677">
        <v>0.630386535726392</v>
      </c>
      <c r="I1677">
        <v>444.577877</v>
      </c>
      <c r="J1677">
        <v>79.8882079640611</v>
      </c>
      <c r="K1677">
        <v>3.459860239991175</v>
      </c>
      <c r="L1677">
        <v>0.7043965755901671</v>
      </c>
      <c r="M1677">
        <v>19.74</v>
      </c>
      <c r="N1677">
        <v>8.029999999999999</v>
      </c>
    </row>
    <row r="1678" spans="1:14">
      <c r="A1678" s="1" t="s">
        <v>1690</v>
      </c>
      <c r="B1678">
        <f>HYPERLINK("https://www.suredividend.com/sure-analysis-research-database/","Univest Financial Corp")</f>
        <v>0</v>
      </c>
      <c r="C1678" t="s">
        <v>1815</v>
      </c>
      <c r="D1678">
        <v>19.68</v>
      </c>
      <c r="E1678">
        <v>0.04168866604338201</v>
      </c>
      <c r="F1678" t="s">
        <v>1812</v>
      </c>
      <c r="G1678" t="s">
        <v>1812</v>
      </c>
      <c r="H1678">
        <v>0.8204329477337761</v>
      </c>
      <c r="I1678">
        <v>579.996404</v>
      </c>
      <c r="J1678">
        <v>7.032731556062131</v>
      </c>
      <c r="K1678">
        <v>0.2930117670477772</v>
      </c>
      <c r="L1678">
        <v>0.8412026053349251</v>
      </c>
      <c r="M1678">
        <v>28.36</v>
      </c>
      <c r="N1678">
        <v>16.11</v>
      </c>
    </row>
    <row r="1679" spans="1:14">
      <c r="A1679" s="1" t="s">
        <v>1691</v>
      </c>
      <c r="B1679">
        <f>HYPERLINK("https://www.suredividend.com/sure-analysis-UVV/","Universal Corp.")</f>
        <v>0</v>
      </c>
      <c r="C1679" t="s">
        <v>1819</v>
      </c>
      <c r="D1679">
        <v>49.63</v>
      </c>
      <c r="E1679">
        <v>0.06447713076768084</v>
      </c>
      <c r="F1679">
        <v>0.01265822784810133</v>
      </c>
      <c r="G1679">
        <v>0.01299136822423641</v>
      </c>
      <c r="H1679">
        <v>3.097873446933155</v>
      </c>
      <c r="I1679">
        <v>1222.714458</v>
      </c>
      <c r="J1679">
        <v>9.856467110566538</v>
      </c>
      <c r="K1679">
        <v>0.6233145768477173</v>
      </c>
      <c r="L1679">
        <v>0.572330351407185</v>
      </c>
      <c r="M1679">
        <v>55.23</v>
      </c>
      <c r="N1679">
        <v>41.68</v>
      </c>
    </row>
    <row r="1680" spans="1:14">
      <c r="A1680" s="1" t="s">
        <v>1692</v>
      </c>
      <c r="B1680">
        <f>HYPERLINK("https://www.suredividend.com/sure-analysis-research-database/","Valaris Ltd")</f>
        <v>0</v>
      </c>
      <c r="C1680" t="s">
        <v>1822</v>
      </c>
      <c r="D1680">
        <v>76.61</v>
      </c>
      <c r="E1680">
        <v>0</v>
      </c>
      <c r="F1680" t="s">
        <v>1812</v>
      </c>
      <c r="G1680" t="s">
        <v>1812</v>
      </c>
      <c r="H1680">
        <v>0</v>
      </c>
      <c r="I1680">
        <v>5759.631732</v>
      </c>
      <c r="J1680">
        <v>22.00012120702826</v>
      </c>
      <c r="K1680">
        <v>0</v>
      </c>
      <c r="L1680">
        <v>1.141251594887327</v>
      </c>
      <c r="M1680">
        <v>80</v>
      </c>
      <c r="N1680">
        <v>45.81</v>
      </c>
    </row>
    <row r="1681" spans="1:14">
      <c r="A1681" s="1" t="s">
        <v>1693</v>
      </c>
      <c r="B1681">
        <f>HYPERLINK("https://www.suredividend.com/sure-analysis-research-database/","Value Line, Inc.")</f>
        <v>0</v>
      </c>
      <c r="C1681" t="s">
        <v>1815</v>
      </c>
      <c r="D1681">
        <v>51.98</v>
      </c>
      <c r="E1681">
        <v>0.020099348126312</v>
      </c>
      <c r="F1681">
        <v>0.1200000000000001</v>
      </c>
      <c r="G1681">
        <v>0.08063961960040023</v>
      </c>
      <c r="H1681">
        <v>1.044764115605704</v>
      </c>
      <c r="I1681">
        <v>490.24334</v>
      </c>
      <c r="J1681">
        <v>27.13173614035088</v>
      </c>
      <c r="K1681">
        <v>0.5469969191652899</v>
      </c>
      <c r="M1681">
        <v>114.8</v>
      </c>
      <c r="N1681">
        <v>40.91</v>
      </c>
    </row>
    <row r="1682" spans="1:14">
      <c r="A1682" s="1" t="s">
        <v>1694</v>
      </c>
      <c r="B1682">
        <f>HYPERLINK("https://www.suredividend.com/sure-analysis-research-database/","VBI Vaccines Inc.")</f>
        <v>0</v>
      </c>
      <c r="C1682" t="s">
        <v>1817</v>
      </c>
      <c r="D1682">
        <v>1.27</v>
      </c>
      <c r="E1682">
        <v>0</v>
      </c>
      <c r="F1682" t="s">
        <v>1812</v>
      </c>
      <c r="G1682" t="s">
        <v>1812</v>
      </c>
      <c r="H1682">
        <v>0</v>
      </c>
      <c r="I1682">
        <v>29.047662</v>
      </c>
      <c r="J1682" t="s">
        <v>1812</v>
      </c>
      <c r="K1682">
        <v>-0</v>
      </c>
      <c r="L1682">
        <v>1.918779103025284</v>
      </c>
      <c r="M1682">
        <v>40.5</v>
      </c>
      <c r="N1682">
        <v>1.08</v>
      </c>
    </row>
    <row r="1683" spans="1:14">
      <c r="A1683" s="1" t="s">
        <v>1695</v>
      </c>
      <c r="B1683">
        <f>HYPERLINK("https://www.suredividend.com/sure-analysis-research-database/","Veritex Holdings Inc")</f>
        <v>0</v>
      </c>
      <c r="C1683" t="s">
        <v>1815</v>
      </c>
      <c r="D1683">
        <v>21.62</v>
      </c>
      <c r="E1683">
        <v>0.036015663209162</v>
      </c>
      <c r="F1683" t="s">
        <v>1812</v>
      </c>
      <c r="G1683" t="s">
        <v>1812</v>
      </c>
      <c r="H1683">
        <v>0.7786586385820921</v>
      </c>
      <c r="I1683">
        <v>1172.841176</v>
      </c>
      <c r="J1683">
        <v>7.754014229253716</v>
      </c>
      <c r="K1683">
        <v>0.2821226951384392</v>
      </c>
      <c r="L1683">
        <v>1.308922386072981</v>
      </c>
      <c r="M1683">
        <v>32.45</v>
      </c>
      <c r="N1683">
        <v>14.75</v>
      </c>
    </row>
    <row r="1684" spans="1:14">
      <c r="A1684" s="1" t="s">
        <v>1696</v>
      </c>
      <c r="B1684">
        <f>HYPERLINK("https://www.suredividend.com/sure-analysis-research-database/","Visteon Corp.")</f>
        <v>0</v>
      </c>
      <c r="C1684" t="s">
        <v>1816</v>
      </c>
      <c r="D1684">
        <v>155.05</v>
      </c>
      <c r="E1684">
        <v>0</v>
      </c>
      <c r="F1684" t="s">
        <v>1812</v>
      </c>
      <c r="G1684" t="s">
        <v>1812</v>
      </c>
      <c r="H1684">
        <v>0</v>
      </c>
      <c r="I1684">
        <v>4395.58889</v>
      </c>
      <c r="J1684">
        <v>32.32050654154412</v>
      </c>
      <c r="K1684">
        <v>0</v>
      </c>
      <c r="L1684">
        <v>1.200452716939828</v>
      </c>
      <c r="M1684">
        <v>171.66</v>
      </c>
      <c r="N1684">
        <v>103.46</v>
      </c>
    </row>
    <row r="1685" spans="1:14">
      <c r="A1685" s="1" t="s">
        <v>1697</v>
      </c>
      <c r="B1685">
        <f>HYPERLINK("https://www.suredividend.com/sure-analysis-research-database/","Vericel Corp")</f>
        <v>0</v>
      </c>
      <c r="C1685" t="s">
        <v>1817</v>
      </c>
      <c r="D1685">
        <v>31.98</v>
      </c>
      <c r="E1685">
        <v>0</v>
      </c>
      <c r="F1685" t="s">
        <v>1812</v>
      </c>
      <c r="G1685" t="s">
        <v>1812</v>
      </c>
      <c r="H1685">
        <v>0</v>
      </c>
      <c r="I1685">
        <v>1521.12611</v>
      </c>
      <c r="J1685" t="s">
        <v>1812</v>
      </c>
      <c r="K1685">
        <v>-0</v>
      </c>
      <c r="L1685">
        <v>1.80464946585604</v>
      </c>
      <c r="M1685">
        <v>39.9</v>
      </c>
      <c r="N1685">
        <v>17.3</v>
      </c>
    </row>
    <row r="1686" spans="1:14">
      <c r="A1686" s="1" t="s">
        <v>1698</v>
      </c>
      <c r="B1686">
        <f>HYPERLINK("https://www.suredividend.com/sure-analysis-research-database/","Vacasa Inc")</f>
        <v>0</v>
      </c>
      <c r="C1686" t="s">
        <v>1812</v>
      </c>
      <c r="D1686">
        <v>0.7030000000000001</v>
      </c>
      <c r="E1686">
        <v>0</v>
      </c>
      <c r="F1686" t="s">
        <v>1812</v>
      </c>
      <c r="G1686" t="s">
        <v>1812</v>
      </c>
      <c r="H1686">
        <v>0</v>
      </c>
      <c r="I1686">
        <v>167.837063</v>
      </c>
      <c r="J1686">
        <v>0</v>
      </c>
      <c r="K1686" t="s">
        <v>1812</v>
      </c>
      <c r="L1686">
        <v>1.550015816238292</v>
      </c>
      <c r="M1686">
        <v>5.7</v>
      </c>
      <c r="N1686">
        <v>0.58</v>
      </c>
    </row>
    <row r="1687" spans="1:14">
      <c r="A1687" s="1" t="s">
        <v>1699</v>
      </c>
      <c r="B1687">
        <f>HYPERLINK("https://www.suredividend.com/sure-analysis-research-database/","Victory Capital Holdings Inc")</f>
        <v>0</v>
      </c>
      <c r="C1687" t="s">
        <v>1815</v>
      </c>
      <c r="D1687">
        <v>32.56</v>
      </c>
      <c r="E1687">
        <v>0.034316347344703</v>
      </c>
      <c r="F1687" t="s">
        <v>1812</v>
      </c>
      <c r="G1687" t="s">
        <v>1812</v>
      </c>
      <c r="H1687">
        <v>1.117340269543557</v>
      </c>
      <c r="I1687">
        <v>2177.921566</v>
      </c>
      <c r="J1687">
        <v>8.59103378740962</v>
      </c>
      <c r="K1687">
        <v>0.3138596262762801</v>
      </c>
      <c r="L1687">
        <v>1.191330501432157</v>
      </c>
      <c r="M1687">
        <v>34.83</v>
      </c>
      <c r="N1687">
        <v>21.93</v>
      </c>
    </row>
    <row r="1688" spans="1:14">
      <c r="A1688" s="1" t="s">
        <v>1700</v>
      </c>
      <c r="B1688">
        <f>HYPERLINK("https://www.suredividend.com/sure-analysis-research-database/","Veracyte Inc")</f>
        <v>0</v>
      </c>
      <c r="C1688" t="s">
        <v>1817</v>
      </c>
      <c r="D1688">
        <v>25.48</v>
      </c>
      <c r="E1688">
        <v>0</v>
      </c>
      <c r="F1688" t="s">
        <v>1812</v>
      </c>
      <c r="G1688" t="s">
        <v>1812</v>
      </c>
      <c r="H1688">
        <v>0</v>
      </c>
      <c r="I1688">
        <v>1845.189135</v>
      </c>
      <c r="J1688">
        <v>0</v>
      </c>
      <c r="K1688" t="s">
        <v>1812</v>
      </c>
      <c r="L1688">
        <v>2.233043816262292</v>
      </c>
      <c r="M1688">
        <v>32.4</v>
      </c>
      <c r="N1688">
        <v>14.92</v>
      </c>
    </row>
    <row r="1689" spans="1:14">
      <c r="A1689" s="1" t="s">
        <v>1701</v>
      </c>
      <c r="B1689">
        <f>HYPERLINK("https://www.suredividend.com/sure-analysis-research-database/","Veeco Instruments Inc")</f>
        <v>0</v>
      </c>
      <c r="C1689" t="s">
        <v>1818</v>
      </c>
      <c r="D1689">
        <v>28.85</v>
      </c>
      <c r="E1689">
        <v>0</v>
      </c>
      <c r="F1689" t="s">
        <v>1812</v>
      </c>
      <c r="G1689" t="s">
        <v>1812</v>
      </c>
      <c r="H1689">
        <v>0</v>
      </c>
      <c r="I1689">
        <v>1491.342271</v>
      </c>
      <c r="J1689">
        <v>9.18580051523532</v>
      </c>
      <c r="K1689">
        <v>0</v>
      </c>
      <c r="L1689">
        <v>1.244117711036261</v>
      </c>
      <c r="M1689">
        <v>29.17</v>
      </c>
      <c r="N1689">
        <v>16.11</v>
      </c>
    </row>
    <row r="1690" spans="1:14">
      <c r="A1690" s="1" t="s">
        <v>1702</v>
      </c>
      <c r="B1690">
        <f>HYPERLINK("https://www.suredividend.com/sure-analysis-research-database/","Velocity Financial Inc")</f>
        <v>0</v>
      </c>
      <c r="C1690" t="s">
        <v>1815</v>
      </c>
      <c r="D1690">
        <v>12.06</v>
      </c>
      <c r="E1690">
        <v>0</v>
      </c>
      <c r="F1690" t="s">
        <v>1812</v>
      </c>
      <c r="G1690" t="s">
        <v>1812</v>
      </c>
      <c r="H1690">
        <v>0</v>
      </c>
      <c r="I1690">
        <v>393.18533</v>
      </c>
      <c r="J1690">
        <v>0</v>
      </c>
      <c r="K1690" t="s">
        <v>1812</v>
      </c>
      <c r="L1690">
        <v>1.021321710080672</v>
      </c>
      <c r="M1690">
        <v>13.6</v>
      </c>
      <c r="N1690">
        <v>7.81</v>
      </c>
    </row>
    <row r="1691" spans="1:14">
      <c r="A1691" s="1" t="s">
        <v>1703</v>
      </c>
      <c r="B1691">
        <f>HYPERLINK("https://www.suredividend.com/sure-analysis-research-database/","Vera Therapeutics Inc")</f>
        <v>0</v>
      </c>
      <c r="C1691" t="s">
        <v>1812</v>
      </c>
      <c r="D1691">
        <v>18.2</v>
      </c>
      <c r="E1691">
        <v>0</v>
      </c>
      <c r="F1691" t="s">
        <v>1812</v>
      </c>
      <c r="G1691" t="s">
        <v>1812</v>
      </c>
      <c r="H1691">
        <v>0</v>
      </c>
      <c r="I1691">
        <v>805.552184</v>
      </c>
      <c r="J1691">
        <v>0</v>
      </c>
      <c r="K1691" t="s">
        <v>1812</v>
      </c>
      <c r="L1691">
        <v>0.8465037364054411</v>
      </c>
      <c r="M1691">
        <v>23.39</v>
      </c>
      <c r="N1691">
        <v>5.2</v>
      </c>
    </row>
    <row r="1692" spans="1:14">
      <c r="A1692" s="1" t="s">
        <v>1704</v>
      </c>
      <c r="B1692">
        <f>HYPERLINK("https://www.suredividend.com/sure-analysis-research-database/","Veritone Inc")</f>
        <v>0</v>
      </c>
      <c r="C1692" t="s">
        <v>1818</v>
      </c>
      <c r="D1692">
        <v>4.155</v>
      </c>
      <c r="E1692">
        <v>0</v>
      </c>
      <c r="F1692" t="s">
        <v>1812</v>
      </c>
      <c r="G1692" t="s">
        <v>1812</v>
      </c>
      <c r="H1692">
        <v>0</v>
      </c>
      <c r="I1692">
        <v>153.007164</v>
      </c>
      <c r="J1692" t="s">
        <v>1812</v>
      </c>
      <c r="K1692">
        <v>-0</v>
      </c>
      <c r="L1692">
        <v>2.423845659322164</v>
      </c>
      <c r="M1692">
        <v>10.99</v>
      </c>
      <c r="N1692">
        <v>2.98</v>
      </c>
    </row>
    <row r="1693" spans="1:14">
      <c r="A1693" s="1" t="s">
        <v>1705</v>
      </c>
      <c r="B1693">
        <f>HYPERLINK("https://www.suredividend.com/sure-analysis-research-database/","Veru Inc")</f>
        <v>0</v>
      </c>
      <c r="C1693" t="s">
        <v>1817</v>
      </c>
      <c r="D1693">
        <v>1.17</v>
      </c>
      <c r="E1693">
        <v>0</v>
      </c>
      <c r="F1693" t="s">
        <v>1812</v>
      </c>
      <c r="G1693" t="s">
        <v>1812</v>
      </c>
      <c r="H1693">
        <v>0</v>
      </c>
      <c r="I1693">
        <v>104.406976</v>
      </c>
      <c r="J1693" t="s">
        <v>1812</v>
      </c>
      <c r="K1693">
        <v>-0</v>
      </c>
      <c r="M1693">
        <v>24.55</v>
      </c>
      <c r="N1693">
        <v>0.9337000000000001</v>
      </c>
    </row>
    <row r="1694" spans="1:14">
      <c r="A1694" s="1" t="s">
        <v>1706</v>
      </c>
      <c r="B1694">
        <f>HYPERLINK("https://www.suredividend.com/sure-analysis-research-database/","Verve Therapeutics Inc")</f>
        <v>0</v>
      </c>
      <c r="C1694" t="s">
        <v>1812</v>
      </c>
      <c r="D1694">
        <v>18.92</v>
      </c>
      <c r="E1694">
        <v>0</v>
      </c>
      <c r="F1694" t="s">
        <v>1812</v>
      </c>
      <c r="G1694" t="s">
        <v>1812</v>
      </c>
      <c r="H1694">
        <v>0</v>
      </c>
      <c r="I1694">
        <v>1171.724776</v>
      </c>
      <c r="J1694">
        <v>0</v>
      </c>
      <c r="K1694" t="s">
        <v>1812</v>
      </c>
      <c r="L1694">
        <v>2.002826920148979</v>
      </c>
      <c r="M1694">
        <v>43</v>
      </c>
      <c r="N1694">
        <v>13.01</v>
      </c>
    </row>
    <row r="1695" spans="1:14">
      <c r="A1695" s="1" t="s">
        <v>1707</v>
      </c>
      <c r="B1695">
        <f>HYPERLINK("https://www.suredividend.com/sure-analysis-VGR/","Vector Group Ltd")</f>
        <v>0</v>
      </c>
      <c r="C1695" t="s">
        <v>1819</v>
      </c>
      <c r="D1695">
        <v>13.09</v>
      </c>
      <c r="E1695">
        <v>0.06111535523300229</v>
      </c>
      <c r="F1695">
        <v>0</v>
      </c>
      <c r="G1695">
        <v>-0.1294494367038759</v>
      </c>
      <c r="H1695">
        <v>0.780611043156601</v>
      </c>
      <c r="I1695">
        <v>2041.18898</v>
      </c>
      <c r="J1695">
        <v>13.08848806903362</v>
      </c>
      <c r="K1695">
        <v>0.7653049442711775</v>
      </c>
      <c r="L1695">
        <v>0.8064717494989581</v>
      </c>
      <c r="M1695">
        <v>13.93</v>
      </c>
      <c r="N1695">
        <v>8.210000000000001</v>
      </c>
    </row>
    <row r="1696" spans="1:14">
      <c r="A1696" s="1" t="s">
        <v>1708</v>
      </c>
      <c r="B1696">
        <f>HYPERLINK("https://www.suredividend.com/sure-analysis-research-database/","Valhi, Inc.")</f>
        <v>0</v>
      </c>
      <c r="C1696" t="s">
        <v>1823</v>
      </c>
      <c r="D1696">
        <v>14.73</v>
      </c>
      <c r="E1696">
        <v>0.021563232075548</v>
      </c>
      <c r="F1696">
        <v>0</v>
      </c>
      <c r="G1696">
        <v>0.3195079107728942</v>
      </c>
      <c r="H1696">
        <v>0.317626408472827</v>
      </c>
      <c r="I1696">
        <v>416.556932</v>
      </c>
      <c r="J1696">
        <v>10.4400233556391</v>
      </c>
      <c r="K1696">
        <v>0.2268760060520193</v>
      </c>
      <c r="L1696">
        <v>1.171226065601577</v>
      </c>
      <c r="M1696">
        <v>50.1</v>
      </c>
      <c r="N1696">
        <v>12.05</v>
      </c>
    </row>
    <row r="1697" spans="1:14">
      <c r="A1697" s="1" t="s">
        <v>1709</v>
      </c>
      <c r="B1697">
        <f>HYPERLINK("https://www.suredividend.com/sure-analysis-research-database/","Via Renewables Inc")</f>
        <v>0</v>
      </c>
      <c r="C1697" t="s">
        <v>1812</v>
      </c>
      <c r="D1697">
        <v>9.800000000000001</v>
      </c>
      <c r="E1697">
        <v>0.265676837915506</v>
      </c>
      <c r="F1697">
        <v>0</v>
      </c>
      <c r="G1697">
        <v>0</v>
      </c>
      <c r="H1697">
        <v>2.603633011571965</v>
      </c>
      <c r="I1697">
        <v>31.225103</v>
      </c>
      <c r="J1697">
        <v>0</v>
      </c>
      <c r="K1697" t="s">
        <v>1812</v>
      </c>
      <c r="L1697">
        <v>1.138941793106491</v>
      </c>
      <c r="M1697">
        <v>41.11</v>
      </c>
      <c r="N1697">
        <v>5.81</v>
      </c>
    </row>
    <row r="1698" spans="1:14">
      <c r="A1698" s="1" t="s">
        <v>1710</v>
      </c>
      <c r="B1698">
        <f>HYPERLINK("https://www.suredividend.com/sure-analysis-research-database/","Viavi Solutions Inc")</f>
        <v>0</v>
      </c>
      <c r="C1698" t="s">
        <v>1818</v>
      </c>
      <c r="D1698">
        <v>10.84</v>
      </c>
      <c r="E1698">
        <v>0</v>
      </c>
      <c r="F1698" t="s">
        <v>1812</v>
      </c>
      <c r="G1698" t="s">
        <v>1812</v>
      </c>
      <c r="H1698">
        <v>0</v>
      </c>
      <c r="I1698">
        <v>2411.351507</v>
      </c>
      <c r="J1698">
        <v>57.27675788218527</v>
      </c>
      <c r="K1698">
        <v>0</v>
      </c>
      <c r="L1698">
        <v>0.984485124128976</v>
      </c>
      <c r="M1698">
        <v>16</v>
      </c>
      <c r="N1698">
        <v>8.52</v>
      </c>
    </row>
    <row r="1699" spans="1:14">
      <c r="A1699" s="1" t="s">
        <v>1711</v>
      </c>
      <c r="B1699">
        <f>HYPERLINK("https://www.suredividend.com/sure-analysis-research-database/","Vicor Corp.")</f>
        <v>0</v>
      </c>
      <c r="C1699" t="s">
        <v>1818</v>
      </c>
      <c r="D1699">
        <v>74.95999999999999</v>
      </c>
      <c r="E1699">
        <v>0</v>
      </c>
      <c r="F1699" t="s">
        <v>1812</v>
      </c>
      <c r="G1699" t="s">
        <v>1812</v>
      </c>
      <c r="H1699">
        <v>0</v>
      </c>
      <c r="I1699">
        <v>2436.2</v>
      </c>
      <c r="J1699">
        <v>76.87356031680918</v>
      </c>
      <c r="K1699">
        <v>0</v>
      </c>
      <c r="L1699">
        <v>1.97488745099319</v>
      </c>
      <c r="M1699">
        <v>98.38</v>
      </c>
      <c r="N1699">
        <v>38.71</v>
      </c>
    </row>
    <row r="1700" spans="1:14">
      <c r="A1700" s="1" t="s">
        <v>1712</v>
      </c>
      <c r="B1700">
        <f>HYPERLINK("https://www.suredividend.com/sure-analysis-research-database/","View Inc.")</f>
        <v>0</v>
      </c>
      <c r="C1700" t="s">
        <v>1812</v>
      </c>
      <c r="D1700">
        <v>11.4</v>
      </c>
      <c r="E1700">
        <v>0</v>
      </c>
      <c r="F1700" t="s">
        <v>1812</v>
      </c>
      <c r="G1700" t="s">
        <v>1812</v>
      </c>
      <c r="H1700">
        <v>0</v>
      </c>
      <c r="I1700">
        <v>2758.316321</v>
      </c>
      <c r="J1700">
        <v>0</v>
      </c>
      <c r="K1700" t="s">
        <v>1812</v>
      </c>
      <c r="L1700">
        <v>1.473324575099662</v>
      </c>
      <c r="M1700">
        <v>152.4</v>
      </c>
      <c r="N1700">
        <v>6.08</v>
      </c>
    </row>
    <row r="1701" spans="1:14">
      <c r="A1701" s="1" t="s">
        <v>1713</v>
      </c>
      <c r="B1701">
        <f>HYPERLINK("https://www.suredividend.com/sure-analysis-research-database/","Vir Biotechnology Inc")</f>
        <v>0</v>
      </c>
      <c r="C1701" t="s">
        <v>1817</v>
      </c>
      <c r="D1701">
        <v>13.97</v>
      </c>
      <c r="E1701">
        <v>0</v>
      </c>
      <c r="F1701" t="s">
        <v>1812</v>
      </c>
      <c r="G1701" t="s">
        <v>1812</v>
      </c>
      <c r="H1701">
        <v>0</v>
      </c>
      <c r="I1701">
        <v>1871.98</v>
      </c>
      <c r="J1701" t="s">
        <v>1812</v>
      </c>
      <c r="K1701">
        <v>-0</v>
      </c>
      <c r="L1701">
        <v>1.280022390132675</v>
      </c>
      <c r="M1701">
        <v>31.55</v>
      </c>
      <c r="N1701">
        <v>12.56</v>
      </c>
    </row>
    <row r="1702" spans="1:14">
      <c r="A1702" s="1" t="s">
        <v>1714</v>
      </c>
      <c r="B1702">
        <f>HYPERLINK("https://www.suredividend.com/sure-analysis-research-database/","Vital Farms Inc")</f>
        <v>0</v>
      </c>
      <c r="C1702" t="s">
        <v>1812</v>
      </c>
      <c r="D1702">
        <v>13.27</v>
      </c>
      <c r="E1702">
        <v>0</v>
      </c>
      <c r="F1702" t="s">
        <v>1812</v>
      </c>
      <c r="G1702" t="s">
        <v>1812</v>
      </c>
      <c r="H1702">
        <v>0</v>
      </c>
      <c r="I1702">
        <v>542.04797</v>
      </c>
      <c r="J1702">
        <v>0</v>
      </c>
      <c r="K1702" t="s">
        <v>1812</v>
      </c>
      <c r="L1702">
        <v>0.515180091392743</v>
      </c>
      <c r="M1702">
        <v>18.18</v>
      </c>
      <c r="N1702">
        <v>10</v>
      </c>
    </row>
    <row r="1703" spans="1:14">
      <c r="A1703" s="1" t="s">
        <v>1715</v>
      </c>
      <c r="B1703">
        <f>HYPERLINK("https://www.suredividend.com/sure-analysis-research-database/","Velo3D Inc")</f>
        <v>0</v>
      </c>
      <c r="C1703" t="s">
        <v>1812</v>
      </c>
      <c r="D1703">
        <v>2.02</v>
      </c>
      <c r="E1703">
        <v>0</v>
      </c>
      <c r="F1703" t="s">
        <v>1812</v>
      </c>
      <c r="G1703" t="s">
        <v>1812</v>
      </c>
      <c r="H1703">
        <v>0</v>
      </c>
      <c r="I1703">
        <v>388.864776</v>
      </c>
      <c r="J1703">
        <v>0</v>
      </c>
      <c r="K1703" t="s">
        <v>1812</v>
      </c>
      <c r="L1703">
        <v>2.902999987005791</v>
      </c>
      <c r="M1703">
        <v>5.96</v>
      </c>
      <c r="N1703">
        <v>1.5</v>
      </c>
    </row>
    <row r="1704" spans="1:14">
      <c r="A1704" s="1" t="s">
        <v>1716</v>
      </c>
      <c r="B1704">
        <f>HYPERLINK("https://www.suredividend.com/sure-analysis-research-database/","Village Super Market, Inc.")</f>
        <v>0</v>
      </c>
      <c r="C1704" t="s">
        <v>1819</v>
      </c>
      <c r="D1704">
        <v>24.09</v>
      </c>
      <c r="E1704">
        <v>0.041173156873892</v>
      </c>
      <c r="F1704">
        <v>0</v>
      </c>
      <c r="G1704">
        <v>0</v>
      </c>
      <c r="H1704">
        <v>0.991861349092059</v>
      </c>
      <c r="I1704">
        <v>254.472788</v>
      </c>
      <c r="J1704">
        <v>0</v>
      </c>
      <c r="K1704" t="s">
        <v>1812</v>
      </c>
      <c r="L1704">
        <v>0.441358631926231</v>
      </c>
      <c r="M1704">
        <v>24.38</v>
      </c>
      <c r="N1704">
        <v>18.45</v>
      </c>
    </row>
    <row r="1705" spans="1:14">
      <c r="A1705" s="1" t="s">
        <v>1717</v>
      </c>
      <c r="B1705">
        <f>HYPERLINK("https://www.suredividend.com/sure-analysis-research-database/","Valley National Bancorp")</f>
        <v>0</v>
      </c>
      <c r="C1705" t="s">
        <v>1815</v>
      </c>
      <c r="D1705">
        <v>10.01</v>
      </c>
      <c r="E1705">
        <v>0.04278285302176101</v>
      </c>
      <c r="F1705">
        <v>0</v>
      </c>
      <c r="G1705">
        <v>0</v>
      </c>
      <c r="H1705">
        <v>0.428256358747833</v>
      </c>
      <c r="I1705">
        <v>5083.829631</v>
      </c>
      <c r="J1705">
        <v>8.692892639656923</v>
      </c>
      <c r="K1705">
        <v>0.3723968336937679</v>
      </c>
      <c r="L1705">
        <v>1.290363511513206</v>
      </c>
      <c r="M1705">
        <v>12.48</v>
      </c>
      <c r="N1705">
        <v>6.22</v>
      </c>
    </row>
    <row r="1706" spans="1:14">
      <c r="A1706" s="1" t="s">
        <v>1718</v>
      </c>
      <c r="B1706">
        <f>HYPERLINK("https://www.suredividend.com/sure-analysis-research-database/","Vimeo Inc")</f>
        <v>0</v>
      </c>
      <c r="C1706" t="s">
        <v>1812</v>
      </c>
      <c r="D1706">
        <v>4.45</v>
      </c>
      <c r="E1706">
        <v>0</v>
      </c>
      <c r="F1706" t="s">
        <v>1812</v>
      </c>
      <c r="G1706" t="s">
        <v>1812</v>
      </c>
      <c r="H1706">
        <v>0</v>
      </c>
      <c r="I1706">
        <v>695.921474</v>
      </c>
      <c r="J1706">
        <v>0</v>
      </c>
      <c r="K1706" t="s">
        <v>1812</v>
      </c>
      <c r="L1706">
        <v>1.651714345136922</v>
      </c>
      <c r="M1706">
        <v>7.74</v>
      </c>
      <c r="N1706">
        <v>3.07</v>
      </c>
    </row>
    <row r="1707" spans="1:14">
      <c r="A1707" s="1" t="s">
        <v>1719</v>
      </c>
      <c r="B1707">
        <f>HYPERLINK("https://www.suredividend.com/sure-analysis-research-database/","Vanda Pharmaceuticals Inc")</f>
        <v>0</v>
      </c>
      <c r="C1707" t="s">
        <v>1817</v>
      </c>
      <c r="D1707">
        <v>5.64</v>
      </c>
      <c r="E1707">
        <v>0</v>
      </c>
      <c r="F1707" t="s">
        <v>1812</v>
      </c>
      <c r="G1707" t="s">
        <v>1812</v>
      </c>
      <c r="H1707">
        <v>0</v>
      </c>
      <c r="I1707">
        <v>324.348859</v>
      </c>
      <c r="J1707">
        <v>21.76399780715292</v>
      </c>
      <c r="K1707">
        <v>0</v>
      </c>
      <c r="L1707">
        <v>0.650078797734565</v>
      </c>
      <c r="M1707">
        <v>11.05</v>
      </c>
      <c r="N1707">
        <v>5.45</v>
      </c>
    </row>
    <row r="1708" spans="1:14">
      <c r="A1708" s="1" t="s">
        <v>1720</v>
      </c>
      <c r="B1708">
        <f>HYPERLINK("https://www.suredividend.com/sure-analysis-research-database/","Vishay Precision Group Inc")</f>
        <v>0</v>
      </c>
      <c r="C1708" t="s">
        <v>1818</v>
      </c>
      <c r="D1708">
        <v>37.83</v>
      </c>
      <c r="E1708">
        <v>0</v>
      </c>
      <c r="F1708" t="s">
        <v>1812</v>
      </c>
      <c r="G1708" t="s">
        <v>1812</v>
      </c>
      <c r="H1708">
        <v>0</v>
      </c>
      <c r="I1708">
        <v>475.789045</v>
      </c>
      <c r="J1708">
        <v>0</v>
      </c>
      <c r="K1708" t="s">
        <v>1812</v>
      </c>
      <c r="L1708">
        <v>0.759669104236773</v>
      </c>
      <c r="M1708">
        <v>45.69</v>
      </c>
      <c r="N1708">
        <v>29.52</v>
      </c>
    </row>
    <row r="1709" spans="1:14">
      <c r="A1709" s="1" t="s">
        <v>1721</v>
      </c>
      <c r="B1709">
        <f>HYPERLINK("https://www.suredividend.com/sure-analysis-research-database/","ViewRay Inc.")</f>
        <v>0</v>
      </c>
      <c r="C1709" t="s">
        <v>1817</v>
      </c>
      <c r="D1709">
        <v>0.025</v>
      </c>
      <c r="E1709">
        <v>0</v>
      </c>
      <c r="F1709" t="s">
        <v>1812</v>
      </c>
      <c r="G1709" t="s">
        <v>1812</v>
      </c>
      <c r="H1709">
        <v>0</v>
      </c>
      <c r="I1709">
        <v>0</v>
      </c>
      <c r="J1709">
        <v>0</v>
      </c>
      <c r="K1709" t="s">
        <v>1812</v>
      </c>
    </row>
    <row r="1710" spans="1:14">
      <c r="A1710" s="1" t="s">
        <v>1722</v>
      </c>
      <c r="B1710">
        <f>HYPERLINK("https://www.suredividend.com/sure-analysis-research-database/","Viridian Therapeutics Inc")</f>
        <v>0</v>
      </c>
      <c r="C1710" t="s">
        <v>1812</v>
      </c>
      <c r="D1710">
        <v>18.1</v>
      </c>
      <c r="E1710">
        <v>0</v>
      </c>
      <c r="F1710" t="s">
        <v>1812</v>
      </c>
      <c r="G1710" t="s">
        <v>1812</v>
      </c>
      <c r="H1710">
        <v>0</v>
      </c>
      <c r="I1710">
        <v>794.1375</v>
      </c>
      <c r="J1710">
        <v>0</v>
      </c>
      <c r="K1710" t="s">
        <v>1812</v>
      </c>
      <c r="L1710">
        <v>0.7506024993255651</v>
      </c>
      <c r="M1710">
        <v>39</v>
      </c>
      <c r="N1710">
        <v>13.45</v>
      </c>
    </row>
    <row r="1711" spans="1:14">
      <c r="A1711" s="1" t="s">
        <v>1723</v>
      </c>
      <c r="B1711">
        <f>HYPERLINK("https://www.suredividend.com/sure-analysis-research-database/","Veris Residential Inc")</f>
        <v>0</v>
      </c>
      <c r="C1711" t="s">
        <v>1812</v>
      </c>
      <c r="D1711">
        <v>18.46</v>
      </c>
      <c r="E1711">
        <v>0</v>
      </c>
      <c r="F1711" t="s">
        <v>1812</v>
      </c>
      <c r="G1711" t="s">
        <v>1812</v>
      </c>
      <c r="H1711">
        <v>0</v>
      </c>
      <c r="I1711">
        <v>1699.514602</v>
      </c>
      <c r="J1711" t="s">
        <v>1812</v>
      </c>
      <c r="K1711">
        <v>-0</v>
      </c>
      <c r="L1711">
        <v>0.9878787803209531</v>
      </c>
      <c r="M1711">
        <v>18.96</v>
      </c>
      <c r="N1711">
        <v>10.22</v>
      </c>
    </row>
    <row r="1712" spans="1:14">
      <c r="A1712" s="1" t="s">
        <v>1724</v>
      </c>
      <c r="B1712">
        <f>HYPERLINK("https://www.suredividend.com/sure-analysis-research-database/","Varex Imaging Corp")</f>
        <v>0</v>
      </c>
      <c r="C1712" t="s">
        <v>1817</v>
      </c>
      <c r="D1712">
        <v>22.65</v>
      </c>
      <c r="E1712">
        <v>0</v>
      </c>
      <c r="F1712" t="s">
        <v>1812</v>
      </c>
      <c r="G1712" t="s">
        <v>1812</v>
      </c>
      <c r="H1712">
        <v>0</v>
      </c>
      <c r="I1712">
        <v>915.0599999999999</v>
      </c>
      <c r="J1712">
        <v>31.12448979591836</v>
      </c>
      <c r="K1712">
        <v>0</v>
      </c>
      <c r="L1712">
        <v>0.7741203924442681</v>
      </c>
      <c r="M1712">
        <v>23.9</v>
      </c>
      <c r="N1712">
        <v>17.11</v>
      </c>
    </row>
    <row r="1713" spans="1:14">
      <c r="A1713" s="1" t="s">
        <v>1725</v>
      </c>
      <c r="B1713">
        <f>HYPERLINK("https://www.suredividend.com/sure-analysis-research-database/","Varonis Systems Inc")</f>
        <v>0</v>
      </c>
      <c r="C1713" t="s">
        <v>1818</v>
      </c>
      <c r="D1713">
        <v>30.26</v>
      </c>
      <c r="E1713">
        <v>0</v>
      </c>
      <c r="F1713" t="s">
        <v>1812</v>
      </c>
      <c r="G1713" t="s">
        <v>1812</v>
      </c>
      <c r="H1713">
        <v>0</v>
      </c>
      <c r="I1713">
        <v>3317.965395</v>
      </c>
      <c r="J1713" t="s">
        <v>1812</v>
      </c>
      <c r="K1713">
        <v>-0</v>
      </c>
      <c r="L1713">
        <v>1.476209270100315</v>
      </c>
      <c r="M1713">
        <v>32.55</v>
      </c>
      <c r="N1713">
        <v>15.61</v>
      </c>
    </row>
    <row r="1714" spans="1:14">
      <c r="A1714" s="1" t="s">
        <v>1726</v>
      </c>
      <c r="B1714">
        <f>HYPERLINK("https://www.suredividend.com/sure-analysis-research-database/","Verint Systems, Inc.")</f>
        <v>0</v>
      </c>
      <c r="C1714" t="s">
        <v>1818</v>
      </c>
      <c r="D1714">
        <v>36.49</v>
      </c>
      <c r="E1714">
        <v>0</v>
      </c>
      <c r="F1714" t="s">
        <v>1812</v>
      </c>
      <c r="G1714" t="s">
        <v>1812</v>
      </c>
      <c r="H1714">
        <v>0</v>
      </c>
      <c r="I1714">
        <v>2345.812232</v>
      </c>
      <c r="J1714" t="s">
        <v>1812</v>
      </c>
      <c r="K1714">
        <v>-0</v>
      </c>
      <c r="L1714">
        <v>1.221705862548671</v>
      </c>
      <c r="M1714">
        <v>51.01</v>
      </c>
      <c r="N1714">
        <v>31.63</v>
      </c>
    </row>
    <row r="1715" spans="1:14">
      <c r="A1715" s="1" t="s">
        <v>1727</v>
      </c>
      <c r="B1715">
        <f>HYPERLINK("https://www.suredividend.com/sure-analysis-research-database/","Verra Mobility Corp")</f>
        <v>0</v>
      </c>
      <c r="C1715" t="s">
        <v>1813</v>
      </c>
      <c r="D1715">
        <v>20.49</v>
      </c>
      <c r="E1715">
        <v>0</v>
      </c>
      <c r="F1715" t="s">
        <v>1812</v>
      </c>
      <c r="G1715" t="s">
        <v>1812</v>
      </c>
      <c r="H1715">
        <v>0</v>
      </c>
      <c r="I1715">
        <v>3081.5237</v>
      </c>
      <c r="J1715">
        <v>35.41492782133499</v>
      </c>
      <c r="K1715">
        <v>0</v>
      </c>
      <c r="L1715">
        <v>0.9183000798467891</v>
      </c>
      <c r="M1715">
        <v>21.16</v>
      </c>
      <c r="N1715">
        <v>12.76</v>
      </c>
    </row>
    <row r="1716" spans="1:14">
      <c r="A1716" s="1" t="s">
        <v>1728</v>
      </c>
      <c r="B1716">
        <f>HYPERLINK("https://www.suredividend.com/sure-analysis-research-database/","Virtus Investment Partners Inc")</f>
        <v>0</v>
      </c>
      <c r="C1716" t="s">
        <v>1815</v>
      </c>
      <c r="D1716">
        <v>204.21</v>
      </c>
      <c r="E1716">
        <v>0.031740237270691</v>
      </c>
      <c r="F1716">
        <v>0.09999999999999987</v>
      </c>
      <c r="G1716">
        <v>0.2457309396155174</v>
      </c>
      <c r="H1716">
        <v>6.481673853047814</v>
      </c>
      <c r="I1716">
        <v>1488.365798</v>
      </c>
      <c r="J1716">
        <v>12.0901158162884</v>
      </c>
      <c r="K1716">
        <v>0.3935442533726664</v>
      </c>
      <c r="L1716">
        <v>1.54586017451276</v>
      </c>
      <c r="M1716">
        <v>242.16</v>
      </c>
      <c r="N1716">
        <v>135.95</v>
      </c>
    </row>
    <row r="1717" spans="1:14">
      <c r="A1717" s="1" t="s">
        <v>1729</v>
      </c>
      <c r="B1717">
        <f>HYPERLINK("https://www.suredividend.com/sure-analysis-research-database/","Veritiv Corp")</f>
        <v>0</v>
      </c>
      <c r="C1717" t="s">
        <v>1813</v>
      </c>
      <c r="D1717">
        <v>140.14</v>
      </c>
      <c r="E1717">
        <v>0.013411121914328</v>
      </c>
      <c r="F1717" t="s">
        <v>1812</v>
      </c>
      <c r="G1717" t="s">
        <v>1812</v>
      </c>
      <c r="H1717">
        <v>1.879434625073965</v>
      </c>
      <c r="I1717">
        <v>1898.417581</v>
      </c>
      <c r="J1717">
        <v>5.786094425662907</v>
      </c>
      <c r="K1717">
        <v>0.08087068094122053</v>
      </c>
      <c r="L1717">
        <v>1.24590483531538</v>
      </c>
      <c r="M1717">
        <v>160.08</v>
      </c>
      <c r="N1717">
        <v>93.02</v>
      </c>
    </row>
    <row r="1718" spans="1:14">
      <c r="A1718" s="1" t="s">
        <v>1730</v>
      </c>
      <c r="B1718">
        <f>HYPERLINK("https://www.suredividend.com/sure-analysis-research-database/","VSE Corp.")</f>
        <v>0</v>
      </c>
      <c r="C1718" t="s">
        <v>1813</v>
      </c>
      <c r="D1718">
        <v>53.02</v>
      </c>
      <c r="E1718">
        <v>0.007510342307439</v>
      </c>
      <c r="F1718">
        <v>0</v>
      </c>
      <c r="G1718">
        <v>0.04563955259127317</v>
      </c>
      <c r="H1718">
        <v>0.398198349140417</v>
      </c>
      <c r="I1718">
        <v>834.735958</v>
      </c>
      <c r="J1718">
        <v>25.89211693538881</v>
      </c>
      <c r="K1718">
        <v>0.1592793396561668</v>
      </c>
      <c r="L1718">
        <v>1.258038592331042</v>
      </c>
      <c r="M1718">
        <v>58.79</v>
      </c>
      <c r="N1718">
        <v>32.88</v>
      </c>
    </row>
    <row r="1719" spans="1:14">
      <c r="A1719" s="1" t="s">
        <v>1731</v>
      </c>
      <c r="B1719">
        <f>HYPERLINK("https://www.suredividend.com/sure-analysis-research-database/","Vishay Intertechnology, Inc.")</f>
        <v>0</v>
      </c>
      <c r="C1719" t="s">
        <v>1818</v>
      </c>
      <c r="D1719">
        <v>27.52</v>
      </c>
      <c r="E1719">
        <v>0.014445254088901</v>
      </c>
      <c r="F1719">
        <v>0</v>
      </c>
      <c r="G1719">
        <v>0.03303780411393231</v>
      </c>
      <c r="H1719">
        <v>0.3975333925265611</v>
      </c>
      <c r="I1719">
        <v>3511.135595</v>
      </c>
      <c r="J1719">
        <v>8.03430429611595</v>
      </c>
      <c r="K1719">
        <v>0.1299128733746931</v>
      </c>
      <c r="L1719">
        <v>1.204249237751216</v>
      </c>
      <c r="M1719">
        <v>30.1</v>
      </c>
      <c r="N1719">
        <v>17.4</v>
      </c>
    </row>
    <row r="1720" spans="1:14">
      <c r="A1720" s="1" t="s">
        <v>1732</v>
      </c>
      <c r="B1720">
        <f>HYPERLINK("https://www.suredividend.com/sure-analysis-research-database/","Vista Outdoor Inc")</f>
        <v>0</v>
      </c>
      <c r="C1720" t="s">
        <v>1816</v>
      </c>
      <c r="D1720">
        <v>30.02</v>
      </c>
      <c r="E1720">
        <v>0</v>
      </c>
      <c r="F1720" t="s">
        <v>1812</v>
      </c>
      <c r="G1720" t="s">
        <v>1812</v>
      </c>
      <c r="H1720">
        <v>0</v>
      </c>
      <c r="I1720">
        <v>1741.300554</v>
      </c>
      <c r="J1720" t="s">
        <v>1812</v>
      </c>
      <c r="K1720">
        <v>-0</v>
      </c>
      <c r="L1720">
        <v>1.041884856121507</v>
      </c>
      <c r="M1720">
        <v>32.6</v>
      </c>
      <c r="N1720">
        <v>22.97</v>
      </c>
    </row>
    <row r="1721" spans="1:14">
      <c r="A1721" s="1" t="s">
        <v>1733</v>
      </c>
      <c r="B1721">
        <f>HYPERLINK("https://www.suredividend.com/sure-analysis-research-database/","VistaGen Therapeutics Inc")</f>
        <v>0</v>
      </c>
      <c r="C1721" t="s">
        <v>1817</v>
      </c>
      <c r="D1721">
        <v>1.7</v>
      </c>
      <c r="E1721">
        <v>0</v>
      </c>
      <c r="F1721" t="s">
        <v>1812</v>
      </c>
      <c r="G1721" t="s">
        <v>1812</v>
      </c>
      <c r="H1721">
        <v>0</v>
      </c>
      <c r="I1721">
        <v>13.574288</v>
      </c>
      <c r="J1721">
        <v>0</v>
      </c>
      <c r="K1721" t="s">
        <v>1812</v>
      </c>
      <c r="L1721">
        <v>1.818283291306531</v>
      </c>
      <c r="M1721">
        <v>10.3</v>
      </c>
      <c r="N1721">
        <v>1.62</v>
      </c>
    </row>
    <row r="1722" spans="1:14">
      <c r="A1722" s="1" t="s">
        <v>1734</v>
      </c>
      <c r="B1722">
        <f>HYPERLINK("https://www.suredividend.com/sure-analysis-research-database/","Vital Energy Inc.")</f>
        <v>0</v>
      </c>
      <c r="C1722" t="s">
        <v>1812</v>
      </c>
      <c r="D1722">
        <v>52.66</v>
      </c>
      <c r="E1722">
        <v>0</v>
      </c>
      <c r="F1722" t="s">
        <v>1812</v>
      </c>
      <c r="G1722" t="s">
        <v>1812</v>
      </c>
      <c r="H1722">
        <v>0</v>
      </c>
      <c r="I1722">
        <v>979.308015</v>
      </c>
      <c r="J1722">
        <v>1.176723363048569</v>
      </c>
      <c r="K1722">
        <v>0</v>
      </c>
      <c r="L1722">
        <v>1.555862381915186</v>
      </c>
      <c r="M1722">
        <v>83.22</v>
      </c>
      <c r="N1722">
        <v>39.74</v>
      </c>
    </row>
    <row r="1723" spans="1:14">
      <c r="A1723" s="1" t="s">
        <v>1735</v>
      </c>
      <c r="B1723">
        <f>HYPERLINK("https://www.suredividend.com/sure-analysis-research-database/","Vertex Energy Inc")</f>
        <v>0</v>
      </c>
      <c r="C1723" t="s">
        <v>1822</v>
      </c>
      <c r="D1723">
        <v>5.14</v>
      </c>
      <c r="E1723">
        <v>0</v>
      </c>
      <c r="F1723" t="s">
        <v>1812</v>
      </c>
      <c r="G1723" t="s">
        <v>1812</v>
      </c>
      <c r="H1723">
        <v>0</v>
      </c>
      <c r="I1723">
        <v>479.235934</v>
      </c>
      <c r="J1723">
        <v>0</v>
      </c>
      <c r="K1723" t="s">
        <v>1812</v>
      </c>
      <c r="L1723">
        <v>1.846146377177251</v>
      </c>
      <c r="M1723">
        <v>14.64</v>
      </c>
      <c r="N1723">
        <v>4.84</v>
      </c>
    </row>
    <row r="1724" spans="1:14">
      <c r="A1724" s="1" t="s">
        <v>1736</v>
      </c>
      <c r="B1724">
        <f>HYPERLINK("https://www.suredividend.com/sure-analysis-research-database/","Bristow Group Inc.")</f>
        <v>0</v>
      </c>
      <c r="C1724" t="s">
        <v>1812</v>
      </c>
      <c r="D1724">
        <v>31.3</v>
      </c>
      <c r="E1724">
        <v>0</v>
      </c>
      <c r="F1724" t="s">
        <v>1812</v>
      </c>
      <c r="G1724" t="s">
        <v>1812</v>
      </c>
      <c r="H1724">
        <v>0</v>
      </c>
      <c r="I1724">
        <v>876.6578490000001</v>
      </c>
      <c r="J1724">
        <v>54.32931639811601</v>
      </c>
      <c r="K1724">
        <v>0</v>
      </c>
      <c r="L1724">
        <v>1.315209271766759</v>
      </c>
      <c r="M1724">
        <v>31.72</v>
      </c>
      <c r="N1724">
        <v>20.08</v>
      </c>
    </row>
    <row r="1725" spans="1:14">
      <c r="A1725" s="1" t="s">
        <v>1737</v>
      </c>
      <c r="B1725">
        <f>HYPERLINK("https://www.suredividend.com/sure-analysis-research-database/","Ventyx Biosciences Inc")</f>
        <v>0</v>
      </c>
      <c r="C1725" t="s">
        <v>1812</v>
      </c>
      <c r="D1725">
        <v>35.57</v>
      </c>
      <c r="E1725">
        <v>0</v>
      </c>
      <c r="F1725" t="s">
        <v>1812</v>
      </c>
      <c r="G1725" t="s">
        <v>1812</v>
      </c>
      <c r="H1725">
        <v>0</v>
      </c>
      <c r="I1725">
        <v>1915.4445</v>
      </c>
      <c r="J1725">
        <v>0</v>
      </c>
      <c r="K1725" t="s">
        <v>1812</v>
      </c>
      <c r="L1725">
        <v>1.43996384327635</v>
      </c>
      <c r="M1725">
        <v>47.25</v>
      </c>
      <c r="N1725">
        <v>15.09</v>
      </c>
    </row>
    <row r="1726" spans="1:14">
      <c r="A1726" s="1" t="s">
        <v>1738</v>
      </c>
      <c r="B1726">
        <f>HYPERLINK("https://www.suredividend.com/sure-analysis-research-database/","Vuzix Corporation")</f>
        <v>0</v>
      </c>
      <c r="C1726" t="s">
        <v>1818</v>
      </c>
      <c r="D1726">
        <v>4.96</v>
      </c>
      <c r="E1726">
        <v>0</v>
      </c>
      <c r="F1726" t="s">
        <v>1812</v>
      </c>
      <c r="G1726" t="s">
        <v>1812</v>
      </c>
      <c r="H1726">
        <v>0</v>
      </c>
      <c r="I1726">
        <v>313.56685</v>
      </c>
      <c r="J1726">
        <v>0</v>
      </c>
      <c r="K1726" t="s">
        <v>1812</v>
      </c>
      <c r="L1726">
        <v>2.159088015930781</v>
      </c>
      <c r="M1726">
        <v>10.49</v>
      </c>
      <c r="N1726">
        <v>3.27</v>
      </c>
    </row>
    <row r="1727" spans="1:14">
      <c r="A1727" s="1" t="s">
        <v>1739</v>
      </c>
      <c r="B1727">
        <f>HYPERLINK("https://www.suredividend.com/sure-analysis-research-database/","Viad Corp.")</f>
        <v>0</v>
      </c>
      <c r="C1727" t="s">
        <v>1813</v>
      </c>
      <c r="D1727">
        <v>27.25</v>
      </c>
      <c r="E1727">
        <v>0</v>
      </c>
      <c r="F1727" t="s">
        <v>1812</v>
      </c>
      <c r="G1727" t="s">
        <v>1812</v>
      </c>
      <c r="H1727">
        <v>0</v>
      </c>
      <c r="I1727">
        <v>567.708869</v>
      </c>
      <c r="J1727">
        <v>29.0551650161216</v>
      </c>
      <c r="K1727">
        <v>0</v>
      </c>
      <c r="L1727">
        <v>1.176663780953323</v>
      </c>
      <c r="M1727">
        <v>44.25</v>
      </c>
      <c r="N1727">
        <v>17.1</v>
      </c>
    </row>
    <row r="1728" spans="1:14">
      <c r="A1728" s="1" t="s">
        <v>1740</v>
      </c>
      <c r="B1728">
        <f>HYPERLINK("https://www.suredividend.com/sure-analysis-research-database/","V2X Inc")</f>
        <v>0</v>
      </c>
      <c r="C1728" t="s">
        <v>1812</v>
      </c>
      <c r="D1728">
        <v>54.56</v>
      </c>
      <c r="E1728">
        <v>0</v>
      </c>
      <c r="F1728" t="s">
        <v>1812</v>
      </c>
      <c r="G1728" t="s">
        <v>1812</v>
      </c>
      <c r="H1728">
        <v>0</v>
      </c>
      <c r="I1728">
        <v>1691.654569</v>
      </c>
      <c r="J1728" t="s">
        <v>1812</v>
      </c>
      <c r="K1728">
        <v>-0</v>
      </c>
      <c r="L1728">
        <v>0.6208181252606441</v>
      </c>
      <c r="M1728">
        <v>54.95</v>
      </c>
      <c r="N1728">
        <v>29.55</v>
      </c>
    </row>
    <row r="1729" spans="1:14">
      <c r="A1729" s="1" t="s">
        <v>1741</v>
      </c>
      <c r="B1729">
        <f>HYPERLINK("https://www.suredividend.com/sure-analysis-research-database/","Vintage Wine Estates Inc")</f>
        <v>0</v>
      </c>
      <c r="C1729" t="s">
        <v>1812</v>
      </c>
      <c r="D1729">
        <v>0.9863000000000001</v>
      </c>
      <c r="E1729">
        <v>0</v>
      </c>
      <c r="F1729" t="s">
        <v>1812</v>
      </c>
      <c r="G1729" t="s">
        <v>1812</v>
      </c>
      <c r="H1729">
        <v>0</v>
      </c>
      <c r="I1729">
        <v>58.526216</v>
      </c>
      <c r="J1729">
        <v>0</v>
      </c>
      <c r="K1729" t="s">
        <v>1812</v>
      </c>
      <c r="L1729">
        <v>1.471092161518511</v>
      </c>
      <c r="M1729">
        <v>7.2</v>
      </c>
      <c r="N1729">
        <v>0.805</v>
      </c>
    </row>
    <row r="1730" spans="1:14">
      <c r="A1730" s="1" t="s">
        <v>1742</v>
      </c>
      <c r="B1730">
        <f>HYPERLINK("https://www.suredividend.com/sure-analysis-research-database/","Vaxart Inc")</f>
        <v>0</v>
      </c>
      <c r="C1730" t="s">
        <v>1817</v>
      </c>
      <c r="D1730">
        <v>0.75</v>
      </c>
      <c r="E1730">
        <v>0</v>
      </c>
      <c r="F1730" t="s">
        <v>1812</v>
      </c>
      <c r="G1730" t="s">
        <v>1812</v>
      </c>
      <c r="H1730">
        <v>0</v>
      </c>
      <c r="I1730">
        <v>101.697987</v>
      </c>
      <c r="J1730" t="s">
        <v>1812</v>
      </c>
      <c r="K1730">
        <v>-0</v>
      </c>
      <c r="L1730">
        <v>2.264280300485076</v>
      </c>
      <c r="M1730">
        <v>4.62</v>
      </c>
      <c r="N1730">
        <v>0.5600000000000001</v>
      </c>
    </row>
    <row r="1731" spans="1:14">
      <c r="A1731" s="1" t="s">
        <v>1743</v>
      </c>
      <c r="B1731">
        <f>HYPERLINK("https://www.suredividend.com/sure-analysis-research-database/","VIZIO Holding Corp")</f>
        <v>0</v>
      </c>
      <c r="C1731" t="s">
        <v>1812</v>
      </c>
      <c r="D1731">
        <v>7.24</v>
      </c>
      <c r="E1731">
        <v>0</v>
      </c>
      <c r="F1731" t="s">
        <v>1812</v>
      </c>
      <c r="G1731" t="s">
        <v>1812</v>
      </c>
      <c r="H1731">
        <v>0</v>
      </c>
      <c r="I1731">
        <v>1400.264667</v>
      </c>
      <c r="J1731">
        <v>0</v>
      </c>
      <c r="K1731" t="s">
        <v>1812</v>
      </c>
      <c r="L1731">
        <v>1.649489070484636</v>
      </c>
      <c r="M1731">
        <v>13.84</v>
      </c>
      <c r="N1731">
        <v>6.32</v>
      </c>
    </row>
    <row r="1732" spans="1:14">
      <c r="A1732" s="1" t="s">
        <v>1744</v>
      </c>
      <c r="B1732">
        <f>HYPERLINK("https://www.suredividend.com/sure-analysis-WABC/","Westamerica Bancorporation")</f>
        <v>0</v>
      </c>
      <c r="C1732" t="s">
        <v>1815</v>
      </c>
      <c r="D1732">
        <v>49.04</v>
      </c>
      <c r="E1732">
        <v>0.03588907014681893</v>
      </c>
      <c r="F1732">
        <v>0.04761904761904767</v>
      </c>
      <c r="G1732">
        <v>0.01924487649145656</v>
      </c>
      <c r="H1732">
        <v>1.643155443442669</v>
      </c>
      <c r="I1732">
        <v>1306.8317</v>
      </c>
      <c r="J1732">
        <v>9.343254761526856</v>
      </c>
      <c r="K1732">
        <v>0.3159914314312825</v>
      </c>
      <c r="L1732">
        <v>0.807016769640386</v>
      </c>
      <c r="M1732">
        <v>61.98</v>
      </c>
      <c r="N1732">
        <v>34.73</v>
      </c>
    </row>
    <row r="1733" spans="1:14">
      <c r="A1733" s="1" t="s">
        <v>1745</v>
      </c>
      <c r="B1733">
        <f>HYPERLINK("https://www.suredividend.com/sure-analysis-WAFD/","Washington Federal Inc.")</f>
        <v>0</v>
      </c>
      <c r="C1733" t="s">
        <v>1815</v>
      </c>
      <c r="D1733">
        <v>30.85</v>
      </c>
      <c r="E1733">
        <v>0.03241491085899514</v>
      </c>
      <c r="F1733">
        <v>0.04166666666666674</v>
      </c>
      <c r="G1733">
        <v>0.06790716584560208</v>
      </c>
      <c r="H1733">
        <v>0.9616598434211011</v>
      </c>
      <c r="I1733">
        <v>2029.689864</v>
      </c>
      <c r="J1733">
        <v>7.58739874545808</v>
      </c>
      <c r="K1733">
        <v>0.2351246560931788</v>
      </c>
      <c r="L1733">
        <v>0.9816399075719251</v>
      </c>
      <c r="M1733">
        <v>37.92</v>
      </c>
      <c r="N1733">
        <v>23.46</v>
      </c>
    </row>
    <row r="1734" spans="1:14">
      <c r="A1734" s="1" t="s">
        <v>1746</v>
      </c>
      <c r="B1734">
        <f>HYPERLINK("https://www.suredividend.com/sure-analysis-WASH/","Washington Trust Bancorp, Inc.")</f>
        <v>0</v>
      </c>
      <c r="C1734" t="s">
        <v>1815</v>
      </c>
      <c r="D1734">
        <v>31.9</v>
      </c>
      <c r="E1734">
        <v>0.07021943573667713</v>
      </c>
      <c r="F1734">
        <v>0.03703703703703698</v>
      </c>
      <c r="G1734">
        <v>0.05425073941302982</v>
      </c>
      <c r="H1734">
        <v>2.660242299423684</v>
      </c>
      <c r="I1734">
        <v>542.913628</v>
      </c>
      <c r="J1734">
        <v>8.003680043636578</v>
      </c>
      <c r="K1734">
        <v>0.6786332396488991</v>
      </c>
      <c r="L1734">
        <v>0.8087512515143781</v>
      </c>
      <c r="M1734">
        <v>51.63</v>
      </c>
      <c r="N1734">
        <v>21.38</v>
      </c>
    </row>
    <row r="1735" spans="1:14">
      <c r="A1735" s="1" t="s">
        <v>1747</v>
      </c>
      <c r="B1735">
        <f>HYPERLINK("https://www.suredividend.com/sure-analysis-research-database/","Walker &amp; Dunlop Inc")</f>
        <v>0</v>
      </c>
      <c r="C1735" t="s">
        <v>1815</v>
      </c>
      <c r="D1735">
        <v>87.19</v>
      </c>
      <c r="E1735">
        <v>0.027873465053966</v>
      </c>
      <c r="F1735">
        <v>0.04999999999999982</v>
      </c>
      <c r="G1735">
        <v>0.2030401126732269</v>
      </c>
      <c r="H1735">
        <v>2.430287418055353</v>
      </c>
      <c r="I1735">
        <v>2906.954795</v>
      </c>
      <c r="J1735">
        <v>17.65632372610711</v>
      </c>
      <c r="K1735">
        <v>0.4831585324165711</v>
      </c>
      <c r="L1735">
        <v>1.489740665220585</v>
      </c>
      <c r="M1735">
        <v>111.89</v>
      </c>
      <c r="N1735">
        <v>60.5</v>
      </c>
    </row>
    <row r="1736" spans="1:14">
      <c r="A1736" s="1" t="s">
        <v>1748</v>
      </c>
      <c r="B1736">
        <f>HYPERLINK("https://www.suredividend.com/sure-analysis-WDFC/","WD-40 Co.")</f>
        <v>0</v>
      </c>
      <c r="C1736" t="s">
        <v>1823</v>
      </c>
      <c r="D1736">
        <v>227.02</v>
      </c>
      <c r="E1736">
        <v>0.01462426217954365</v>
      </c>
      <c r="F1736">
        <v>0.0641025641025641</v>
      </c>
      <c r="G1736">
        <v>0.08977506465822516</v>
      </c>
      <c r="H1736">
        <v>3.240577874256044</v>
      </c>
      <c r="I1736">
        <v>3079.037299</v>
      </c>
      <c r="J1736">
        <v>48.15585634620498</v>
      </c>
      <c r="K1736">
        <v>0.6894846540970306</v>
      </c>
      <c r="L1736">
        <v>0.8541147758346981</v>
      </c>
      <c r="M1736">
        <v>232.94</v>
      </c>
      <c r="N1736">
        <v>142.7</v>
      </c>
    </row>
    <row r="1737" spans="1:14">
      <c r="A1737" s="1" t="s">
        <v>1749</v>
      </c>
      <c r="B1737">
        <f>HYPERLINK("https://www.suredividend.com/sure-analysis-research-database/","Weave Communications Inc")</f>
        <v>0</v>
      </c>
      <c r="C1737" t="s">
        <v>1812</v>
      </c>
      <c r="D1737">
        <v>11</v>
      </c>
      <c r="E1737">
        <v>0</v>
      </c>
      <c r="F1737" t="s">
        <v>1812</v>
      </c>
      <c r="G1737" t="s">
        <v>1812</v>
      </c>
      <c r="H1737">
        <v>0</v>
      </c>
      <c r="I1737">
        <v>733.932276</v>
      </c>
      <c r="J1737">
        <v>0</v>
      </c>
      <c r="K1737" t="s">
        <v>1812</v>
      </c>
      <c r="L1737">
        <v>1.283319634282517</v>
      </c>
      <c r="M1737">
        <v>12.45</v>
      </c>
      <c r="N1737">
        <v>3.74</v>
      </c>
    </row>
    <row r="1738" spans="1:14">
      <c r="A1738" s="1" t="s">
        <v>1750</v>
      </c>
      <c r="B1738">
        <f>HYPERLINK("https://www.suredividend.com/sure-analysis-research-database/","Werner Enterprises, Inc.")</f>
        <v>0</v>
      </c>
      <c r="C1738" t="s">
        <v>1813</v>
      </c>
      <c r="D1738">
        <v>46.62</v>
      </c>
      <c r="E1738">
        <v>0.011291904678952</v>
      </c>
      <c r="F1738">
        <v>0.07692307692307709</v>
      </c>
      <c r="G1738">
        <v>0.09238846414037316</v>
      </c>
      <c r="H1738">
        <v>0.526428596132775</v>
      </c>
      <c r="I1738">
        <v>2954.632663</v>
      </c>
      <c r="J1738">
        <v>13.26547567729683</v>
      </c>
      <c r="K1738">
        <v>0.151272585095625</v>
      </c>
      <c r="L1738">
        <v>0.8609092672111701</v>
      </c>
      <c r="M1738">
        <v>49.86</v>
      </c>
      <c r="N1738">
        <v>35.4</v>
      </c>
    </row>
    <row r="1739" spans="1:14">
      <c r="A1739" s="1" t="s">
        <v>1751</v>
      </c>
      <c r="B1739">
        <f>HYPERLINK("https://www.suredividend.com/sure-analysis-WEYS/","Weyco Group, Inc")</f>
        <v>0</v>
      </c>
      <c r="C1739" t="s">
        <v>1816</v>
      </c>
      <c r="D1739">
        <v>25.07</v>
      </c>
      <c r="E1739">
        <v>0.03988831272437176</v>
      </c>
      <c r="F1739">
        <v>0.04166666666666674</v>
      </c>
      <c r="G1739">
        <v>0.01681614782195462</v>
      </c>
      <c r="H1739">
        <v>0.9515680619271401</v>
      </c>
      <c r="I1739">
        <v>238.399555</v>
      </c>
      <c r="J1739">
        <v>7.239145965018827</v>
      </c>
      <c r="K1739">
        <v>0.2774250909408572</v>
      </c>
      <c r="L1739">
        <v>0.8088052470040271</v>
      </c>
      <c r="M1739">
        <v>28.95</v>
      </c>
      <c r="N1739">
        <v>19.31</v>
      </c>
    </row>
    <row r="1740" spans="1:14">
      <c r="A1740" s="1" t="s">
        <v>1752</v>
      </c>
      <c r="B1740">
        <f>HYPERLINK("https://www.suredividend.com/sure-analysis-research-database/","Weatherford International plc")</f>
        <v>0</v>
      </c>
      <c r="C1740" t="s">
        <v>1812</v>
      </c>
      <c r="D1740">
        <v>83.09</v>
      </c>
      <c r="E1740">
        <v>0</v>
      </c>
      <c r="F1740" t="s">
        <v>1812</v>
      </c>
      <c r="G1740" t="s">
        <v>1812</v>
      </c>
      <c r="H1740">
        <v>0</v>
      </c>
      <c r="I1740">
        <v>5988.683416</v>
      </c>
      <c r="J1740">
        <v>0</v>
      </c>
      <c r="K1740" t="s">
        <v>1812</v>
      </c>
      <c r="L1740">
        <v>0.7704112043572611</v>
      </c>
      <c r="M1740">
        <v>84.55</v>
      </c>
      <c r="N1740">
        <v>21.32</v>
      </c>
    </row>
    <row r="1741" spans="1:14">
      <c r="A1741" s="1" t="s">
        <v>1753</v>
      </c>
      <c r="B1741">
        <f>HYPERLINK("https://www.suredividend.com/sure-analysis-WGO/","Winnebago Industries, Inc.")</f>
        <v>0</v>
      </c>
      <c r="C1741" t="s">
        <v>1816</v>
      </c>
      <c r="D1741">
        <v>67.16</v>
      </c>
      <c r="E1741">
        <v>0.01608100059559261</v>
      </c>
      <c r="F1741">
        <v>0.5000000000000002</v>
      </c>
      <c r="G1741">
        <v>0.2197554094669347</v>
      </c>
      <c r="H1741">
        <v>1.072923102508865</v>
      </c>
      <c r="I1741">
        <v>2028.94403</v>
      </c>
      <c r="J1741">
        <v>7.965733563870926</v>
      </c>
      <c r="K1741">
        <v>0.1444041860711797</v>
      </c>
      <c r="L1741">
        <v>1.215427455633832</v>
      </c>
      <c r="M1741">
        <v>69.91</v>
      </c>
      <c r="N1741">
        <v>50.15</v>
      </c>
    </row>
    <row r="1742" spans="1:14">
      <c r="A1742" s="1" t="s">
        <v>1754</v>
      </c>
      <c r="B1742">
        <f>HYPERLINK("https://www.suredividend.com/sure-analysis-research-database/","GeneDx Holdings Corp")</f>
        <v>0</v>
      </c>
      <c r="C1742" t="s">
        <v>1812</v>
      </c>
      <c r="D1742">
        <v>7.28</v>
      </c>
      <c r="E1742">
        <v>0</v>
      </c>
      <c r="F1742" t="s">
        <v>1812</v>
      </c>
      <c r="G1742" t="s">
        <v>1812</v>
      </c>
      <c r="H1742">
        <v>0</v>
      </c>
      <c r="I1742">
        <v>186.296168</v>
      </c>
      <c r="J1742">
        <v>0</v>
      </c>
      <c r="K1742" t="s">
        <v>1812</v>
      </c>
      <c r="L1742">
        <v>9.250456179446125</v>
      </c>
      <c r="M1742">
        <v>17.91</v>
      </c>
      <c r="N1742">
        <v>0.22</v>
      </c>
    </row>
    <row r="1743" spans="1:14">
      <c r="A1743" s="1" t="s">
        <v>1755</v>
      </c>
      <c r="B1743">
        <f>HYPERLINK("https://www.suredividend.com/sure-analysis-research-database/","Cactus Inc")</f>
        <v>0</v>
      </c>
      <c r="C1743" t="s">
        <v>1822</v>
      </c>
      <c r="D1743">
        <v>51.73</v>
      </c>
      <c r="E1743">
        <v>0.008475406415642001</v>
      </c>
      <c r="F1743" t="s">
        <v>1812</v>
      </c>
      <c r="G1743" t="s">
        <v>1812</v>
      </c>
      <c r="H1743">
        <v>0.438432773881168</v>
      </c>
      <c r="I1743">
        <v>3333.914542</v>
      </c>
      <c r="J1743">
        <v>25.1707376423912</v>
      </c>
      <c r="K1743">
        <v>0.254902775512307</v>
      </c>
      <c r="L1743">
        <v>1.306422088624273</v>
      </c>
      <c r="M1743">
        <v>57.98</v>
      </c>
      <c r="N1743">
        <v>31.37</v>
      </c>
    </row>
    <row r="1744" spans="1:14">
      <c r="A1744" s="1" t="s">
        <v>1756</v>
      </c>
      <c r="B1744">
        <f>HYPERLINK("https://www.suredividend.com/sure-analysis-research-database/","Winmark Corporation")</f>
        <v>0</v>
      </c>
      <c r="C1744" t="s">
        <v>1816</v>
      </c>
      <c r="D1744">
        <v>356.74</v>
      </c>
      <c r="E1744">
        <v>0.008067329373103001</v>
      </c>
      <c r="F1744">
        <v>0.1428571428571428</v>
      </c>
      <c r="G1744">
        <v>0.2619146889603865</v>
      </c>
      <c r="H1744">
        <v>2.877939080560853</v>
      </c>
      <c r="I1744">
        <v>1243.474705</v>
      </c>
      <c r="J1744">
        <v>31.19863674463766</v>
      </c>
      <c r="K1744">
        <v>0.2585749398527271</v>
      </c>
      <c r="L1744">
        <v>0.703353006081686</v>
      </c>
      <c r="M1744">
        <v>373.02</v>
      </c>
      <c r="N1744">
        <v>202.39</v>
      </c>
    </row>
    <row r="1745" spans="1:14">
      <c r="A1745" s="1" t="s">
        <v>1757</v>
      </c>
      <c r="B1745">
        <f>HYPERLINK("https://www.suredividend.com/sure-analysis-research-database/","Wingstop Inc")</f>
        <v>0</v>
      </c>
      <c r="C1745" t="s">
        <v>1816</v>
      </c>
      <c r="D1745">
        <v>165.53</v>
      </c>
      <c r="E1745">
        <v>0.004578168840293001</v>
      </c>
      <c r="F1745">
        <v>0</v>
      </c>
      <c r="G1745">
        <v>0.1611871423331621</v>
      </c>
      <c r="H1745">
        <v>0.757824288133861</v>
      </c>
      <c r="I1745">
        <v>4962.194445</v>
      </c>
      <c r="J1745">
        <v>82.78602678378378</v>
      </c>
      <c r="K1745">
        <v>0.3789121440669305</v>
      </c>
      <c r="L1745">
        <v>1.23156761029085</v>
      </c>
      <c r="M1745">
        <v>223.35</v>
      </c>
      <c r="N1745">
        <v>107.76</v>
      </c>
    </row>
    <row r="1746" spans="1:14">
      <c r="A1746" s="1" t="s">
        <v>1758</v>
      </c>
      <c r="B1746">
        <f>HYPERLINK("https://www.suredividend.com/sure-analysis-research-database/","Encore Wire Corp.")</f>
        <v>0</v>
      </c>
      <c r="C1746" t="s">
        <v>1813</v>
      </c>
      <c r="D1746">
        <v>165.06</v>
      </c>
      <c r="E1746">
        <v>0.000484545421094</v>
      </c>
      <c r="F1746">
        <v>0</v>
      </c>
      <c r="G1746">
        <v>0</v>
      </c>
      <c r="H1746">
        <v>0.07997906720591601</v>
      </c>
      <c r="I1746">
        <v>2773.913024</v>
      </c>
      <c r="J1746">
        <v>4.866548228373532</v>
      </c>
      <c r="K1746">
        <v>0.002582469073487763</v>
      </c>
      <c r="L1746">
        <v>1.15350798233566</v>
      </c>
      <c r="M1746">
        <v>206.67</v>
      </c>
      <c r="N1746">
        <v>108.46</v>
      </c>
    </row>
    <row r="1747" spans="1:14">
      <c r="A1747" s="1" t="s">
        <v>1759</v>
      </c>
      <c r="B1747">
        <f>HYPERLINK("https://www.suredividend.com/sure-analysis-research-database/","ContextLogic Inc")</f>
        <v>0</v>
      </c>
      <c r="C1747" t="s">
        <v>1815</v>
      </c>
      <c r="D1747">
        <v>8.380000000000001</v>
      </c>
      <c r="E1747">
        <v>0</v>
      </c>
      <c r="F1747" t="s">
        <v>1812</v>
      </c>
      <c r="G1747" t="s">
        <v>1812</v>
      </c>
      <c r="H1747">
        <v>0</v>
      </c>
      <c r="I1747">
        <v>197.46632</v>
      </c>
      <c r="J1747" t="s">
        <v>1812</v>
      </c>
      <c r="K1747">
        <v>-0</v>
      </c>
      <c r="L1747">
        <v>2.912418681099585</v>
      </c>
      <c r="M1747">
        <v>57.6</v>
      </c>
      <c r="N1747">
        <v>6.36</v>
      </c>
    </row>
    <row r="1748" spans="1:14">
      <c r="A1748" s="1" t="s">
        <v>1760</v>
      </c>
      <c r="B1748">
        <f>HYPERLINK("https://www.suredividend.com/sure-analysis-research-database/","Workiva Inc")</f>
        <v>0</v>
      </c>
      <c r="C1748" t="s">
        <v>1818</v>
      </c>
      <c r="D1748">
        <v>102.68</v>
      </c>
      <c r="E1748">
        <v>0</v>
      </c>
      <c r="F1748" t="s">
        <v>1812</v>
      </c>
      <c r="G1748" t="s">
        <v>1812</v>
      </c>
      <c r="H1748">
        <v>0</v>
      </c>
      <c r="I1748">
        <v>5087.24497</v>
      </c>
      <c r="J1748" t="s">
        <v>1812</v>
      </c>
      <c r="K1748">
        <v>-0</v>
      </c>
      <c r="L1748">
        <v>1.554422678844886</v>
      </c>
      <c r="M1748">
        <v>108.78</v>
      </c>
      <c r="N1748">
        <v>60.28</v>
      </c>
    </row>
    <row r="1749" spans="1:14">
      <c r="A1749" s="1" t="s">
        <v>1761</v>
      </c>
      <c r="B1749">
        <f>HYPERLINK("https://www.suredividend.com/sure-analysis-research-database/","Workhorse Group Inc")</f>
        <v>0</v>
      </c>
      <c r="C1749" t="s">
        <v>1816</v>
      </c>
      <c r="D1749">
        <v>1.27</v>
      </c>
      <c r="E1749">
        <v>0</v>
      </c>
      <c r="F1749" t="s">
        <v>1812</v>
      </c>
      <c r="G1749" t="s">
        <v>1812</v>
      </c>
      <c r="H1749">
        <v>0</v>
      </c>
      <c r="I1749">
        <v>267.707251</v>
      </c>
      <c r="J1749">
        <v>0</v>
      </c>
      <c r="K1749" t="s">
        <v>1812</v>
      </c>
      <c r="L1749">
        <v>2.18651182555398</v>
      </c>
      <c r="M1749">
        <v>4.73</v>
      </c>
      <c r="N1749">
        <v>0.709</v>
      </c>
    </row>
    <row r="1750" spans="1:14">
      <c r="A1750" s="1" t="s">
        <v>1762</v>
      </c>
      <c r="B1750">
        <f>HYPERLINK("https://www.suredividend.com/sure-analysis-research-database/","Willdan Group Inc")</f>
        <v>0</v>
      </c>
      <c r="C1750" t="s">
        <v>1813</v>
      </c>
      <c r="D1750">
        <v>20.25</v>
      </c>
      <c r="E1750">
        <v>0</v>
      </c>
      <c r="F1750" t="s">
        <v>1812</v>
      </c>
      <c r="G1750" t="s">
        <v>1812</v>
      </c>
      <c r="H1750">
        <v>0</v>
      </c>
      <c r="I1750">
        <v>273.154498</v>
      </c>
      <c r="J1750">
        <v>0</v>
      </c>
      <c r="K1750" t="s">
        <v>1812</v>
      </c>
      <c r="L1750">
        <v>1.148130982408161</v>
      </c>
      <c r="M1750">
        <v>28.75</v>
      </c>
      <c r="N1750">
        <v>10.98</v>
      </c>
    </row>
    <row r="1751" spans="1:14">
      <c r="A1751" s="1" t="s">
        <v>1763</v>
      </c>
      <c r="B1751">
        <f>HYPERLINK("https://www.suredividend.com/sure-analysis-research-database/","Chord Energy Corp")</f>
        <v>0</v>
      </c>
      <c r="C1751" t="s">
        <v>1812</v>
      </c>
      <c r="D1751">
        <v>11.76</v>
      </c>
      <c r="E1751">
        <v>0</v>
      </c>
      <c r="F1751" t="s">
        <v>1812</v>
      </c>
      <c r="G1751" t="s">
        <v>1812</v>
      </c>
      <c r="H1751">
        <v>0</v>
      </c>
      <c r="I1751">
        <v>1326.000748</v>
      </c>
      <c r="J1751">
        <v>0</v>
      </c>
      <c r="K1751" t="s">
        <v>1812</v>
      </c>
      <c r="M1751">
        <v>6.88</v>
      </c>
      <c r="N1751">
        <v>0.3</v>
      </c>
    </row>
    <row r="1752" spans="1:14">
      <c r="A1752" s="1" t="s">
        <v>1764</v>
      </c>
      <c r="B1752">
        <f>HYPERLINK("https://www.suredividend.com/sure-analysis-research-database/","Chord Energy Corp")</f>
        <v>0</v>
      </c>
      <c r="C1752" t="s">
        <v>1812</v>
      </c>
      <c r="D1752">
        <v>9.300000000000001</v>
      </c>
      <c r="E1752">
        <v>0</v>
      </c>
      <c r="F1752" t="s">
        <v>1812</v>
      </c>
      <c r="G1752" t="s">
        <v>1812</v>
      </c>
      <c r="H1752">
        <v>0</v>
      </c>
      <c r="I1752">
        <v>1326.000748</v>
      </c>
      <c r="J1752">
        <v>0</v>
      </c>
      <c r="K1752" t="s">
        <v>1812</v>
      </c>
      <c r="M1752">
        <v>9</v>
      </c>
      <c r="N1752">
        <v>1.4</v>
      </c>
    </row>
    <row r="1753" spans="1:14">
      <c r="A1753" s="1" t="s">
        <v>1765</v>
      </c>
      <c r="B1753">
        <f>HYPERLINK("https://www.suredividend.com/sure-analysis-WLY/","John Wiley &amp; Sons Inc.")</f>
        <v>0</v>
      </c>
      <c r="C1753" t="s">
        <v>1812</v>
      </c>
      <c r="D1753">
        <v>34.55</v>
      </c>
      <c r="E1753">
        <v>0.04052098408104197</v>
      </c>
      <c r="F1753" t="s">
        <v>1812</v>
      </c>
      <c r="G1753" t="s">
        <v>1812</v>
      </c>
      <c r="H1753">
        <v>1.383121580957664</v>
      </c>
      <c r="I1753">
        <v>1903.648301</v>
      </c>
      <c r="J1753">
        <v>110.4652875732606</v>
      </c>
      <c r="K1753">
        <v>4.522961350417475</v>
      </c>
      <c r="L1753">
        <v>1.061086161815794</v>
      </c>
      <c r="M1753">
        <v>52.7</v>
      </c>
      <c r="N1753">
        <v>30.05</v>
      </c>
    </row>
    <row r="1754" spans="1:14">
      <c r="A1754" s="1" t="s">
        <v>1766</v>
      </c>
      <c r="B1754">
        <f>HYPERLINK("https://www.suredividend.com/sure-analysis-research-database/","Weis Markets, Inc.")</f>
        <v>0</v>
      </c>
      <c r="C1754" t="s">
        <v>1819</v>
      </c>
      <c r="D1754">
        <v>65.72</v>
      </c>
      <c r="E1754">
        <v>0.01545524344577</v>
      </c>
      <c r="F1754">
        <v>0.0625</v>
      </c>
      <c r="G1754">
        <v>0.01864637644473</v>
      </c>
      <c r="H1754">
        <v>1.015718599256059</v>
      </c>
      <c r="I1754">
        <v>1767.765674</v>
      </c>
      <c r="J1754">
        <v>14.77805463890119</v>
      </c>
      <c r="K1754">
        <v>0.2282513706193391</v>
      </c>
      <c r="L1754">
        <v>0.5410364192894841</v>
      </c>
      <c r="M1754">
        <v>94.40000000000001</v>
      </c>
      <c r="N1754">
        <v>58.75</v>
      </c>
    </row>
    <row r="1755" spans="1:14">
      <c r="A1755" s="1" t="s">
        <v>1767</v>
      </c>
      <c r="B1755">
        <f>HYPERLINK("https://www.suredividend.com/sure-analysis-research-database/","Wabash National Corp.")</f>
        <v>0</v>
      </c>
      <c r="C1755" t="s">
        <v>1813</v>
      </c>
      <c r="D1755">
        <v>23.89</v>
      </c>
      <c r="E1755">
        <v>0.013360134895583</v>
      </c>
      <c r="F1755">
        <v>0</v>
      </c>
      <c r="G1755">
        <v>0.01299136822423641</v>
      </c>
      <c r="H1755">
        <v>0.319173622655484</v>
      </c>
      <c r="I1755">
        <v>1122.815451</v>
      </c>
      <c r="J1755">
        <v>5.531492078222144</v>
      </c>
      <c r="K1755">
        <v>0.07765781573126132</v>
      </c>
      <c r="L1755">
        <v>1.106284778023561</v>
      </c>
      <c r="M1755">
        <v>29.99</v>
      </c>
      <c r="N1755">
        <v>14.72</v>
      </c>
    </row>
    <row r="1756" spans="1:14">
      <c r="A1756" s="1" t="s">
        <v>1768</v>
      </c>
      <c r="B1756">
        <f>HYPERLINK("https://www.suredividend.com/sure-analysis-WOR/","Worthington Industries, Inc.")</f>
        <v>0</v>
      </c>
      <c r="C1756" t="s">
        <v>1823</v>
      </c>
      <c r="D1756">
        <v>73.09999999999999</v>
      </c>
      <c r="E1756">
        <v>0.01751025991792066</v>
      </c>
      <c r="F1756">
        <v>0.107142857142857</v>
      </c>
      <c r="G1756">
        <v>0.06151655480544238</v>
      </c>
      <c r="H1756">
        <v>1.230111645745358</v>
      </c>
      <c r="I1756">
        <v>3650.795873</v>
      </c>
      <c r="J1756">
        <v>14.23156876754194</v>
      </c>
      <c r="K1756">
        <v>0.2370157313574871</v>
      </c>
      <c r="L1756">
        <v>1.410967276855541</v>
      </c>
      <c r="M1756">
        <v>75.42</v>
      </c>
      <c r="N1756">
        <v>37.39</v>
      </c>
    </row>
    <row r="1757" spans="1:14">
      <c r="A1757" s="1" t="s">
        <v>1769</v>
      </c>
      <c r="B1757">
        <f>HYPERLINK("https://www.suredividend.com/sure-analysis-research-database/","WideOpenWest Inc")</f>
        <v>0</v>
      </c>
      <c r="C1757" t="s">
        <v>1821</v>
      </c>
      <c r="D1757">
        <v>8.210000000000001</v>
      </c>
      <c r="E1757">
        <v>0</v>
      </c>
      <c r="F1757" t="s">
        <v>1812</v>
      </c>
      <c r="G1757" t="s">
        <v>1812</v>
      </c>
      <c r="H1757">
        <v>0</v>
      </c>
      <c r="I1757">
        <v>696.8238239999999</v>
      </c>
      <c r="J1757" t="s">
        <v>1812</v>
      </c>
      <c r="K1757">
        <v>-0</v>
      </c>
      <c r="L1757">
        <v>1.260263696897999</v>
      </c>
      <c r="M1757">
        <v>20.96</v>
      </c>
      <c r="N1757">
        <v>7.26</v>
      </c>
    </row>
    <row r="1758" spans="1:14">
      <c r="A1758" s="1" t="s">
        <v>1770</v>
      </c>
      <c r="B1758">
        <f>HYPERLINK("https://www.suredividend.com/sure-analysis-research-database/","Warby Parker Inc")</f>
        <v>0</v>
      </c>
      <c r="C1758" t="s">
        <v>1812</v>
      </c>
      <c r="D1758">
        <v>14.86</v>
      </c>
      <c r="E1758">
        <v>0</v>
      </c>
      <c r="F1758" t="s">
        <v>1812</v>
      </c>
      <c r="G1758" t="s">
        <v>1812</v>
      </c>
      <c r="H1758">
        <v>0</v>
      </c>
      <c r="I1758">
        <v>1433.018914</v>
      </c>
      <c r="J1758" t="s">
        <v>1812</v>
      </c>
      <c r="K1758">
        <v>-0</v>
      </c>
      <c r="L1758">
        <v>2.159477317127513</v>
      </c>
      <c r="M1758">
        <v>18.99</v>
      </c>
      <c r="N1758">
        <v>9.5</v>
      </c>
    </row>
    <row r="1759" spans="1:14">
      <c r="A1759" s="1" t="s">
        <v>1771</v>
      </c>
      <c r="B1759">
        <f>HYPERLINK("https://www.suredividend.com/sure-analysis-research-database/","World Acceptance Corp.")</f>
        <v>0</v>
      </c>
      <c r="C1759" t="s">
        <v>1815</v>
      </c>
      <c r="D1759">
        <v>152.36</v>
      </c>
      <c r="E1759">
        <v>0</v>
      </c>
      <c r="F1759" t="s">
        <v>1812</v>
      </c>
      <c r="G1759" t="s">
        <v>1812</v>
      </c>
      <c r="H1759">
        <v>0</v>
      </c>
      <c r="I1759">
        <v>949.9656670000001</v>
      </c>
      <c r="J1759">
        <v>44.74218697917624</v>
      </c>
      <c r="K1759">
        <v>0</v>
      </c>
      <c r="L1759">
        <v>1.829861249153413</v>
      </c>
      <c r="M1759">
        <v>160.07</v>
      </c>
      <c r="N1759">
        <v>58.44</v>
      </c>
    </row>
    <row r="1760" spans="1:14">
      <c r="A1760" s="1" t="s">
        <v>1772</v>
      </c>
      <c r="B1760">
        <f>HYPERLINK("https://www.suredividend.com/sure-analysis-WSBC/","Wesbanco, Inc.")</f>
        <v>0</v>
      </c>
      <c r="C1760" t="s">
        <v>1815</v>
      </c>
      <c r="D1760">
        <v>27.39</v>
      </c>
      <c r="E1760">
        <v>0.0511135450894487</v>
      </c>
      <c r="F1760">
        <v>0.02941176470588247</v>
      </c>
      <c r="G1760">
        <v>0.0383266700886169</v>
      </c>
      <c r="H1760">
        <v>1.355013839900881</v>
      </c>
      <c r="I1760">
        <v>1622.763525</v>
      </c>
      <c r="J1760">
        <v>9.005097111123444</v>
      </c>
      <c r="K1760">
        <v>0.4486800794373779</v>
      </c>
      <c r="L1760">
        <v>0.8597451786349171</v>
      </c>
      <c r="M1760">
        <v>39.6</v>
      </c>
      <c r="N1760">
        <v>19.36</v>
      </c>
    </row>
    <row r="1761" spans="1:14">
      <c r="A1761" s="1" t="s">
        <v>1773</v>
      </c>
      <c r="B1761">
        <f>HYPERLINK("https://www.suredividend.com/sure-analysis-research-database/","Waterstone Financial Inc")</f>
        <v>0</v>
      </c>
      <c r="C1761" t="s">
        <v>1815</v>
      </c>
      <c r="D1761">
        <v>13.73</v>
      </c>
      <c r="E1761">
        <v>0.069934266793978</v>
      </c>
      <c r="F1761">
        <v>0</v>
      </c>
      <c r="G1761">
        <v>0.1075663432482901</v>
      </c>
      <c r="H1761">
        <v>0.960197483081322</v>
      </c>
      <c r="I1761">
        <v>297.351063</v>
      </c>
      <c r="J1761">
        <v>18.18549710048315</v>
      </c>
      <c r="K1761">
        <v>1.258285261540194</v>
      </c>
      <c r="L1761">
        <v>0.549793686079825</v>
      </c>
      <c r="M1761">
        <v>17.12</v>
      </c>
      <c r="N1761">
        <v>12.58</v>
      </c>
    </row>
    <row r="1762" spans="1:14">
      <c r="A1762" s="1" t="s">
        <v>1774</v>
      </c>
      <c r="B1762">
        <f>HYPERLINK("https://www.suredividend.com/sure-analysis-research-database/","WSFS Financial Corp.")</f>
        <v>0</v>
      </c>
      <c r="C1762" t="s">
        <v>1815</v>
      </c>
      <c r="D1762">
        <v>42.35</v>
      </c>
      <c r="E1762">
        <v>0.014018952923227</v>
      </c>
      <c r="F1762">
        <v>0</v>
      </c>
      <c r="G1762">
        <v>0.06399531281508364</v>
      </c>
      <c r="H1762">
        <v>0.593702656298673</v>
      </c>
      <c r="I1762">
        <v>2602.356553</v>
      </c>
      <c r="J1762">
        <v>9.26187935919566</v>
      </c>
      <c r="K1762">
        <v>0.1328193861965712</v>
      </c>
      <c r="L1762">
        <v>1.071678252223038</v>
      </c>
      <c r="M1762">
        <v>50.94</v>
      </c>
      <c r="N1762">
        <v>29.38</v>
      </c>
    </row>
    <row r="1763" spans="1:14">
      <c r="A1763" s="1" t="s">
        <v>1775</v>
      </c>
      <c r="B1763">
        <f>HYPERLINK("https://www.suredividend.com/sure-analysis-WSR/","Whitestone REIT")</f>
        <v>0</v>
      </c>
      <c r="C1763" t="s">
        <v>1814</v>
      </c>
      <c r="D1763">
        <v>10.31</v>
      </c>
      <c r="E1763">
        <v>0.04655674102812803</v>
      </c>
      <c r="F1763">
        <v>0</v>
      </c>
      <c r="G1763">
        <v>0.02224586935576811</v>
      </c>
      <c r="H1763">
        <v>0.5860167593337811</v>
      </c>
      <c r="I1763">
        <v>510.558634</v>
      </c>
      <c r="J1763">
        <v>15.93553586285465</v>
      </c>
      <c r="K1763">
        <v>0.9129408931823976</v>
      </c>
      <c r="L1763">
        <v>0.9627741628608951</v>
      </c>
      <c r="M1763">
        <v>10.74</v>
      </c>
      <c r="N1763">
        <v>7.81</v>
      </c>
    </row>
    <row r="1764" spans="1:14">
      <c r="A1764" s="1" t="s">
        <v>1776</v>
      </c>
      <c r="B1764">
        <f>HYPERLINK("https://www.suredividend.com/sure-analysis-research-database/","WisdomTree Inc")</f>
        <v>0</v>
      </c>
      <c r="C1764" t="s">
        <v>1812</v>
      </c>
      <c r="D1764">
        <v>6.51</v>
      </c>
      <c r="E1764">
        <v>0.013760200014749</v>
      </c>
      <c r="F1764" t="s">
        <v>1812</v>
      </c>
      <c r="G1764" t="s">
        <v>1812</v>
      </c>
      <c r="H1764">
        <v>0.089578902096017</v>
      </c>
      <c r="I1764">
        <v>971.703224</v>
      </c>
      <c r="J1764">
        <v>13.82046713336842</v>
      </c>
      <c r="K1764">
        <v>0.2079361701393152</v>
      </c>
      <c r="L1764">
        <v>0.7748991668717321</v>
      </c>
      <c r="M1764">
        <v>7.49</v>
      </c>
      <c r="N1764">
        <v>4.6</v>
      </c>
    </row>
    <row r="1765" spans="1:14">
      <c r="A1765" s="1" t="s">
        <v>1777</v>
      </c>
      <c r="B1765">
        <f>HYPERLINK("https://www.suredividend.com/sure-analysis-research-database/","West Bancorporation")</f>
        <v>0</v>
      </c>
      <c r="C1765" t="s">
        <v>1815</v>
      </c>
      <c r="D1765">
        <v>19.81</v>
      </c>
      <c r="E1765">
        <v>0.048885098149095</v>
      </c>
      <c r="F1765">
        <v>0</v>
      </c>
      <c r="G1765">
        <v>0.04563955259127317</v>
      </c>
      <c r="H1765">
        <v>0.9684137943335761</v>
      </c>
      <c r="I1765">
        <v>331.324112</v>
      </c>
      <c r="J1765">
        <v>9.672567061948968</v>
      </c>
      <c r="K1765">
        <v>0.4747126442811648</v>
      </c>
      <c r="L1765">
        <v>0.8288291115552581</v>
      </c>
      <c r="M1765">
        <v>24.87</v>
      </c>
      <c r="N1765">
        <v>15.04</v>
      </c>
    </row>
    <row r="1766" spans="1:14">
      <c r="A1766" s="1" t="s">
        <v>1778</v>
      </c>
      <c r="B1766">
        <f>HYPERLINK("https://www.suredividend.com/sure-analysis-research-database/","W &amp; T Offshore Inc")</f>
        <v>0</v>
      </c>
      <c r="C1766" t="s">
        <v>1822</v>
      </c>
      <c r="D1766">
        <v>4.12</v>
      </c>
      <c r="E1766">
        <v>0</v>
      </c>
      <c r="F1766" t="s">
        <v>1812</v>
      </c>
      <c r="G1766" t="s">
        <v>1812</v>
      </c>
      <c r="H1766">
        <v>0</v>
      </c>
      <c r="I1766">
        <v>603.500224</v>
      </c>
      <c r="J1766">
        <v>2.324632717565896</v>
      </c>
      <c r="K1766">
        <v>0</v>
      </c>
      <c r="L1766">
        <v>1.45602654495178</v>
      </c>
      <c r="M1766">
        <v>9.16</v>
      </c>
      <c r="N1766">
        <v>3.62</v>
      </c>
    </row>
    <row r="1767" spans="1:14">
      <c r="A1767" s="1" t="s">
        <v>1779</v>
      </c>
      <c r="B1767">
        <f>HYPERLINK("https://www.suredividend.com/sure-analysis-research-database/","Watts Water Technologies, Inc.")</f>
        <v>0</v>
      </c>
      <c r="C1767" t="s">
        <v>1813</v>
      </c>
      <c r="D1767">
        <v>187.91</v>
      </c>
      <c r="E1767">
        <v>0.006686317504772001</v>
      </c>
      <c r="F1767">
        <v>0.1999999999999997</v>
      </c>
      <c r="G1767">
        <v>0.1138241786028791</v>
      </c>
      <c r="H1767">
        <v>1.256425922321858</v>
      </c>
      <c r="I1767">
        <v>5148.734</v>
      </c>
      <c r="J1767">
        <v>19.67418418035919</v>
      </c>
      <c r="K1767">
        <v>0.1608739977364735</v>
      </c>
      <c r="L1767">
        <v>1.142173019680564</v>
      </c>
      <c r="M1767">
        <v>190.52</v>
      </c>
      <c r="N1767">
        <v>120.08</v>
      </c>
    </row>
    <row r="1768" spans="1:14">
      <c r="A1768" s="1" t="s">
        <v>1780</v>
      </c>
      <c r="B1768">
        <f>HYPERLINK("https://www.suredividend.com/sure-analysis-research-database/","Select Water Solutions Inc")</f>
        <v>0</v>
      </c>
      <c r="C1768" t="s">
        <v>1822</v>
      </c>
      <c r="D1768">
        <v>8.449999999999999</v>
      </c>
      <c r="E1768">
        <v>0.017634310845405</v>
      </c>
      <c r="F1768" t="s">
        <v>1812</v>
      </c>
      <c r="G1768" t="s">
        <v>1812</v>
      </c>
      <c r="H1768">
        <v>0.149009926643675</v>
      </c>
      <c r="I1768">
        <v>892.010857</v>
      </c>
      <c r="J1768">
        <v>16.57304231926871</v>
      </c>
      <c r="K1768">
        <v>0.2751291112327825</v>
      </c>
      <c r="L1768">
        <v>1.099517963536636</v>
      </c>
      <c r="M1768">
        <v>9.66</v>
      </c>
      <c r="N1768">
        <v>5.48</v>
      </c>
    </row>
    <row r="1769" spans="1:14">
      <c r="A1769" s="1" t="s">
        <v>1781</v>
      </c>
      <c r="B1769">
        <f>HYPERLINK("https://www.suredividend.com/sure-analysis-research-database/","TeraWulf Inc")</f>
        <v>0</v>
      </c>
      <c r="C1769" t="s">
        <v>1812</v>
      </c>
      <c r="D1769">
        <v>2.73</v>
      </c>
      <c r="E1769">
        <v>0</v>
      </c>
      <c r="F1769" t="s">
        <v>1812</v>
      </c>
      <c r="G1769" t="s">
        <v>1812</v>
      </c>
      <c r="H1769">
        <v>0</v>
      </c>
      <c r="I1769">
        <v>578.8486380000001</v>
      </c>
      <c r="J1769">
        <v>0</v>
      </c>
      <c r="K1769" t="s">
        <v>1812</v>
      </c>
      <c r="L1769">
        <v>2.0222055238447</v>
      </c>
      <c r="M1769">
        <v>4.04</v>
      </c>
      <c r="N1769">
        <v>0.535</v>
      </c>
    </row>
    <row r="1770" spans="1:14">
      <c r="A1770" s="1" t="s">
        <v>1782</v>
      </c>
      <c r="B1770">
        <f>HYPERLINK("https://www.suredividend.com/sure-analysis-research-database/","WW International Inc")</f>
        <v>0</v>
      </c>
      <c r="C1770" t="s">
        <v>1816</v>
      </c>
      <c r="D1770">
        <v>10.69</v>
      </c>
      <c r="E1770">
        <v>0</v>
      </c>
      <c r="F1770" t="s">
        <v>1812</v>
      </c>
      <c r="G1770" t="s">
        <v>1812</v>
      </c>
      <c r="H1770">
        <v>0</v>
      </c>
      <c r="I1770">
        <v>840.886988</v>
      </c>
      <c r="J1770" t="s">
        <v>1812</v>
      </c>
      <c r="K1770">
        <v>-0</v>
      </c>
      <c r="L1770">
        <v>2.282542734802121</v>
      </c>
      <c r="M1770">
        <v>12.13</v>
      </c>
      <c r="N1770">
        <v>3.28</v>
      </c>
    </row>
    <row r="1771" spans="1:14">
      <c r="A1771" s="1" t="s">
        <v>1783</v>
      </c>
      <c r="B1771">
        <f>HYPERLINK("https://www.suredividend.com/sure-analysis-research-database/","Wolverine World Wide, Inc.")</f>
        <v>0</v>
      </c>
      <c r="C1771" t="s">
        <v>1816</v>
      </c>
      <c r="D1771">
        <v>12.3</v>
      </c>
      <c r="E1771">
        <v>0.032173206278032</v>
      </c>
      <c r="F1771">
        <v>0</v>
      </c>
      <c r="G1771">
        <v>0.04563955259127317</v>
      </c>
      <c r="H1771">
        <v>0.395730437219797</v>
      </c>
      <c r="I1771">
        <v>977.022308</v>
      </c>
      <c r="J1771" t="s">
        <v>1812</v>
      </c>
      <c r="K1771" t="s">
        <v>1812</v>
      </c>
      <c r="L1771">
        <v>1.669805227198917</v>
      </c>
      <c r="M1771">
        <v>23.39</v>
      </c>
      <c r="N1771">
        <v>9.380000000000001</v>
      </c>
    </row>
    <row r="1772" spans="1:14">
      <c r="A1772" s="1" t="s">
        <v>1784</v>
      </c>
      <c r="B1772">
        <f>HYPERLINK("https://www.suredividend.com/sure-analysis-research-database/","Xeris Biopharma Holdings Inc")</f>
        <v>0</v>
      </c>
      <c r="C1772" t="s">
        <v>1817</v>
      </c>
      <c r="D1772">
        <v>2.66</v>
      </c>
      <c r="E1772">
        <v>0</v>
      </c>
      <c r="F1772" t="s">
        <v>1812</v>
      </c>
      <c r="G1772" t="s">
        <v>1812</v>
      </c>
      <c r="H1772">
        <v>0</v>
      </c>
      <c r="I1772">
        <v>365.248505</v>
      </c>
      <c r="J1772">
        <v>0</v>
      </c>
      <c r="K1772" t="s">
        <v>1812</v>
      </c>
      <c r="L1772">
        <v>1.450165956044986</v>
      </c>
      <c r="M1772">
        <v>3.07</v>
      </c>
      <c r="N1772">
        <v>0.9701000000000001</v>
      </c>
    </row>
    <row r="1773" spans="1:14">
      <c r="A1773" s="1" t="s">
        <v>1785</v>
      </c>
      <c r="B1773">
        <f>HYPERLINK("https://www.suredividend.com/sure-analysis-research-database/","Xenia Hotels &amp; Resorts Inc")</f>
        <v>0</v>
      </c>
      <c r="C1773" t="s">
        <v>1814</v>
      </c>
      <c r="D1773">
        <v>12</v>
      </c>
      <c r="E1773">
        <v>0.032930899431255</v>
      </c>
      <c r="F1773" t="s">
        <v>1812</v>
      </c>
      <c r="G1773" t="s">
        <v>1812</v>
      </c>
      <c r="H1773">
        <v>0.395170793175071</v>
      </c>
      <c r="I1773">
        <v>1287.127152</v>
      </c>
      <c r="J1773">
        <v>19.12948134056625</v>
      </c>
      <c r="K1773">
        <v>0.6686477041879375</v>
      </c>
      <c r="L1773">
        <v>1.377264511713535</v>
      </c>
      <c r="M1773">
        <v>17.89</v>
      </c>
      <c r="N1773">
        <v>11.31</v>
      </c>
    </row>
    <row r="1774" spans="1:14">
      <c r="A1774" s="1" t="s">
        <v>1786</v>
      </c>
      <c r="B1774">
        <f>HYPERLINK("https://www.suredividend.com/sure-analysis-research-database/","Xometry Inc")</f>
        <v>0</v>
      </c>
      <c r="C1774" t="s">
        <v>1812</v>
      </c>
      <c r="D1774">
        <v>17.22</v>
      </c>
      <c r="E1774">
        <v>0</v>
      </c>
      <c r="F1774" t="s">
        <v>1812</v>
      </c>
      <c r="G1774" t="s">
        <v>1812</v>
      </c>
      <c r="H1774">
        <v>0</v>
      </c>
      <c r="I1774">
        <v>777.794854</v>
      </c>
      <c r="J1774">
        <v>0</v>
      </c>
      <c r="K1774" t="s">
        <v>1812</v>
      </c>
      <c r="L1774">
        <v>1.435224714326904</v>
      </c>
      <c r="M1774">
        <v>64.34999999999999</v>
      </c>
      <c r="N1774">
        <v>12.45</v>
      </c>
    </row>
    <row r="1775" spans="1:14">
      <c r="A1775" s="1" t="s">
        <v>1787</v>
      </c>
      <c r="B1775">
        <f>HYPERLINK("https://www.suredividend.com/sure-analysis-research-database/","Xencor Inc")</f>
        <v>0</v>
      </c>
      <c r="C1775" t="s">
        <v>1817</v>
      </c>
      <c r="D1775">
        <v>23.35</v>
      </c>
      <c r="E1775">
        <v>0</v>
      </c>
      <c r="F1775" t="s">
        <v>1812</v>
      </c>
      <c r="G1775" t="s">
        <v>1812</v>
      </c>
      <c r="H1775">
        <v>0</v>
      </c>
      <c r="I1775">
        <v>1410.125017</v>
      </c>
      <c r="J1775" t="s">
        <v>1812</v>
      </c>
      <c r="K1775">
        <v>-0</v>
      </c>
      <c r="L1775">
        <v>0.9838514149161561</v>
      </c>
      <c r="M1775">
        <v>38.2</v>
      </c>
      <c r="N1775">
        <v>23.24</v>
      </c>
    </row>
    <row r="1776" spans="1:14">
      <c r="A1776" s="1" t="s">
        <v>1788</v>
      </c>
      <c r="B1776">
        <f>HYPERLINK("https://www.suredividend.com/sure-analysis-research-database/","Xos Inc")</f>
        <v>0</v>
      </c>
      <c r="C1776" t="s">
        <v>1812</v>
      </c>
      <c r="D1776">
        <v>0.587</v>
      </c>
      <c r="E1776">
        <v>0</v>
      </c>
      <c r="F1776" t="s">
        <v>1812</v>
      </c>
      <c r="G1776" t="s">
        <v>1812</v>
      </c>
      <c r="H1776">
        <v>0</v>
      </c>
      <c r="I1776">
        <v>103.322874</v>
      </c>
      <c r="J1776">
        <v>0</v>
      </c>
      <c r="K1776" t="s">
        <v>1812</v>
      </c>
      <c r="L1776">
        <v>1.259669315143815</v>
      </c>
      <c r="M1776">
        <v>2.14</v>
      </c>
      <c r="N1776">
        <v>0.2082</v>
      </c>
    </row>
    <row r="1777" spans="1:14">
      <c r="A1777" s="1" t="s">
        <v>1789</v>
      </c>
      <c r="B1777">
        <f>HYPERLINK("https://www.suredividend.com/sure-analysis-research-database/","XPEL Inc")</f>
        <v>0</v>
      </c>
      <c r="C1777" t="s">
        <v>1816</v>
      </c>
      <c r="D1777">
        <v>80.79000000000001</v>
      </c>
      <c r="E1777">
        <v>0</v>
      </c>
      <c r="F1777" t="s">
        <v>1812</v>
      </c>
      <c r="G1777" t="s">
        <v>1812</v>
      </c>
      <c r="H1777">
        <v>0</v>
      </c>
      <c r="I1777">
        <v>2231.265006</v>
      </c>
      <c r="J1777">
        <v>49.57169469293505</v>
      </c>
      <c r="K1777">
        <v>0</v>
      </c>
      <c r="L1777">
        <v>1.091867641018673</v>
      </c>
      <c r="M1777">
        <v>87.45999999999999</v>
      </c>
      <c r="N1777">
        <v>57.13</v>
      </c>
    </row>
    <row r="1778" spans="1:14">
      <c r="A1778" s="1" t="s">
        <v>1790</v>
      </c>
      <c r="B1778">
        <f>HYPERLINK("https://www.suredividend.com/sure-analysis-research-database/","Xperi Inc")</f>
        <v>0</v>
      </c>
      <c r="C1778" t="s">
        <v>1818</v>
      </c>
      <c r="D1778">
        <v>13.13</v>
      </c>
      <c r="E1778">
        <v>0</v>
      </c>
      <c r="F1778" t="s">
        <v>1812</v>
      </c>
      <c r="G1778" t="s">
        <v>1812</v>
      </c>
      <c r="H1778">
        <v>0</v>
      </c>
      <c r="I1778">
        <v>558.256259</v>
      </c>
      <c r="J1778">
        <v>0</v>
      </c>
      <c r="K1778" t="s">
        <v>1812</v>
      </c>
      <c r="M1778">
        <v>26</v>
      </c>
      <c r="N1778">
        <v>8.15</v>
      </c>
    </row>
    <row r="1779" spans="1:14">
      <c r="A1779" s="1" t="s">
        <v>1791</v>
      </c>
      <c r="B1779">
        <f>HYPERLINK("https://www.suredividend.com/sure-analysis-research-database/","Xponential Fitness Inc")</f>
        <v>0</v>
      </c>
      <c r="C1779" t="s">
        <v>1812</v>
      </c>
      <c r="D1779">
        <v>20.63</v>
      </c>
      <c r="E1779">
        <v>0</v>
      </c>
      <c r="F1779" t="s">
        <v>1812</v>
      </c>
      <c r="G1779" t="s">
        <v>1812</v>
      </c>
      <c r="H1779">
        <v>0</v>
      </c>
      <c r="I1779">
        <v>1022.358455</v>
      </c>
      <c r="J1779">
        <v>0</v>
      </c>
      <c r="K1779" t="s">
        <v>1812</v>
      </c>
      <c r="L1779">
        <v>1.11394752155911</v>
      </c>
      <c r="M1779">
        <v>33.58</v>
      </c>
      <c r="N1779">
        <v>14.51</v>
      </c>
    </row>
    <row r="1780" spans="1:14">
      <c r="A1780" s="1" t="s">
        <v>1792</v>
      </c>
      <c r="B1780">
        <f>HYPERLINK("https://www.suredividend.com/sure-analysis-research-database/","Expro Group Holdings N.V.")</f>
        <v>0</v>
      </c>
      <c r="C1780" t="s">
        <v>1812</v>
      </c>
      <c r="D1780">
        <v>22.66</v>
      </c>
      <c r="E1780">
        <v>0</v>
      </c>
      <c r="F1780" t="s">
        <v>1812</v>
      </c>
      <c r="G1780" t="s">
        <v>1812</v>
      </c>
      <c r="H1780">
        <v>0</v>
      </c>
      <c r="I1780">
        <v>2464.255648</v>
      </c>
      <c r="J1780">
        <v>0</v>
      </c>
      <c r="K1780" t="s">
        <v>1812</v>
      </c>
      <c r="L1780">
        <v>1.136606669325581</v>
      </c>
      <c r="M1780">
        <v>24.04</v>
      </c>
      <c r="N1780">
        <v>10.81</v>
      </c>
    </row>
    <row r="1781" spans="1:14">
      <c r="A1781" s="1" t="s">
        <v>1793</v>
      </c>
      <c r="B1781">
        <f>HYPERLINK("https://www.suredividend.com/sure-analysis-XRX/","Xerox Holdings Corp")</f>
        <v>0</v>
      </c>
      <c r="C1781" t="s">
        <v>1818</v>
      </c>
      <c r="D1781">
        <v>15.54</v>
      </c>
      <c r="E1781">
        <v>0.06435006435006435</v>
      </c>
      <c r="F1781" t="s">
        <v>1812</v>
      </c>
      <c r="G1781" t="s">
        <v>1812</v>
      </c>
      <c r="H1781">
        <v>0.961705422362885</v>
      </c>
      <c r="I1781">
        <v>2441.645235</v>
      </c>
      <c r="J1781" t="s">
        <v>1812</v>
      </c>
      <c r="K1781" t="s">
        <v>1812</v>
      </c>
      <c r="L1781">
        <v>1.182915596036663</v>
      </c>
      <c r="M1781">
        <v>17.78</v>
      </c>
      <c r="N1781">
        <v>11</v>
      </c>
    </row>
    <row r="1782" spans="1:14">
      <c r="A1782" s="1" t="s">
        <v>1794</v>
      </c>
      <c r="B1782">
        <f>HYPERLINK("https://www.suredividend.com/sure-analysis-research-database/","22nd Century Group Inc")</f>
        <v>0</v>
      </c>
      <c r="C1782" t="s">
        <v>1817</v>
      </c>
      <c r="D1782">
        <v>3.125</v>
      </c>
      <c r="E1782">
        <v>0</v>
      </c>
      <c r="F1782" t="s">
        <v>1812</v>
      </c>
      <c r="G1782" t="s">
        <v>1812</v>
      </c>
      <c r="H1782">
        <v>0</v>
      </c>
      <c r="I1782">
        <v>52.204278</v>
      </c>
      <c r="J1782">
        <v>0</v>
      </c>
      <c r="K1782" t="s">
        <v>1812</v>
      </c>
      <c r="L1782">
        <v>1.506478390517696</v>
      </c>
      <c r="M1782">
        <v>31.58</v>
      </c>
      <c r="N1782">
        <v>2.19</v>
      </c>
    </row>
    <row r="1783" spans="1:14">
      <c r="A1783" s="1" t="s">
        <v>1795</v>
      </c>
      <c r="B1783">
        <f>HYPERLINK("https://www.suredividend.com/sure-analysis-research-database/","Yelp Inc")</f>
        <v>0</v>
      </c>
      <c r="C1783" t="s">
        <v>1821</v>
      </c>
      <c r="D1783">
        <v>43.13</v>
      </c>
      <c r="E1783">
        <v>0</v>
      </c>
      <c r="F1783" t="s">
        <v>1812</v>
      </c>
      <c r="G1783" t="s">
        <v>1812</v>
      </c>
      <c r="H1783">
        <v>0</v>
      </c>
      <c r="I1783">
        <v>2968.991437</v>
      </c>
      <c r="J1783">
        <v>82.27999768900344</v>
      </c>
      <c r="K1783">
        <v>0</v>
      </c>
      <c r="L1783">
        <v>0.9379246281700651</v>
      </c>
      <c r="M1783">
        <v>45.53</v>
      </c>
      <c r="N1783">
        <v>25.3</v>
      </c>
    </row>
    <row r="1784" spans="1:14">
      <c r="A1784" s="1" t="s">
        <v>1796</v>
      </c>
      <c r="B1784">
        <f>HYPERLINK("https://www.suredividend.com/sure-analysis-research-database/","Yext Inc")</f>
        <v>0</v>
      </c>
      <c r="C1784" t="s">
        <v>1818</v>
      </c>
      <c r="D1784">
        <v>9.4</v>
      </c>
      <c r="E1784">
        <v>0</v>
      </c>
      <c r="F1784" t="s">
        <v>1812</v>
      </c>
      <c r="G1784" t="s">
        <v>1812</v>
      </c>
      <c r="H1784">
        <v>0</v>
      </c>
      <c r="I1784">
        <v>1165.874076</v>
      </c>
      <c r="J1784" t="s">
        <v>1812</v>
      </c>
      <c r="K1784">
        <v>-0</v>
      </c>
      <c r="L1784">
        <v>1.102362642193428</v>
      </c>
      <c r="M1784">
        <v>14.35</v>
      </c>
      <c r="N1784">
        <v>4</v>
      </c>
    </row>
    <row r="1785" spans="1:14">
      <c r="A1785" s="1" t="s">
        <v>1797</v>
      </c>
      <c r="B1785">
        <f>HYPERLINK("https://www.suredividend.com/sure-analysis-research-database/","Y-Mabs Therapeutics Inc")</f>
        <v>0</v>
      </c>
      <c r="C1785" t="s">
        <v>1817</v>
      </c>
      <c r="D1785">
        <v>5.5</v>
      </c>
      <c r="E1785">
        <v>0</v>
      </c>
      <c r="F1785" t="s">
        <v>1812</v>
      </c>
      <c r="G1785" t="s">
        <v>1812</v>
      </c>
      <c r="H1785">
        <v>0</v>
      </c>
      <c r="I1785">
        <v>240.227719</v>
      </c>
      <c r="J1785">
        <v>0</v>
      </c>
      <c r="K1785" t="s">
        <v>1812</v>
      </c>
      <c r="L1785">
        <v>1.70657914071</v>
      </c>
      <c r="M1785">
        <v>20.48</v>
      </c>
      <c r="N1785">
        <v>2.7</v>
      </c>
    </row>
    <row r="1786" spans="1:14">
      <c r="A1786" s="1" t="s">
        <v>1798</v>
      </c>
      <c r="B1786">
        <f>HYPERLINK("https://www.suredividend.com/sure-analysis-YORW/","York Water Co.")</f>
        <v>0</v>
      </c>
      <c r="C1786" t="s">
        <v>1820</v>
      </c>
      <c r="D1786">
        <v>40.61</v>
      </c>
      <c r="E1786">
        <v>0.01994582615119429</v>
      </c>
      <c r="F1786">
        <v>0.04002052334530526</v>
      </c>
      <c r="G1786">
        <v>0.04000577367145808</v>
      </c>
      <c r="H1786">
        <v>0.7945535313470891</v>
      </c>
      <c r="I1786">
        <v>580.547281</v>
      </c>
      <c r="J1786">
        <v>29.96527720295241</v>
      </c>
      <c r="K1786">
        <v>0.5842305377552126</v>
      </c>
      <c r="L1786">
        <v>0.5453587700255821</v>
      </c>
      <c r="M1786">
        <v>46.36</v>
      </c>
      <c r="N1786">
        <v>36.17</v>
      </c>
    </row>
    <row r="1787" spans="1:14">
      <c r="A1787" s="1" t="s">
        <v>1799</v>
      </c>
      <c r="B1787">
        <f>HYPERLINK("https://www.suredividend.com/sure-analysis-research-database/","Clear Secure Inc")</f>
        <v>0</v>
      </c>
      <c r="C1787" t="s">
        <v>1812</v>
      </c>
      <c r="D1787">
        <v>24.49</v>
      </c>
      <c r="E1787">
        <v>0</v>
      </c>
      <c r="F1787" t="s">
        <v>1812</v>
      </c>
      <c r="G1787" t="s">
        <v>1812</v>
      </c>
      <c r="H1787">
        <v>0</v>
      </c>
      <c r="I1787">
        <v>2179.167515</v>
      </c>
      <c r="J1787">
        <v>0</v>
      </c>
      <c r="K1787" t="s">
        <v>1812</v>
      </c>
      <c r="L1787">
        <v>1.4352230337204</v>
      </c>
      <c r="M1787">
        <v>34.72</v>
      </c>
      <c r="N1787">
        <v>21.75</v>
      </c>
    </row>
    <row r="1788" spans="1:14">
      <c r="A1788" s="1" t="s">
        <v>1800</v>
      </c>
      <c r="B1788">
        <f>HYPERLINK("https://www.suredividend.com/sure-analysis-research-database/","Ziff Davis Inc")</f>
        <v>0</v>
      </c>
      <c r="C1788" t="s">
        <v>1812</v>
      </c>
      <c r="D1788">
        <v>71.8</v>
      </c>
      <c r="E1788">
        <v>0</v>
      </c>
      <c r="F1788" t="s">
        <v>1812</v>
      </c>
      <c r="G1788" t="s">
        <v>1812</v>
      </c>
      <c r="H1788">
        <v>0</v>
      </c>
      <c r="I1788">
        <v>3394.91739</v>
      </c>
      <c r="J1788">
        <v>107.4204970763194</v>
      </c>
      <c r="K1788">
        <v>0</v>
      </c>
      <c r="L1788">
        <v>1.1487508404192</v>
      </c>
      <c r="M1788">
        <v>94.59</v>
      </c>
      <c r="N1788">
        <v>58.08</v>
      </c>
    </row>
    <row r="1789" spans="1:14">
      <c r="A1789" s="1" t="s">
        <v>1801</v>
      </c>
      <c r="B1789">
        <f>HYPERLINK("https://www.suredividend.com/sure-analysis-research-database/","Zeta Global Holdings Corp")</f>
        <v>0</v>
      </c>
      <c r="C1789" t="s">
        <v>1812</v>
      </c>
      <c r="D1789">
        <v>9.5</v>
      </c>
      <c r="E1789">
        <v>0</v>
      </c>
      <c r="F1789" t="s">
        <v>1812</v>
      </c>
      <c r="G1789" t="s">
        <v>1812</v>
      </c>
      <c r="H1789">
        <v>0</v>
      </c>
      <c r="I1789">
        <v>1715.613987</v>
      </c>
      <c r="J1789">
        <v>0</v>
      </c>
      <c r="K1789" t="s">
        <v>1812</v>
      </c>
      <c r="L1789">
        <v>1.255135779960615</v>
      </c>
      <c r="M1789">
        <v>11.28</v>
      </c>
      <c r="N1789">
        <v>5.78</v>
      </c>
    </row>
    <row r="1790" spans="1:14">
      <c r="A1790" s="1" t="s">
        <v>1802</v>
      </c>
      <c r="B1790">
        <f>HYPERLINK("https://www.suredividend.com/sure-analysis-research-database/","Olympic Steel Inc.")</f>
        <v>0</v>
      </c>
      <c r="C1790" t="s">
        <v>1823</v>
      </c>
      <c r="D1790">
        <v>50.7</v>
      </c>
      <c r="E1790">
        <v>0.008432224084923001</v>
      </c>
      <c r="F1790">
        <v>0.3888888888888888</v>
      </c>
      <c r="G1790">
        <v>0.4426999059072136</v>
      </c>
      <c r="H1790">
        <v>0.427513761105636</v>
      </c>
      <c r="I1790">
        <v>564.419879</v>
      </c>
      <c r="J1790">
        <v>8.88836206358955</v>
      </c>
      <c r="K1790">
        <v>0.07787135903563498</v>
      </c>
      <c r="L1790">
        <v>1.312964847484407</v>
      </c>
      <c r="M1790">
        <v>58.49</v>
      </c>
      <c r="N1790">
        <v>22.37</v>
      </c>
    </row>
    <row r="1791" spans="1:14">
      <c r="A1791" s="1" t="s">
        <v>1803</v>
      </c>
      <c r="B1791">
        <f>HYPERLINK("https://www.suredividend.com/sure-analysis-research-database/","Lightning eMotors Inc")</f>
        <v>0</v>
      </c>
      <c r="C1791" t="s">
        <v>1812</v>
      </c>
      <c r="D1791">
        <v>3.8</v>
      </c>
      <c r="E1791">
        <v>0</v>
      </c>
      <c r="F1791" t="s">
        <v>1812</v>
      </c>
      <c r="G1791" t="s">
        <v>1812</v>
      </c>
      <c r="H1791">
        <v>0</v>
      </c>
      <c r="I1791">
        <v>23.773389</v>
      </c>
      <c r="J1791">
        <v>0</v>
      </c>
      <c r="K1791" t="s">
        <v>1812</v>
      </c>
      <c r="L1791">
        <v>1.897879657445436</v>
      </c>
      <c r="M1791">
        <v>86.8</v>
      </c>
      <c r="N1791">
        <v>2.91</v>
      </c>
    </row>
    <row r="1792" spans="1:14">
      <c r="A1792" s="1" t="s">
        <v>1804</v>
      </c>
      <c r="B1792">
        <f>HYPERLINK("https://www.suredividend.com/sure-analysis-research-database/","Ermenegildo Zegna N.V.")</f>
        <v>0</v>
      </c>
      <c r="C1792" t="s">
        <v>1812</v>
      </c>
      <c r="D1792">
        <v>15.59</v>
      </c>
      <c r="E1792">
        <v>0.006414368280315001</v>
      </c>
      <c r="F1792" t="s">
        <v>1812</v>
      </c>
      <c r="G1792" t="s">
        <v>1812</v>
      </c>
      <c r="H1792">
        <v>0.100000001490116</v>
      </c>
      <c r="I1792">
        <v>3894.83899</v>
      </c>
      <c r="J1792">
        <v>0</v>
      </c>
      <c r="K1792" t="s">
        <v>1812</v>
      </c>
      <c r="L1792">
        <v>0.6246315234156631</v>
      </c>
      <c r="M1792">
        <v>16.07</v>
      </c>
      <c r="N1792">
        <v>9.52</v>
      </c>
    </row>
    <row r="1793" spans="1:14">
      <c r="A1793" s="1" t="s">
        <v>1805</v>
      </c>
      <c r="B1793">
        <f>HYPERLINK("https://www.suredividend.com/sure-analysis-research-database/","ZimVie Inc")</f>
        <v>0</v>
      </c>
      <c r="C1793" t="s">
        <v>1812</v>
      </c>
      <c r="D1793">
        <v>13.24</v>
      </c>
      <c r="E1793">
        <v>0</v>
      </c>
      <c r="F1793" t="s">
        <v>1812</v>
      </c>
      <c r="G1793" t="s">
        <v>1812</v>
      </c>
      <c r="H1793">
        <v>0</v>
      </c>
      <c r="I1793">
        <v>349.280958</v>
      </c>
      <c r="J1793">
        <v>0</v>
      </c>
      <c r="K1793" t="s">
        <v>1812</v>
      </c>
      <c r="L1793">
        <v>1.8433830305084</v>
      </c>
      <c r="M1793">
        <v>20.32</v>
      </c>
      <c r="N1793">
        <v>5.05</v>
      </c>
    </row>
    <row r="1794" spans="1:14">
      <c r="A1794" s="1" t="s">
        <v>1806</v>
      </c>
      <c r="B1794">
        <f>HYPERLINK("https://www.suredividend.com/sure-analysis-research-database/","ZipRecruiter Inc")</f>
        <v>0</v>
      </c>
      <c r="C1794" t="s">
        <v>1812</v>
      </c>
      <c r="D1794">
        <v>17.93</v>
      </c>
      <c r="E1794">
        <v>0</v>
      </c>
      <c r="F1794" t="s">
        <v>1812</v>
      </c>
      <c r="G1794" t="s">
        <v>1812</v>
      </c>
      <c r="H1794">
        <v>0</v>
      </c>
      <c r="I1794">
        <v>1335.252676</v>
      </c>
      <c r="J1794">
        <v>0</v>
      </c>
      <c r="K1794" t="s">
        <v>1812</v>
      </c>
      <c r="L1794">
        <v>1.61899424074037</v>
      </c>
      <c r="M1794">
        <v>24.05</v>
      </c>
      <c r="N1794">
        <v>13.68</v>
      </c>
    </row>
    <row r="1795" spans="1:14">
      <c r="A1795" s="1" t="s">
        <v>1807</v>
      </c>
      <c r="B1795">
        <f>HYPERLINK("https://www.suredividend.com/sure-analysis-research-database/","Zentalis Pharmaceuticals Inc")</f>
        <v>0</v>
      </c>
      <c r="C1795" t="s">
        <v>1817</v>
      </c>
      <c r="D1795">
        <v>26.13</v>
      </c>
      <c r="E1795">
        <v>0</v>
      </c>
      <c r="F1795" t="s">
        <v>1812</v>
      </c>
      <c r="G1795" t="s">
        <v>1812</v>
      </c>
      <c r="H1795">
        <v>0</v>
      </c>
      <c r="I1795">
        <v>1554.343468</v>
      </c>
      <c r="J1795">
        <v>0</v>
      </c>
      <c r="K1795" t="s">
        <v>1812</v>
      </c>
      <c r="L1795">
        <v>1.560431953054598</v>
      </c>
      <c r="M1795">
        <v>32.34</v>
      </c>
      <c r="N1795">
        <v>15.55</v>
      </c>
    </row>
    <row r="1796" spans="1:14">
      <c r="A1796" s="1" t="s">
        <v>1808</v>
      </c>
      <c r="B1796">
        <f>HYPERLINK("https://www.suredividend.com/sure-analysis-research-database/","Zumiez Inc")</f>
        <v>0</v>
      </c>
      <c r="C1796" t="s">
        <v>1816</v>
      </c>
      <c r="D1796">
        <v>19.03</v>
      </c>
      <c r="E1796">
        <v>0</v>
      </c>
      <c r="F1796" t="s">
        <v>1812</v>
      </c>
      <c r="G1796" t="s">
        <v>1812</v>
      </c>
      <c r="H1796">
        <v>0</v>
      </c>
      <c r="I1796">
        <v>376.402857</v>
      </c>
      <c r="J1796">
        <v>123.4512487307314</v>
      </c>
      <c r="K1796">
        <v>0</v>
      </c>
      <c r="L1796">
        <v>1.416909896338757</v>
      </c>
      <c r="M1796">
        <v>31.21</v>
      </c>
      <c r="N1796">
        <v>13.19</v>
      </c>
    </row>
    <row r="1797" spans="1:14">
      <c r="A1797" s="1" t="s">
        <v>1809</v>
      </c>
      <c r="B1797">
        <f>HYPERLINK("https://www.suredividend.com/sure-analysis-research-database/","Zuora Inc")</f>
        <v>0</v>
      </c>
      <c r="C1797" t="s">
        <v>1818</v>
      </c>
      <c r="D1797">
        <v>10.82</v>
      </c>
      <c r="E1797">
        <v>0</v>
      </c>
      <c r="F1797" t="s">
        <v>1812</v>
      </c>
      <c r="G1797" t="s">
        <v>1812</v>
      </c>
      <c r="H1797">
        <v>0</v>
      </c>
      <c r="I1797">
        <v>1396.862</v>
      </c>
      <c r="J1797">
        <v>0</v>
      </c>
      <c r="K1797" t="s">
        <v>1812</v>
      </c>
      <c r="L1797">
        <v>1.786981493489612</v>
      </c>
      <c r="M1797">
        <v>12.12</v>
      </c>
      <c r="N1797">
        <v>5.45</v>
      </c>
    </row>
    <row r="1798" spans="1:14">
      <c r="A1798" s="1" t="s">
        <v>1810</v>
      </c>
      <c r="B1798">
        <f>HYPERLINK("https://www.suredividend.com/sure-analysis-research-database/","Zurn Elkay Water Solutions Corp")</f>
        <v>0</v>
      </c>
      <c r="C1798" t="s">
        <v>1812</v>
      </c>
      <c r="D1798">
        <v>30.16</v>
      </c>
      <c r="E1798">
        <v>0.009241245068082</v>
      </c>
      <c r="F1798" t="s">
        <v>1812</v>
      </c>
      <c r="G1798" t="s">
        <v>1812</v>
      </c>
      <c r="H1798">
        <v>0.278715951253372</v>
      </c>
      <c r="I1798">
        <v>5216.104381</v>
      </c>
      <c r="J1798">
        <v>99.35436916723808</v>
      </c>
      <c r="K1798">
        <v>0.9467253778986821</v>
      </c>
      <c r="L1798">
        <v>1.313468452841772</v>
      </c>
      <c r="M1798">
        <v>31.48</v>
      </c>
      <c r="N1798">
        <v>19.23</v>
      </c>
    </row>
    <row r="1799" spans="1:14">
      <c r="A1799" s="1" t="s">
        <v>1811</v>
      </c>
      <c r="B1799">
        <f>HYPERLINK("https://www.suredividend.com/sure-analysis-research-database/","Zynex Inc")</f>
        <v>0</v>
      </c>
      <c r="C1799" t="s">
        <v>1817</v>
      </c>
      <c r="D1799">
        <v>8.5</v>
      </c>
      <c r="E1799">
        <v>0</v>
      </c>
      <c r="F1799" t="s">
        <v>1812</v>
      </c>
      <c r="G1799" t="s">
        <v>1812</v>
      </c>
      <c r="H1799">
        <v>0</v>
      </c>
      <c r="I1799">
        <v>305.366937</v>
      </c>
      <c r="J1799">
        <v>17.7044838242115</v>
      </c>
      <c r="K1799">
        <v>0</v>
      </c>
      <c r="L1799">
        <v>1.151194539512251</v>
      </c>
      <c r="M1799">
        <v>17.25</v>
      </c>
      <c r="N1799">
        <v>8.199999999999999</v>
      </c>
    </row>
  </sheetData>
  <autoFilter ref="A1:O1799"/>
  <conditionalFormatting sqref="A1:N1">
    <cfRule type="cellIs" dxfId="7" priority="15" operator="notEqual">
      <formula>-13.345</formula>
    </cfRule>
  </conditionalFormatting>
  <conditionalFormatting sqref="A2:A1799">
    <cfRule type="cellIs" dxfId="0" priority="1" operator="notEqual">
      <formula>"None"</formula>
    </cfRule>
  </conditionalFormatting>
  <conditionalFormatting sqref="B2:B1799">
    <cfRule type="cellIs" dxfId="1" priority="2" operator="notEqual">
      <formula>"None"</formula>
    </cfRule>
  </conditionalFormatting>
  <conditionalFormatting sqref="C2:C1799">
    <cfRule type="cellIs" dxfId="0" priority="3" operator="notEqual">
      <formula>"None"</formula>
    </cfRule>
  </conditionalFormatting>
  <conditionalFormatting sqref="D2:D1799">
    <cfRule type="cellIs" dxfId="2" priority="4" operator="notEqual">
      <formula>"None"</formula>
    </cfRule>
  </conditionalFormatting>
  <conditionalFormatting sqref="E2:E1799">
    <cfRule type="cellIs" dxfId="3" priority="5" operator="notEqual">
      <formula>"None"</formula>
    </cfRule>
  </conditionalFormatting>
  <conditionalFormatting sqref="F2:F1799">
    <cfRule type="cellIs" dxfId="3" priority="6" operator="notEqual">
      <formula>"None"</formula>
    </cfRule>
  </conditionalFormatting>
  <conditionalFormatting sqref="G2:G1799">
    <cfRule type="cellIs" dxfId="3" priority="7" operator="notEqual">
      <formula>"None"</formula>
    </cfRule>
  </conditionalFormatting>
  <conditionalFormatting sqref="H2:H1799">
    <cfRule type="cellIs" dxfId="2" priority="8" operator="notEqual">
      <formula>"None"</formula>
    </cfRule>
  </conditionalFormatting>
  <conditionalFormatting sqref="I2:I1799">
    <cfRule type="cellIs" dxfId="4" priority="9" operator="notEqual">
      <formula>"None"</formula>
    </cfRule>
  </conditionalFormatting>
  <conditionalFormatting sqref="J2:J1799">
    <cfRule type="cellIs" dxfId="5" priority="10" operator="notEqual">
      <formula>"None"</formula>
    </cfRule>
  </conditionalFormatting>
  <conditionalFormatting sqref="K2:K1799">
    <cfRule type="cellIs" dxfId="3" priority="11" operator="notEqual">
      <formula>"None"</formula>
    </cfRule>
  </conditionalFormatting>
  <conditionalFormatting sqref="L2:L1799">
    <cfRule type="cellIs" dxfId="6" priority="12" operator="notEqual">
      <formula>"None"</formula>
    </cfRule>
  </conditionalFormatting>
  <conditionalFormatting sqref="M2:M1799">
    <cfRule type="cellIs" dxfId="2" priority="13" operator="notEqual">
      <formula>"None"</formula>
    </cfRule>
  </conditionalFormatting>
  <conditionalFormatting sqref="N2:N1799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1824</v>
      </c>
      <c r="D1" s="1" t="s">
        <v>1825</v>
      </c>
      <c r="E1" s="1" t="s">
        <v>1826</v>
      </c>
      <c r="F1" s="1" t="s">
        <v>1827</v>
      </c>
      <c r="G1" s="1" t="s">
        <v>1828</v>
      </c>
      <c r="H1" s="1" t="s">
        <v>1829</v>
      </c>
      <c r="I1" s="1" t="s">
        <v>1830</v>
      </c>
    </row>
    <row r="2" spans="1:9">
      <c r="A2" s="1" t="s">
        <v>14</v>
      </c>
      <c r="B2">
        <f>HYPERLINK("https://www.suredividend.com/sure-analysis-research-database/","Aadi Bioscience Inc")</f>
        <v>0</v>
      </c>
      <c r="C2">
        <v>-0.15015015015015</v>
      </c>
      <c r="D2">
        <v>-0.267787839586028</v>
      </c>
      <c r="E2">
        <v>-0.54828411811652</v>
      </c>
      <c r="F2">
        <v>-0.5588464536243181</v>
      </c>
      <c r="G2">
        <v>-0.581360946745562</v>
      </c>
      <c r="H2">
        <v>1.801980198019801</v>
      </c>
      <c r="I2">
        <v>0.559228650137741</v>
      </c>
    </row>
    <row r="3" spans="1:9">
      <c r="A3" s="1" t="s">
        <v>15</v>
      </c>
      <c r="B3">
        <f>HYPERLINK("https://www.suredividend.com/sure-analysis-research-database/","Aarons Company Inc (The)")</f>
        <v>0</v>
      </c>
      <c r="C3">
        <v>-0.09684065934065901</v>
      </c>
      <c r="D3">
        <v>0.09457457257487201</v>
      </c>
      <c r="E3">
        <v>-0.132116316213255</v>
      </c>
      <c r="F3">
        <v>0.12352830607816</v>
      </c>
      <c r="G3">
        <v>0.03913960820880701</v>
      </c>
      <c r="H3">
        <v>-0.5221969493274421</v>
      </c>
      <c r="I3">
        <v>-0.50377358490566</v>
      </c>
    </row>
    <row r="4" spans="1:9">
      <c r="A4" s="1" t="s">
        <v>16</v>
      </c>
      <c r="B4">
        <f>HYPERLINK("https://www.suredividend.com/sure-analysis-research-database/","AAON Inc.")</f>
        <v>0</v>
      </c>
      <c r="C4">
        <v>0.08667292840743</v>
      </c>
      <c r="D4">
        <v>0.070081197709897</v>
      </c>
      <c r="E4">
        <v>0.295602727453712</v>
      </c>
      <c r="F4">
        <v>0.389520910538206</v>
      </c>
      <c r="G4">
        <v>0.699556034342049</v>
      </c>
      <c r="H4">
        <v>0.671656886905287</v>
      </c>
      <c r="I4">
        <v>1.804872464166323</v>
      </c>
    </row>
    <row r="5" spans="1:9">
      <c r="A5" s="1" t="s">
        <v>17</v>
      </c>
      <c r="B5">
        <f>HYPERLINK("https://www.suredividend.com/sure-analysis-AAT/","American Assets Trust Inc")</f>
        <v>0</v>
      </c>
      <c r="C5">
        <v>0.133638211382113</v>
      </c>
      <c r="D5">
        <v>0.276819797288403</v>
      </c>
      <c r="E5">
        <v>-0.203501594067854</v>
      </c>
      <c r="F5">
        <v>-0.131666725048554</v>
      </c>
      <c r="G5">
        <v>-0.190719573994203</v>
      </c>
      <c r="H5">
        <v>-0.339710313067875</v>
      </c>
      <c r="I5">
        <v>-0.316909774528174</v>
      </c>
    </row>
    <row r="6" spans="1:9">
      <c r="A6" s="1" t="s">
        <v>18</v>
      </c>
      <c r="B6">
        <f>HYPERLINK("https://www.suredividend.com/sure-analysis-research-database/","Ameris Bancorp")</f>
        <v>0</v>
      </c>
      <c r="C6">
        <v>0.267428571428571</v>
      </c>
      <c r="D6">
        <v>0.454903246966218</v>
      </c>
      <c r="E6">
        <v>-0.104507741688031</v>
      </c>
      <c r="F6">
        <v>-0.046759498023035</v>
      </c>
      <c r="G6">
        <v>-0.043000267511196</v>
      </c>
      <c r="H6">
        <v>-0.06050786792892301</v>
      </c>
      <c r="I6">
        <v>-0.016761163395853</v>
      </c>
    </row>
    <row r="7" spans="1:9">
      <c r="A7" s="1" t="s">
        <v>19</v>
      </c>
      <c r="B7">
        <f>HYPERLINK("https://www.suredividend.com/sure-analysis-research-database/","AbCellera Biologics Inc")</f>
        <v>0</v>
      </c>
      <c r="C7">
        <v>0.057663125948406</v>
      </c>
      <c r="D7">
        <v>0.057663125948406</v>
      </c>
      <c r="E7">
        <v>-0.376565295169946</v>
      </c>
      <c r="F7">
        <v>-0.311944718657453</v>
      </c>
      <c r="G7">
        <v>-0.365209471766848</v>
      </c>
      <c r="H7">
        <v>-0.557460317460317</v>
      </c>
      <c r="I7">
        <v>-0.8816638370118841</v>
      </c>
    </row>
    <row r="8" spans="1:9">
      <c r="A8" s="1" t="s">
        <v>20</v>
      </c>
      <c r="B8">
        <f>HYPERLINK("https://www.suredividend.com/sure-analysis-research-database/","Asbury Automotive Group Inc")</f>
        <v>0</v>
      </c>
      <c r="C8">
        <v>-0.061315822493621</v>
      </c>
      <c r="D8">
        <v>0.170003127932436</v>
      </c>
      <c r="E8">
        <v>-0.07691358532472301</v>
      </c>
      <c r="F8">
        <v>0.25205020920502</v>
      </c>
      <c r="G8">
        <v>0.257310924369748</v>
      </c>
      <c r="H8">
        <v>0.132226818686308</v>
      </c>
      <c r="I8">
        <v>2.080713795470144</v>
      </c>
    </row>
    <row r="9" spans="1:9">
      <c r="A9" s="1" t="s">
        <v>21</v>
      </c>
      <c r="B9">
        <f>HYPERLINK("https://www.suredividend.com/sure-analysis-ABM/","ABM Industries Inc.")</f>
        <v>0</v>
      </c>
      <c r="C9">
        <v>0.066948555320648</v>
      </c>
      <c r="D9">
        <v>0.08014268727705101</v>
      </c>
      <c r="E9">
        <v>-0.049136330235664</v>
      </c>
      <c r="F9">
        <v>0.032772683139792</v>
      </c>
      <c r="G9">
        <v>0.026726073010124</v>
      </c>
      <c r="H9">
        <v>-0.006059492000551001</v>
      </c>
      <c r="I9">
        <v>0.602059892067299</v>
      </c>
    </row>
    <row r="10" spans="1:9">
      <c r="A10" s="1" t="s">
        <v>22</v>
      </c>
      <c r="B10">
        <f>HYPERLINK("https://www.suredividend.com/sure-analysis-ABR/","Arbor Realty Trust Inc.")</f>
        <v>0</v>
      </c>
      <c r="C10">
        <v>0.09501661129568001</v>
      </c>
      <c r="D10">
        <v>0.545908221079884</v>
      </c>
      <c r="E10">
        <v>0.176596580159211</v>
      </c>
      <c r="F10">
        <v>0.365708129609679</v>
      </c>
      <c r="G10">
        <v>0.229006950451928</v>
      </c>
      <c r="H10">
        <v>0.15187564216368</v>
      </c>
      <c r="I10">
        <v>1.343805555160496</v>
      </c>
    </row>
    <row r="11" spans="1:9">
      <c r="A11" s="1" t="s">
        <v>23</v>
      </c>
      <c r="B11">
        <f>HYPERLINK("https://www.suredividend.com/sure-analysis-research-database/","Absci Corp")</f>
        <v>0</v>
      </c>
      <c r="C11">
        <v>0.274509803921568</v>
      </c>
      <c r="D11">
        <v>0.5600000000000001</v>
      </c>
      <c r="E11">
        <v>-0.417910447761194</v>
      </c>
      <c r="F11">
        <v>-0.07142857142857101</v>
      </c>
      <c r="G11">
        <v>-0.453781512605042</v>
      </c>
      <c r="H11">
        <v>-0.9356223175965661</v>
      </c>
      <c r="I11">
        <v>-0.909680407596109</v>
      </c>
    </row>
    <row r="12" spans="1:9">
      <c r="A12" s="1" t="s">
        <v>24</v>
      </c>
      <c r="B12">
        <f>HYPERLINK("https://www.suredividend.com/sure-analysis-research-database/","Arbutus Biopharma Corp")</f>
        <v>0</v>
      </c>
      <c r="C12">
        <v>-0.092511013215858</v>
      </c>
      <c r="D12">
        <v>-0.179282868525896</v>
      </c>
      <c r="E12">
        <v>-0.289655172413793</v>
      </c>
      <c r="F12">
        <v>-0.11587982832618</v>
      </c>
      <c r="G12">
        <v>-0.16260162601626</v>
      </c>
      <c r="H12">
        <v>-0.25090909090909</v>
      </c>
      <c r="I12">
        <v>-0.7865284974093261</v>
      </c>
    </row>
    <row r="13" spans="1:9">
      <c r="A13" s="1" t="s">
        <v>25</v>
      </c>
      <c r="B13">
        <f>HYPERLINK("https://www.suredividend.com/sure-analysis-research-database/","Associated Capital Group Inc")</f>
        <v>0</v>
      </c>
      <c r="C13">
        <v>0.04266742017519001</v>
      </c>
      <c r="D13">
        <v>0.017145377363691</v>
      </c>
      <c r="E13">
        <v>-0.001518017323256</v>
      </c>
      <c r="F13">
        <v>-0.118749149198873</v>
      </c>
      <c r="G13">
        <v>-0.110315994541342</v>
      </c>
      <c r="H13">
        <v>-0.028530659203816</v>
      </c>
      <c r="I13">
        <v>0.06166886289222701</v>
      </c>
    </row>
    <row r="14" spans="1:9">
      <c r="A14" s="1" t="s">
        <v>26</v>
      </c>
      <c r="B14">
        <f>HYPERLINK("https://www.suredividend.com/sure-analysis-research-database/","Arcosa Inc")</f>
        <v>0</v>
      </c>
      <c r="C14">
        <v>-0.004452592980618</v>
      </c>
      <c r="D14">
        <v>0.125460243953352</v>
      </c>
      <c r="E14">
        <v>0.281688146154935</v>
      </c>
      <c r="F14">
        <v>0.402249280152878</v>
      </c>
      <c r="G14">
        <v>0.486615183343339</v>
      </c>
      <c r="H14">
        <v>0.421888706627437</v>
      </c>
      <c r="I14">
        <v>2.62</v>
      </c>
    </row>
    <row r="15" spans="1:9">
      <c r="A15" s="1" t="s">
        <v>27</v>
      </c>
      <c r="B15">
        <f>HYPERLINK("https://www.suredividend.com/sure-analysis-research-database/","Acadia Pharmaceuticals Inc")</f>
        <v>0</v>
      </c>
      <c r="C15">
        <v>0.133333333333333</v>
      </c>
      <c r="D15">
        <v>0.283018867924528</v>
      </c>
      <c r="E15">
        <v>0.371659102370146</v>
      </c>
      <c r="F15">
        <v>0.708542713567839</v>
      </c>
      <c r="G15">
        <v>0.816967267869071</v>
      </c>
      <c r="H15">
        <v>0.257512713823393</v>
      </c>
      <c r="I15">
        <v>0.7871222076215501</v>
      </c>
    </row>
    <row r="16" spans="1:9">
      <c r="A16" s="1" t="s">
        <v>28</v>
      </c>
      <c r="B16">
        <f>HYPERLINK("https://www.suredividend.com/sure-analysis-research-database/","Accolade Inc")</f>
        <v>0</v>
      </c>
      <c r="C16">
        <v>0.085670962850644</v>
      </c>
      <c r="D16">
        <v>0.21150592216582</v>
      </c>
      <c r="E16">
        <v>0.135606661379857</v>
      </c>
      <c r="F16">
        <v>0.8382541720154041</v>
      </c>
      <c r="G16">
        <v>0.305378304466727</v>
      </c>
      <c r="H16">
        <v>-0.7030277892990461</v>
      </c>
      <c r="I16">
        <v>-0.517845117845117</v>
      </c>
    </row>
    <row r="17" spans="1:9">
      <c r="A17" s="1" t="s">
        <v>29</v>
      </c>
      <c r="B17">
        <f>HYPERLINK("https://www.suredividend.com/sure-analysis-research-database/","Acco Brands Corporation")</f>
        <v>0</v>
      </c>
      <c r="C17">
        <v>0.129629629629629</v>
      </c>
      <c r="D17">
        <v>0.399981639585054</v>
      </c>
      <c r="E17">
        <v>-0.022686490643424</v>
      </c>
      <c r="F17">
        <v>0.122437713907187</v>
      </c>
      <c r="G17">
        <v>-0.09979044302116201</v>
      </c>
      <c r="H17">
        <v>-0.25257005624104</v>
      </c>
      <c r="I17">
        <v>-0.432526466593484</v>
      </c>
    </row>
    <row r="18" spans="1:9">
      <c r="A18" s="1" t="s">
        <v>30</v>
      </c>
      <c r="B18">
        <f>HYPERLINK("https://www.suredividend.com/sure-analysis-research-database/","Accel Entertainment Inc")</f>
        <v>0</v>
      </c>
      <c r="C18">
        <v>0.047932330827067</v>
      </c>
      <c r="D18">
        <v>0.305620608899297</v>
      </c>
      <c r="E18">
        <v>0.169989506820566</v>
      </c>
      <c r="F18">
        <v>0.448051948051948</v>
      </c>
      <c r="G18">
        <v>-0.07698675496688701</v>
      </c>
      <c r="H18">
        <v>-0.002683363148479</v>
      </c>
      <c r="I18">
        <v>0.018264840182648</v>
      </c>
    </row>
    <row r="19" spans="1:9">
      <c r="A19" s="1" t="s">
        <v>31</v>
      </c>
      <c r="B19">
        <f>HYPERLINK("https://www.suredividend.com/sure-analysis-research-database/","Adicet Bio Inc")</f>
        <v>0</v>
      </c>
      <c r="C19">
        <v>-0.131868131868131</v>
      </c>
      <c r="D19">
        <v>-0.6261829652996841</v>
      </c>
      <c r="E19">
        <v>-0.72945205479452</v>
      </c>
      <c r="F19">
        <v>-0.7348993288590601</v>
      </c>
      <c r="G19">
        <v>-0.8645714285714281</v>
      </c>
      <c r="H19">
        <v>-0.6740027510316361</v>
      </c>
      <c r="I19">
        <v>-0.807473598700243</v>
      </c>
    </row>
    <row r="20" spans="1:9">
      <c r="A20" s="1" t="s">
        <v>32</v>
      </c>
      <c r="B20">
        <f>HYPERLINK("https://www.suredividend.com/sure-analysis-research-database/","Archer Aviation Inc")</f>
        <v>0</v>
      </c>
      <c r="C20">
        <v>0.42789598108747</v>
      </c>
      <c r="D20">
        <v>1.932038834951456</v>
      </c>
      <c r="E20">
        <v>1.082758620689655</v>
      </c>
      <c r="F20">
        <v>2.229946524064171</v>
      </c>
      <c r="G20">
        <v>0.372727272727272</v>
      </c>
      <c r="H20">
        <v>-0.388663967611336</v>
      </c>
      <c r="I20">
        <v>-0.394182547642928</v>
      </c>
    </row>
    <row r="21" spans="1:9">
      <c r="A21" s="1" t="s">
        <v>33</v>
      </c>
      <c r="B21">
        <f>HYPERLINK("https://www.suredividend.com/sure-analysis-research-database/","ACI Worldwide Inc")</f>
        <v>0</v>
      </c>
      <c r="C21">
        <v>0.021459227467811</v>
      </c>
      <c r="D21">
        <v>-0.033306255077173</v>
      </c>
      <c r="E21">
        <v>-0.154829545454545</v>
      </c>
      <c r="F21">
        <v>0.034782608695652</v>
      </c>
      <c r="G21">
        <v>-0.164912280701754</v>
      </c>
      <c r="H21">
        <v>-0.289764249477767</v>
      </c>
      <c r="I21">
        <v>-0.118518518518518</v>
      </c>
    </row>
    <row r="22" spans="1:9">
      <c r="A22" s="1" t="s">
        <v>34</v>
      </c>
      <c r="B22">
        <f>HYPERLINK("https://www.suredividend.com/sure-analysis-research-database/","Axcelis Technologies Inc")</f>
        <v>0</v>
      </c>
      <c r="C22">
        <v>0.026796522504677</v>
      </c>
      <c r="D22">
        <v>0.521980262621319</v>
      </c>
      <c r="E22">
        <v>0.580904778041341</v>
      </c>
      <c r="F22">
        <v>1.351436491935484</v>
      </c>
      <c r="G22">
        <v>1.566850068775791</v>
      </c>
      <c r="H22">
        <v>3.776298950601485</v>
      </c>
      <c r="I22">
        <v>7.043534482758622</v>
      </c>
    </row>
    <row r="23" spans="1:9">
      <c r="A23" s="1" t="s">
        <v>35</v>
      </c>
      <c r="B23">
        <f>HYPERLINK("https://www.suredividend.com/sure-analysis-research-database/","Arcellx Inc")</f>
        <v>0</v>
      </c>
      <c r="C23">
        <v>0.07457949857188101</v>
      </c>
      <c r="D23">
        <v>-0.221251149954001</v>
      </c>
      <c r="E23">
        <v>0.035474006116207</v>
      </c>
      <c r="F23">
        <v>0.092963202065848</v>
      </c>
      <c r="G23">
        <v>0.6820665673124691</v>
      </c>
      <c r="H23">
        <v>1.01547619047619</v>
      </c>
      <c r="I23">
        <v>1.01547619047619</v>
      </c>
    </row>
    <row r="24" spans="1:9">
      <c r="A24" s="1" t="s">
        <v>36</v>
      </c>
      <c r="B24">
        <f>HYPERLINK("https://www.suredividend.com/sure-analysis-research-database/","ACM Research Inc")</f>
        <v>0</v>
      </c>
      <c r="C24">
        <v>-0.192852326365475</v>
      </c>
      <c r="D24">
        <v>0.3096280087527351</v>
      </c>
      <c r="E24">
        <v>-0.006639004149377001</v>
      </c>
      <c r="F24">
        <v>0.552529182879377</v>
      </c>
      <c r="G24">
        <v>-0.308092485549132</v>
      </c>
      <c r="H24">
        <v>-0.6054713249835201</v>
      </c>
      <c r="I24">
        <v>1.436244479270551</v>
      </c>
    </row>
    <row r="25" spans="1:9">
      <c r="A25" s="1" t="s">
        <v>37</v>
      </c>
      <c r="B25">
        <f>HYPERLINK("https://www.suredividend.com/sure-analysis-research-database/","ACNB Corp.")</f>
        <v>0</v>
      </c>
      <c r="C25">
        <v>0.04164170161773501</v>
      </c>
      <c r="D25">
        <v>0.241945392979097</v>
      </c>
      <c r="E25">
        <v>-0.104669008209131</v>
      </c>
      <c r="F25">
        <v>-0.104219212527018</v>
      </c>
      <c r="G25">
        <v>0.053231029270553</v>
      </c>
      <c r="H25">
        <v>0.326228582762461</v>
      </c>
      <c r="I25">
        <v>0.211536250265687</v>
      </c>
    </row>
    <row r="26" spans="1:9">
      <c r="A26" s="1" t="s">
        <v>38</v>
      </c>
      <c r="B26">
        <f>HYPERLINK("https://www.suredividend.com/sure-analysis-ACRE/","Ares Commercial Real Estate Corp")</f>
        <v>0</v>
      </c>
      <c r="C26">
        <v>0.044422507403751</v>
      </c>
      <c r="D26">
        <v>0.335740527983637</v>
      </c>
      <c r="E26">
        <v>-0.08954003700357101</v>
      </c>
      <c r="F26">
        <v>0.101566973814357</v>
      </c>
      <c r="G26">
        <v>-0.121554300896712</v>
      </c>
      <c r="H26">
        <v>-0.170742412841735</v>
      </c>
      <c r="I26">
        <v>0.148688996254275</v>
      </c>
    </row>
    <row r="27" spans="1:9">
      <c r="A27" s="1" t="s">
        <v>39</v>
      </c>
      <c r="B27">
        <f>HYPERLINK("https://www.suredividend.com/sure-analysis-research-database/","Aclaris Therapeutics Inc")</f>
        <v>0</v>
      </c>
      <c r="C27">
        <v>-0.06112702960840401</v>
      </c>
      <c r="D27">
        <v>0.09222222222222201</v>
      </c>
      <c r="E27">
        <v>-0.300355871886121</v>
      </c>
      <c r="F27">
        <v>-0.375873015873015</v>
      </c>
      <c r="G27">
        <v>-0.317361111111111</v>
      </c>
      <c r="H27">
        <v>-0.340710932260228</v>
      </c>
      <c r="I27">
        <v>-0.447907891041842</v>
      </c>
    </row>
    <row r="28" spans="1:9">
      <c r="A28" s="1" t="s">
        <v>40</v>
      </c>
      <c r="B28">
        <f>HYPERLINK("https://www.suredividend.com/sure-analysis-research-database/","Acrivon Therapeutics Inc")</f>
        <v>0</v>
      </c>
      <c r="C28">
        <v>-0.102661596958174</v>
      </c>
      <c r="D28">
        <v>-0.063492063492063</v>
      </c>
      <c r="E28">
        <v>-0.380577427821522</v>
      </c>
      <c r="F28">
        <v>0.024305555555555</v>
      </c>
      <c r="G28">
        <v>-0.290865384615384</v>
      </c>
      <c r="H28">
        <v>-0.290865384615384</v>
      </c>
      <c r="I28">
        <v>-0.290865384615384</v>
      </c>
    </row>
    <row r="29" spans="1:9">
      <c r="A29" s="1" t="s">
        <v>41</v>
      </c>
      <c r="B29">
        <f>HYPERLINK("https://www.suredividend.com/sure-analysis-research-database/","Enact Holdings Inc")</f>
        <v>0</v>
      </c>
      <c r="C29">
        <v>0.111975116640746</v>
      </c>
      <c r="D29">
        <v>0.225075496348332</v>
      </c>
      <c r="E29">
        <v>0.161015848272278</v>
      </c>
      <c r="F29">
        <v>0.208188646406272</v>
      </c>
      <c r="G29">
        <v>0.175083303545382</v>
      </c>
      <c r="H29">
        <v>0.5283329414530921</v>
      </c>
      <c r="I29">
        <v>0.5283329414530921</v>
      </c>
    </row>
    <row r="30" spans="1:9">
      <c r="A30" s="1" t="s">
        <v>42</v>
      </c>
      <c r="B30">
        <f>HYPERLINK("https://www.suredividend.com/sure-analysis-research-database/","ACV Auctions Inc")</f>
        <v>0</v>
      </c>
      <c r="C30">
        <v>0.01201923076923</v>
      </c>
      <c r="D30">
        <v>0.244641537324464</v>
      </c>
      <c r="E30">
        <v>0.5089605734767021</v>
      </c>
      <c r="F30">
        <v>1.05115712545676</v>
      </c>
      <c r="G30">
        <v>1.248331108144192</v>
      </c>
      <c r="H30">
        <v>-0.268779852366478</v>
      </c>
      <c r="I30">
        <v>-0.46112</v>
      </c>
    </row>
    <row r="31" spans="1:9">
      <c r="A31" s="1" t="s">
        <v>43</v>
      </c>
      <c r="B31">
        <f>HYPERLINK("https://www.suredividend.com/sure-analysis-ADC/","Agree Realty Corp.")</f>
        <v>0</v>
      </c>
      <c r="C31">
        <v>-0.017079950259673</v>
      </c>
      <c r="D31">
        <v>-0.019344009560255</v>
      </c>
      <c r="E31">
        <v>-0.11007109773075</v>
      </c>
      <c r="F31">
        <v>-0.06766173900599701</v>
      </c>
      <c r="G31">
        <v>-0.117793087601094</v>
      </c>
      <c r="H31">
        <v>-0.06924795234549501</v>
      </c>
      <c r="I31">
        <v>0.4492362861803521</v>
      </c>
    </row>
    <row r="32" spans="1:9">
      <c r="A32" s="1" t="s">
        <v>44</v>
      </c>
      <c r="B32">
        <f>HYPERLINK("https://www.suredividend.com/sure-analysis-research-database/","Adeia Inc")</f>
        <v>0</v>
      </c>
      <c r="C32">
        <v>0.104109589041095</v>
      </c>
      <c r="D32">
        <v>0.6809176225234611</v>
      </c>
      <c r="E32">
        <v>0.099470726250886</v>
      </c>
      <c r="F32">
        <v>0.296625983998627</v>
      </c>
      <c r="G32">
        <v>-0.284530713693928</v>
      </c>
      <c r="H32">
        <v>-0.423079676084767</v>
      </c>
      <c r="I32">
        <v>-0.182467339265911</v>
      </c>
    </row>
    <row r="33" spans="1:9">
      <c r="A33" s="1" t="s">
        <v>45</v>
      </c>
      <c r="B33">
        <f>HYPERLINK("https://www.suredividend.com/sure-analysis-research-database/","Adma Biologics Inc")</f>
        <v>0</v>
      </c>
      <c r="C33">
        <v>0.128065395095367</v>
      </c>
      <c r="D33">
        <v>0.189655172413792</v>
      </c>
      <c r="E33">
        <v>0.101063829787233</v>
      </c>
      <c r="F33">
        <v>0.06701030927835</v>
      </c>
      <c r="G33">
        <v>0.9714285714285711</v>
      </c>
      <c r="H33">
        <v>1.620253164556961</v>
      </c>
      <c r="I33">
        <v>-0.335473515248796</v>
      </c>
    </row>
    <row r="34" spans="1:9">
      <c r="A34" s="1" t="s">
        <v>46</v>
      </c>
      <c r="B34">
        <f>HYPERLINK("https://www.suredividend.com/sure-analysis-research-database/","Adient plc")</f>
        <v>0</v>
      </c>
      <c r="C34">
        <v>0.14274730907227</v>
      </c>
      <c r="D34">
        <v>0.299242424242424</v>
      </c>
      <c r="E34">
        <v>-0.034430489389346</v>
      </c>
      <c r="F34">
        <v>0.285384837128855</v>
      </c>
      <c r="G34">
        <v>0.266761363636363</v>
      </c>
      <c r="H34">
        <v>0.08018410852713101</v>
      </c>
      <c r="I34">
        <v>-0.04516974522156501</v>
      </c>
    </row>
    <row r="35" spans="1:9">
      <c r="A35" s="1" t="s">
        <v>47</v>
      </c>
      <c r="B35">
        <f>HYPERLINK("https://www.suredividend.com/sure-analysis-research-database/","Adaptive Biotechnologies Corp")</f>
        <v>0</v>
      </c>
      <c r="C35">
        <v>0.043413173652694</v>
      </c>
      <c r="D35">
        <v>-0.070666666666666</v>
      </c>
      <c r="E35">
        <v>-0.29238578680203</v>
      </c>
      <c r="F35">
        <v>-0.08769633507853401</v>
      </c>
      <c r="G35">
        <v>-0.295247724974722</v>
      </c>
      <c r="H35">
        <v>-0.8062812673707611</v>
      </c>
      <c r="I35">
        <v>-0.8270471464019851</v>
      </c>
    </row>
    <row r="36" spans="1:9">
      <c r="A36" s="1" t="s">
        <v>48</v>
      </c>
      <c r="B36">
        <f>HYPERLINK("https://www.suredividend.com/sure-analysis-research-database/","AdTheorent Holding Company Inc")</f>
        <v>0</v>
      </c>
      <c r="C36">
        <v>0.18978102189781</v>
      </c>
      <c r="D36">
        <v>0.139860139860139</v>
      </c>
      <c r="E36">
        <v>-0.151041666666666</v>
      </c>
      <c r="F36">
        <v>-0.018072289156626</v>
      </c>
      <c r="G36">
        <v>-0.47923322683706</v>
      </c>
      <c r="H36">
        <v>-0.8403525954946131</v>
      </c>
      <c r="I36">
        <v>-0.8403525954946131</v>
      </c>
    </row>
    <row r="37" spans="1:9">
      <c r="A37" s="1" t="s">
        <v>49</v>
      </c>
      <c r="B37">
        <f>HYPERLINK("https://www.suredividend.com/sure-analysis-research-database/","ADTRAN Holdings Inc")</f>
        <v>0</v>
      </c>
      <c r="C37">
        <v>-0.153918791312558</v>
      </c>
      <c r="D37">
        <v>0.048934675719972</v>
      </c>
      <c r="E37">
        <v>-0.493613654346105</v>
      </c>
      <c r="F37">
        <v>-0.5105911141699161</v>
      </c>
      <c r="G37">
        <v>-0.624734047008761</v>
      </c>
      <c r="H37">
        <v>-0.538394168104891</v>
      </c>
      <c r="I37">
        <v>-0.538394168104891</v>
      </c>
    </row>
    <row r="38" spans="1:9">
      <c r="A38" s="1" t="s">
        <v>50</v>
      </c>
      <c r="B38">
        <f>HYPERLINK("https://www.suredividend.com/sure-analysis-research-database/","Addus HomeCare Corporation")</f>
        <v>0</v>
      </c>
      <c r="C38">
        <v>0.044542447629547</v>
      </c>
      <c r="D38">
        <v>0.134474913184049</v>
      </c>
      <c r="E38">
        <v>-0.13447834825507</v>
      </c>
      <c r="F38">
        <v>-0.047743491808221</v>
      </c>
      <c r="G38">
        <v>-0.004622819920151001</v>
      </c>
      <c r="H38">
        <v>0.000422386483632</v>
      </c>
      <c r="I38">
        <v>0.37204923968139</v>
      </c>
    </row>
    <row r="39" spans="1:9">
      <c r="A39" s="1" t="s">
        <v>51</v>
      </c>
      <c r="B39">
        <f>HYPERLINK("https://www.suredividend.com/sure-analysis-research-database/","Advantage Solutions Inc.")</f>
        <v>0</v>
      </c>
      <c r="C39">
        <v>0.097457627118644</v>
      </c>
      <c r="D39">
        <v>1.194915254237288</v>
      </c>
      <c r="E39">
        <v>-0.07499999999999901</v>
      </c>
      <c r="F39">
        <v>0.245192307692307</v>
      </c>
      <c r="G39">
        <v>-0.403225806451612</v>
      </c>
      <c r="H39">
        <v>-0.7357142857142851</v>
      </c>
      <c r="I39">
        <v>-0.738383838383838</v>
      </c>
    </row>
    <row r="40" spans="1:9">
      <c r="A40" s="1" t="s">
        <v>52</v>
      </c>
      <c r="B40">
        <f>HYPERLINK("https://www.suredividend.com/sure-analysis-research-database/","Advanced Energy Industries Inc.")</f>
        <v>0</v>
      </c>
      <c r="C40">
        <v>0.100924845110891</v>
      </c>
      <c r="D40">
        <v>0.404967863694855</v>
      </c>
      <c r="E40">
        <v>0.240455794914546</v>
      </c>
      <c r="F40">
        <v>0.4339428457818501</v>
      </c>
      <c r="G40">
        <v>0.3273301621462451</v>
      </c>
      <c r="H40">
        <v>0.204245355292157</v>
      </c>
      <c r="I40">
        <v>1.051572939516999</v>
      </c>
    </row>
    <row r="41" spans="1:9">
      <c r="A41" s="1" t="s">
        <v>53</v>
      </c>
      <c r="B41">
        <f>HYPERLINK("https://www.suredividend.com/sure-analysis-AEL/","American Equity Investment Life Holding Co")</f>
        <v>0</v>
      </c>
      <c r="C41">
        <v>0.033816425120772</v>
      </c>
      <c r="D41">
        <v>0.385651385651385</v>
      </c>
      <c r="E41">
        <v>0.117610194276164</v>
      </c>
      <c r="F41">
        <v>0.172731258220079</v>
      </c>
      <c r="G41">
        <v>0.438172043010752</v>
      </c>
      <c r="H41">
        <v>0.6461538461538461</v>
      </c>
      <c r="I41">
        <v>0.554992980732619</v>
      </c>
    </row>
    <row r="42" spans="1:9">
      <c r="A42" s="1" t="s">
        <v>54</v>
      </c>
      <c r="B42">
        <f>HYPERLINK("https://www.suredividend.com/sure-analysis-research-database/","American Eagle Outfitters Inc.")</f>
        <v>0</v>
      </c>
      <c r="C42">
        <v>0.228241284115517</v>
      </c>
      <c r="D42">
        <v>0.177104291757101</v>
      </c>
      <c r="E42">
        <v>-0.08516126649141501</v>
      </c>
      <c r="F42">
        <v>0.081293477311755</v>
      </c>
      <c r="G42">
        <v>0.226224367702273</v>
      </c>
      <c r="H42">
        <v>-0.5430911757561591</v>
      </c>
      <c r="I42">
        <v>-0.348128391508999</v>
      </c>
    </row>
    <row r="43" spans="1:9">
      <c r="A43" s="1" t="s">
        <v>55</v>
      </c>
      <c r="B43">
        <f>HYPERLINK("https://www.suredividend.com/sure-analysis-research-database/","Aeva Technologies Inc")</f>
        <v>0</v>
      </c>
      <c r="C43">
        <v>-0.058823529411764</v>
      </c>
      <c r="D43">
        <v>0.108910891089109</v>
      </c>
      <c r="E43">
        <v>-0.4136125654450261</v>
      </c>
      <c r="F43">
        <v>-0.176470588235294</v>
      </c>
      <c r="G43">
        <v>-0.74074074074074</v>
      </c>
      <c r="H43">
        <v>-0.8669833729216151</v>
      </c>
      <c r="I43">
        <v>-0.886294416243654</v>
      </c>
    </row>
    <row r="44" spans="1:9">
      <c r="A44" s="1" t="s">
        <v>56</v>
      </c>
      <c r="B44">
        <f>HYPERLINK("https://www.suredividend.com/sure-analysis-research-database/","AFC Gamma Inc")</f>
        <v>0</v>
      </c>
      <c r="C44">
        <v>0.08022239872915</v>
      </c>
      <c r="D44">
        <v>0.27787121689045</v>
      </c>
      <c r="E44">
        <v>-0.04599563683298601</v>
      </c>
      <c r="F44">
        <v>-0.027800613343436</v>
      </c>
      <c r="G44">
        <v>-0.031021559770295</v>
      </c>
      <c r="H44">
        <v>-0.108728561972855</v>
      </c>
      <c r="I44">
        <v>-0.197204382319607</v>
      </c>
    </row>
    <row r="45" spans="1:9">
      <c r="A45" s="1" t="s">
        <v>57</v>
      </c>
      <c r="B45">
        <f>HYPERLINK("https://www.suredividend.com/sure-analysis-research-database/","Affimed N.V.")</f>
        <v>0</v>
      </c>
      <c r="C45">
        <v>-0.037704918032786</v>
      </c>
      <c r="D45">
        <v>-0.32310885608856</v>
      </c>
      <c r="E45">
        <v>-0.510833333333333</v>
      </c>
      <c r="F45">
        <v>-0.526612903225806</v>
      </c>
      <c r="G45">
        <v>-0.802356902356902</v>
      </c>
      <c r="H45">
        <v>-0.914804063860667</v>
      </c>
      <c r="I45">
        <v>-0.6442424242424241</v>
      </c>
    </row>
    <row r="46" spans="1:9">
      <c r="A46" s="1" t="s">
        <v>58</v>
      </c>
      <c r="B46">
        <f>HYPERLINK("https://www.suredividend.com/sure-analysis-research-database/","Agenus Inc")</f>
        <v>0</v>
      </c>
      <c r="C46">
        <v>-0.04605263157894701</v>
      </c>
      <c r="D46">
        <v>-0.026845637583892</v>
      </c>
      <c r="E46">
        <v>-0.413833528722157</v>
      </c>
      <c r="F46">
        <v>-0.372321544521882</v>
      </c>
      <c r="G46">
        <v>-0.422839629025196</v>
      </c>
      <c r="H46">
        <v>-0.723593663623019</v>
      </c>
      <c r="I46">
        <v>-0.134224982087413</v>
      </c>
    </row>
    <row r="47" spans="1:9">
      <c r="A47" s="1" t="s">
        <v>59</v>
      </c>
      <c r="B47">
        <f>HYPERLINK("https://www.suredividend.com/sure-analysis-research-database/","Agios Pharmaceuticals Inc")</f>
        <v>0</v>
      </c>
      <c r="C47">
        <v>-0.079488999290276</v>
      </c>
      <c r="D47">
        <v>0.134236991692173</v>
      </c>
      <c r="E47">
        <v>-0.141059602649006</v>
      </c>
      <c r="F47">
        <v>-0.076210826210826</v>
      </c>
      <c r="G47">
        <v>0.03967935871743401</v>
      </c>
      <c r="H47">
        <v>-0.449490662139218</v>
      </c>
      <c r="I47">
        <v>-0.671229404309252</v>
      </c>
    </row>
    <row r="48" spans="1:9">
      <c r="A48" s="1" t="s">
        <v>60</v>
      </c>
      <c r="B48">
        <f>HYPERLINK("https://www.suredividend.com/sure-analysis-AGM/","Federal Agricultural Mortgage Corp.")</f>
        <v>0</v>
      </c>
      <c r="C48">
        <v>0.146274021844324</v>
      </c>
      <c r="D48">
        <v>0.316156049658658</v>
      </c>
      <c r="E48">
        <v>0.250613729901524</v>
      </c>
      <c r="F48">
        <v>0.494834069091226</v>
      </c>
      <c r="G48">
        <v>0.57896140104972</v>
      </c>
      <c r="H48">
        <v>0.8361789936782371</v>
      </c>
      <c r="I48">
        <v>1.157903572344166</v>
      </c>
    </row>
    <row r="49" spans="1:9">
      <c r="A49" s="1" t="s">
        <v>61</v>
      </c>
      <c r="B49">
        <f>HYPERLINK("https://www.suredividend.com/sure-analysis-research-database/","Agiliti Inc")</f>
        <v>0</v>
      </c>
      <c r="C49">
        <v>0.07028360049321801</v>
      </c>
      <c r="D49">
        <v>0.059182428309944</v>
      </c>
      <c r="E49">
        <v>-0.09865005192108001</v>
      </c>
      <c r="F49">
        <v>0.064377682403433</v>
      </c>
      <c r="G49">
        <v>-0.148184494602551</v>
      </c>
      <c r="H49">
        <v>-0.09157509157509101</v>
      </c>
      <c r="I49">
        <v>0.058536585365853</v>
      </c>
    </row>
    <row r="50" spans="1:9">
      <c r="A50" s="1" t="s">
        <v>62</v>
      </c>
      <c r="B50">
        <f>HYPERLINK("https://www.suredividend.com/sure-analysis-research-database/","Argan, Inc.")</f>
        <v>0</v>
      </c>
      <c r="C50">
        <v>-0.008371186236282</v>
      </c>
      <c r="D50">
        <v>-0.022523805396302</v>
      </c>
      <c r="E50">
        <v>-0.025838600682678</v>
      </c>
      <c r="F50">
        <v>0.09130824273659301</v>
      </c>
      <c r="G50">
        <v>0.109446457332549</v>
      </c>
      <c r="H50">
        <v>-0.08126616280233601</v>
      </c>
      <c r="I50">
        <v>0.157467822863728</v>
      </c>
    </row>
    <row r="51" spans="1:9">
      <c r="A51" s="1" t="s">
        <v>63</v>
      </c>
      <c r="B51">
        <f>HYPERLINK("https://www.suredividend.com/sure-analysis-research-database/","Agilysys, Inc")</f>
        <v>0</v>
      </c>
      <c r="C51">
        <v>0.07258064516129001</v>
      </c>
      <c r="D51">
        <v>-0.050616482803374</v>
      </c>
      <c r="E51">
        <v>-0.118568502229184</v>
      </c>
      <c r="F51">
        <v>-0.07568865301996401</v>
      </c>
      <c r="G51">
        <v>0.467696629213483</v>
      </c>
      <c r="H51">
        <v>0.312578503499013</v>
      </c>
      <c r="I51">
        <v>3.969429347826087</v>
      </c>
    </row>
    <row r="52" spans="1:9">
      <c r="A52" s="1" t="s">
        <v>64</v>
      </c>
      <c r="B52">
        <f>HYPERLINK("https://www.suredividend.com/sure-analysis-research-database/","AdaptHealth Corp")</f>
        <v>0</v>
      </c>
      <c r="C52">
        <v>0.121035058430717</v>
      </c>
      <c r="D52">
        <v>0.161764705882352</v>
      </c>
      <c r="E52">
        <v>-0.372429906542056</v>
      </c>
      <c r="F52">
        <v>-0.301248699271592</v>
      </c>
      <c r="G52">
        <v>-0.459557344064386</v>
      </c>
      <c r="H52">
        <v>-0.4263135412217</v>
      </c>
      <c r="I52">
        <v>-0.4263135412217</v>
      </c>
    </row>
    <row r="53" spans="1:9">
      <c r="A53" s="1" t="s">
        <v>65</v>
      </c>
      <c r="B53">
        <f>HYPERLINK("https://www.suredividend.com/sure-analysis-research-database/","Armada Hoffler Properties Inc")</f>
        <v>0</v>
      </c>
      <c r="C53">
        <v>0.018596787827557</v>
      </c>
      <c r="D53">
        <v>0.046433874931612</v>
      </c>
      <c r="E53">
        <v>-0.03173187410103701</v>
      </c>
      <c r="F53">
        <v>0.083613604071869</v>
      </c>
      <c r="G53">
        <v>-0.06839741161372101</v>
      </c>
      <c r="H53">
        <v>0.036434321888116</v>
      </c>
      <c r="I53">
        <v>0.012868898620649</v>
      </c>
    </row>
    <row r="54" spans="1:9">
      <c r="A54" s="1" t="s">
        <v>66</v>
      </c>
      <c r="B54">
        <f>HYPERLINK("https://www.suredividend.com/sure-analysis-research-database/","Ashford Hospitality Trust Inc")</f>
        <v>0</v>
      </c>
      <c r="C54">
        <v>-0.119700748129675</v>
      </c>
      <c r="D54">
        <v>-0.169411764705882</v>
      </c>
      <c r="E54">
        <v>-0.4949928469241771</v>
      </c>
      <c r="F54">
        <v>-0.210290827740492</v>
      </c>
      <c r="G54">
        <v>-0.643073811931243</v>
      </c>
      <c r="H54">
        <v>-0.7629281396910671</v>
      </c>
      <c r="I54">
        <v>-0.9941207409931581</v>
      </c>
    </row>
    <row r="55" spans="1:9">
      <c r="A55" s="1" t="s">
        <v>67</v>
      </c>
      <c r="B55">
        <f>HYPERLINK("https://www.suredividend.com/sure-analysis-research-database/","C3.ai Inc")</f>
        <v>0</v>
      </c>
      <c r="C55">
        <v>0.04802561366061901</v>
      </c>
      <c r="D55">
        <v>1.257471264367816</v>
      </c>
      <c r="E55">
        <v>0.517774343122102</v>
      </c>
      <c r="F55">
        <v>2.510277033065237</v>
      </c>
      <c r="G55">
        <v>0.901258470474346</v>
      </c>
      <c r="H55">
        <v>-0.211244979919678</v>
      </c>
      <c r="I55">
        <v>-0.5753054384257751</v>
      </c>
    </row>
    <row r="56" spans="1:9">
      <c r="A56" s="1" t="s">
        <v>68</v>
      </c>
      <c r="B56">
        <f>HYPERLINK("https://www.suredividend.com/sure-analysis-research-database/","Albany International Corp.")</f>
        <v>0</v>
      </c>
      <c r="C56">
        <v>0.028661042613021</v>
      </c>
      <c r="D56">
        <v>0.035408104945159</v>
      </c>
      <c r="E56">
        <v>-0.15890437367957</v>
      </c>
      <c r="F56">
        <v>-0.029826386763775</v>
      </c>
      <c r="G56">
        <v>0.05170505373526101</v>
      </c>
      <c r="H56">
        <v>0.133676300908752</v>
      </c>
      <c r="I56">
        <v>0.552235980343675</v>
      </c>
    </row>
    <row r="57" spans="1:9">
      <c r="A57" s="1" t="s">
        <v>69</v>
      </c>
      <c r="B57">
        <f>HYPERLINK("https://www.suredividend.com/sure-analysis-research-database/","Arteris Inc")</f>
        <v>0</v>
      </c>
      <c r="C57">
        <v>-0.001436781609195</v>
      </c>
      <c r="D57">
        <v>0.7418546365914781</v>
      </c>
      <c r="E57">
        <v>0.119162640901771</v>
      </c>
      <c r="F57">
        <v>0.6162790697674421</v>
      </c>
      <c r="G57">
        <v>-0.210227272727272</v>
      </c>
      <c r="H57">
        <v>-0.618131868131868</v>
      </c>
      <c r="I57">
        <v>-0.618131868131868</v>
      </c>
    </row>
    <row r="58" spans="1:9">
      <c r="A58" s="1" t="s">
        <v>70</v>
      </c>
      <c r="B58">
        <f>HYPERLINK("https://www.suredividend.com/sure-analysis-research-database/","AAR Corp.")</f>
        <v>0</v>
      </c>
      <c r="C58">
        <v>0.027045769764216</v>
      </c>
      <c r="D58">
        <v>0.100297176820207</v>
      </c>
      <c r="E58">
        <v>0.140546784751636</v>
      </c>
      <c r="F58">
        <v>0.319376391982182</v>
      </c>
      <c r="G58">
        <v>0.323798882681564</v>
      </c>
      <c r="H58">
        <v>0.6906392694063921</v>
      </c>
      <c r="I58">
        <v>0.295778221564076</v>
      </c>
    </row>
    <row r="59" spans="1:9">
      <c r="A59" s="1" t="s">
        <v>71</v>
      </c>
      <c r="B59">
        <f>HYPERLINK("https://www.suredividend.com/sure-analysis-research-database/","Airsculpt Technologies Inc")</f>
        <v>0</v>
      </c>
      <c r="C59">
        <v>0.03110599078341</v>
      </c>
      <c r="D59">
        <v>0.8530020703933741</v>
      </c>
      <c r="E59">
        <v>0.273115220483641</v>
      </c>
      <c r="F59">
        <v>1.418918918918918</v>
      </c>
      <c r="G59">
        <v>0.144252528222764</v>
      </c>
      <c r="H59">
        <v>-0.412394214545048</v>
      </c>
      <c r="I59">
        <v>-0.412394214545048</v>
      </c>
    </row>
    <row r="60" spans="1:9">
      <c r="A60" s="1" t="s">
        <v>72</v>
      </c>
      <c r="B60">
        <f>HYPERLINK("https://www.suredividend.com/sure-analysis-AIT/","Applied Industrial Technologies Inc.")</f>
        <v>0</v>
      </c>
      <c r="C60">
        <v>-0.012481037098331</v>
      </c>
      <c r="D60">
        <v>0.07842834562419801</v>
      </c>
      <c r="E60">
        <v>-0.007963446836926001</v>
      </c>
      <c r="F60">
        <v>0.142223175780817</v>
      </c>
      <c r="G60">
        <v>0.411008248698455</v>
      </c>
      <c r="H60">
        <v>0.6458573720527191</v>
      </c>
      <c r="I60">
        <v>1.163528359579893</v>
      </c>
    </row>
    <row r="61" spans="1:9">
      <c r="A61" s="1" t="s">
        <v>73</v>
      </c>
      <c r="B61">
        <f>HYPERLINK("https://www.suredividend.com/sure-analysis-research-database/","Apartment Investment &amp; Management Co.")</f>
        <v>0</v>
      </c>
      <c r="C61">
        <v>-0.07110091743119201</v>
      </c>
      <c r="D61">
        <v>0.047865459249676</v>
      </c>
      <c r="E61">
        <v>0.05058365758754801</v>
      </c>
      <c r="F61">
        <v>0.137640449438202</v>
      </c>
      <c r="G61">
        <v>0.06251803657160801</v>
      </c>
      <c r="H61">
        <v>0.195519017608076</v>
      </c>
      <c r="I61">
        <v>0.584662036584172</v>
      </c>
    </row>
    <row r="62" spans="1:9">
      <c r="A62" s="1" t="s">
        <v>74</v>
      </c>
      <c r="B62">
        <f>HYPERLINK("https://www.suredividend.com/sure-analysis-research-database/","Aerojet Rocketdyne Holdings Inc")</f>
        <v>0</v>
      </c>
      <c r="C62">
        <v>0.05359738372093</v>
      </c>
      <c r="D62">
        <v>0.028191489361702</v>
      </c>
      <c r="E62">
        <v>0.039992826398852</v>
      </c>
      <c r="F62">
        <v>0.03683175397818701</v>
      </c>
      <c r="G62">
        <v>0.344228094575799</v>
      </c>
      <c r="H62">
        <v>0.239102564102564</v>
      </c>
      <c r="I62">
        <v>1.292629506485702</v>
      </c>
    </row>
    <row r="63" spans="1:9">
      <c r="A63" s="1" t="s">
        <v>75</v>
      </c>
      <c r="B63">
        <f>HYPERLINK("https://www.suredividend.com/sure-analysis-research-database/","a.k.a. Brands Holding Corp")</f>
        <v>0</v>
      </c>
      <c r="C63">
        <v>0.193893825472772</v>
      </c>
      <c r="D63">
        <v>0.622291021671826</v>
      </c>
      <c r="E63">
        <v>-0.66624203821656</v>
      </c>
      <c r="F63">
        <v>-0.587401574803149</v>
      </c>
      <c r="G63">
        <v>-0.729896907216494</v>
      </c>
      <c r="H63">
        <v>-0.9475475475475471</v>
      </c>
      <c r="I63">
        <v>-0.9475475475475471</v>
      </c>
    </row>
    <row r="64" spans="1:9">
      <c r="A64" s="1" t="s">
        <v>76</v>
      </c>
      <c r="B64">
        <f>HYPERLINK("https://www.suredividend.com/sure-analysis-AKR/","Acadia Realty Trust")</f>
        <v>0</v>
      </c>
      <c r="C64">
        <v>0.09726027397260201</v>
      </c>
      <c r="D64">
        <v>0.212772722455221</v>
      </c>
      <c r="E64">
        <v>0.047421655867718</v>
      </c>
      <c r="F64">
        <v>0.145955535208446</v>
      </c>
      <c r="G64">
        <v>0.034776767259197</v>
      </c>
      <c r="H64">
        <v>-0.17163496093447</v>
      </c>
      <c r="I64">
        <v>-0.298786226095482</v>
      </c>
    </row>
    <row r="65" spans="1:9">
      <c r="A65" s="1" t="s">
        <v>77</v>
      </c>
      <c r="B65">
        <f>HYPERLINK("https://www.suredividend.com/sure-analysis-research-database/","Akero Therapeutics Inc")</f>
        <v>0</v>
      </c>
      <c r="C65">
        <v>-0.011455525606469</v>
      </c>
      <c r="D65">
        <v>-0.022434473567303</v>
      </c>
      <c r="E65">
        <v>-0.082360300250208</v>
      </c>
      <c r="F65">
        <v>-0.196897810218978</v>
      </c>
      <c r="G65">
        <v>2.780927835051546</v>
      </c>
      <c r="H65">
        <v>1.08875177978168</v>
      </c>
      <c r="I65">
        <v>1.402292576419213</v>
      </c>
    </row>
    <row r="66" spans="1:9">
      <c r="A66" s="1" t="s">
        <v>78</v>
      </c>
      <c r="B66">
        <f>HYPERLINK("https://www.suredividend.com/sure-analysis-research-database/","Akoustis Technologies Inc")</f>
        <v>0</v>
      </c>
      <c r="C66">
        <v>-0.2875</v>
      </c>
      <c r="D66">
        <v>-0.161764705882353</v>
      </c>
      <c r="E66">
        <v>-0.472222222222222</v>
      </c>
      <c r="F66">
        <v>-0.191489361702127</v>
      </c>
      <c r="G66">
        <v>-0.5</v>
      </c>
      <c r="H66">
        <v>-0.7571884984025561</v>
      </c>
      <c r="I66">
        <v>-0.703125</v>
      </c>
    </row>
    <row r="67" spans="1:9">
      <c r="A67" s="1" t="s">
        <v>79</v>
      </c>
      <c r="B67">
        <f>HYPERLINK("https://www.suredividend.com/sure-analysis-research-database/","Akoya Biosciences Inc")</f>
        <v>0</v>
      </c>
      <c r="C67">
        <v>-0.053391053391053</v>
      </c>
      <c r="D67">
        <v>-0.09141274238227101</v>
      </c>
      <c r="E67">
        <v>-0.452877397831526</v>
      </c>
      <c r="F67">
        <v>-0.314524555903866</v>
      </c>
      <c r="G67">
        <v>-0.5494505494505491</v>
      </c>
      <c r="H67">
        <v>-0.6041038020519011</v>
      </c>
      <c r="I67">
        <v>-0.7481765834932821</v>
      </c>
    </row>
    <row r="68" spans="1:9">
      <c r="A68" s="1" t="s">
        <v>80</v>
      </c>
      <c r="B68">
        <f>HYPERLINK("https://www.suredividend.com/sure-analysis-research-database/","Alico Inc.")</f>
        <v>0</v>
      </c>
      <c r="C68">
        <v>-0.033528265107212</v>
      </c>
      <c r="D68">
        <v>0.05908941380533</v>
      </c>
      <c r="E68">
        <v>-0.094058573736103</v>
      </c>
      <c r="F68">
        <v>0.044849721190766</v>
      </c>
      <c r="G68">
        <v>-0.282738267461373</v>
      </c>
      <c r="H68">
        <v>-0.276375514111991</v>
      </c>
      <c r="I68">
        <v>-0.09635040753539501</v>
      </c>
    </row>
    <row r="69" spans="1:9">
      <c r="A69" s="1" t="s">
        <v>81</v>
      </c>
      <c r="B69">
        <f>HYPERLINK("https://www.suredividend.com/sure-analysis-ALE/","Allete, Inc.")</f>
        <v>0</v>
      </c>
      <c r="C69">
        <v>-0.03233532934131701</v>
      </c>
      <c r="D69">
        <v>-0.085820684438424</v>
      </c>
      <c r="E69">
        <v>-0.07694667800355401</v>
      </c>
      <c r="F69">
        <v>-0.103559767965258</v>
      </c>
      <c r="G69">
        <v>-0.062781695742085</v>
      </c>
      <c r="H69">
        <v>-0.141049511145399</v>
      </c>
      <c r="I69">
        <v>-0.100086713709516</v>
      </c>
    </row>
    <row r="70" spans="1:9">
      <c r="A70" s="1" t="s">
        <v>82</v>
      </c>
      <c r="B70">
        <f>HYPERLINK("https://www.suredividend.com/sure-analysis-research-database/","Alector Inc")</f>
        <v>0</v>
      </c>
      <c r="C70">
        <v>0.098673300165837</v>
      </c>
      <c r="D70">
        <v>0.009908536585365</v>
      </c>
      <c r="E70">
        <v>-0.301896733403582</v>
      </c>
      <c r="F70">
        <v>-0.282231852654387</v>
      </c>
      <c r="G70">
        <v>-0.410062333036509</v>
      </c>
      <c r="H70">
        <v>-0.743117487398216</v>
      </c>
      <c r="I70">
        <v>-0.6319444444444441</v>
      </c>
    </row>
    <row r="71" spans="1:9">
      <c r="A71" s="1" t="s">
        <v>83</v>
      </c>
      <c r="B71">
        <f>HYPERLINK("https://www.suredividend.com/sure-analysis-research-database/","Alexander &amp; Baldwin Inc.")</f>
        <v>0</v>
      </c>
      <c r="C71">
        <v>0.005823186871360001</v>
      </c>
      <c r="D71">
        <v>0.0055517038809</v>
      </c>
      <c r="E71">
        <v>-0.039885190481725</v>
      </c>
      <c r="F71">
        <v>0.039057629417362</v>
      </c>
      <c r="G71">
        <v>0.032535744757163</v>
      </c>
      <c r="H71">
        <v>0.039415738942531</v>
      </c>
      <c r="I71">
        <v>-0.08747292436111001</v>
      </c>
    </row>
    <row r="72" spans="1:9">
      <c r="A72" s="1" t="s">
        <v>84</v>
      </c>
      <c r="B72">
        <f>HYPERLINK("https://www.suredividend.com/sure-analysis-research-database/","Alamo Group Inc.")</f>
        <v>0</v>
      </c>
      <c r="C72">
        <v>-0.017751857491145</v>
      </c>
      <c r="D72">
        <v>0.023560402989514</v>
      </c>
      <c r="E72">
        <v>0.132768261000201</v>
      </c>
      <c r="F72">
        <v>0.285544045160636</v>
      </c>
      <c r="G72">
        <v>0.4352264434971591</v>
      </c>
      <c r="H72">
        <v>0.260866753765252</v>
      </c>
      <c r="I72">
        <v>0.9816976550530341</v>
      </c>
    </row>
    <row r="73" spans="1:9">
      <c r="A73" s="1" t="s">
        <v>85</v>
      </c>
      <c r="B73">
        <f>HYPERLINK("https://www.suredividend.com/sure-analysis-research-database/","Allegiant Travel")</f>
        <v>0</v>
      </c>
      <c r="C73">
        <v>-0.107751937984496</v>
      </c>
      <c r="D73">
        <v>0.055672750619095</v>
      </c>
      <c r="E73">
        <v>0.143339624515744</v>
      </c>
      <c r="F73">
        <v>0.692896014119723</v>
      </c>
      <c r="G73">
        <v>-0.022173137371506</v>
      </c>
      <c r="H73">
        <v>-0.390004769728125</v>
      </c>
      <c r="I73">
        <v>-0.046759312937902</v>
      </c>
    </row>
    <row r="74" spans="1:9">
      <c r="A74" s="1" t="s">
        <v>86</v>
      </c>
      <c r="B74">
        <f>HYPERLINK("https://www.suredividend.com/sure-analysis-research-database/","Alignment Healthcare Inc")</f>
        <v>0</v>
      </c>
      <c r="C74">
        <v>-0.001727115716752</v>
      </c>
      <c r="D74">
        <v>-0.132132132132132</v>
      </c>
      <c r="E74">
        <v>-0.5038626609442061</v>
      </c>
      <c r="F74">
        <v>-0.5085034013605441</v>
      </c>
      <c r="G74">
        <v>-0.643869377695625</v>
      </c>
      <c r="H74">
        <v>-0.723444976076555</v>
      </c>
      <c r="I74">
        <v>-0.666088965915655</v>
      </c>
    </row>
    <row r="75" spans="1:9">
      <c r="A75" s="1" t="s">
        <v>87</v>
      </c>
      <c r="B75">
        <f>HYPERLINK("https://www.suredividend.com/sure-analysis-research-database/","Alight Inc.")</f>
        <v>0</v>
      </c>
      <c r="C75">
        <v>-0.079741379310344</v>
      </c>
      <c r="D75">
        <v>-0.051111111111111</v>
      </c>
      <c r="E75">
        <v>-0.101997896950578</v>
      </c>
      <c r="F75">
        <v>0.021531100478468</v>
      </c>
      <c r="G75">
        <v>0.033898305084745</v>
      </c>
      <c r="H75">
        <v>-0.120494335736354</v>
      </c>
      <c r="I75">
        <v>-0.178846153846154</v>
      </c>
    </row>
    <row r="76" spans="1:9">
      <c r="A76" s="1" t="s">
        <v>88</v>
      </c>
      <c r="B76">
        <f>HYPERLINK("https://www.suredividend.com/sure-analysis-research-database/","Alkermes plc")</f>
        <v>0</v>
      </c>
      <c r="C76">
        <v>-0.09380124631026501</v>
      </c>
      <c r="D76">
        <v>-0.035602094240837</v>
      </c>
      <c r="E76">
        <v>0.010237659963436</v>
      </c>
      <c r="F76">
        <v>0.057405281285878</v>
      </c>
      <c r="G76">
        <v>0.091232227488151</v>
      </c>
      <c r="H76">
        <v>-0.008255563531945001</v>
      </c>
      <c r="I76">
        <v>-0.368457142857142</v>
      </c>
    </row>
    <row r="77" spans="1:9">
      <c r="A77" s="1" t="s">
        <v>89</v>
      </c>
      <c r="B77">
        <f>HYPERLINK("https://www.suredividend.com/sure-analysis-research-database/","Alkami Technology Inc")</f>
        <v>0</v>
      </c>
      <c r="C77">
        <v>0.011677934849416</v>
      </c>
      <c r="D77">
        <v>0.454063604240282</v>
      </c>
      <c r="E77">
        <v>-0.029481132075471</v>
      </c>
      <c r="F77">
        <v>0.128169979437971</v>
      </c>
      <c r="G77">
        <v>0.122783083219645</v>
      </c>
      <c r="H77">
        <v>-0.464192708333333</v>
      </c>
      <c r="I77">
        <v>-0.617209302325581</v>
      </c>
    </row>
    <row r="78" spans="1:9">
      <c r="A78" s="1" t="s">
        <v>90</v>
      </c>
      <c r="B78">
        <f>HYPERLINK("https://www.suredividend.com/sure-analysis-research-database/","Allogene Therapeutics Inc")</f>
        <v>0</v>
      </c>
      <c r="C78">
        <v>0.036290322580645</v>
      </c>
      <c r="D78">
        <v>-0.101398601398601</v>
      </c>
      <c r="E78">
        <v>-0.339331619537275</v>
      </c>
      <c r="F78">
        <v>-0.182829888712241</v>
      </c>
      <c r="G78">
        <v>-0.6226138032305431</v>
      </c>
      <c r="H78">
        <v>-0.7656178750569991</v>
      </c>
      <c r="I78">
        <v>-0.7944</v>
      </c>
    </row>
    <row r="79" spans="1:9">
      <c r="A79" s="1" t="s">
        <v>91</v>
      </c>
      <c r="B79">
        <f>HYPERLINK("https://www.suredividend.com/sure-analysis-research-database/","Alpine Immune Sciences Inc")</f>
        <v>0</v>
      </c>
      <c r="C79">
        <v>0.377712031558185</v>
      </c>
      <c r="D79">
        <v>0.9985693848354791</v>
      </c>
      <c r="E79">
        <v>0.7506265664160401</v>
      </c>
      <c r="F79">
        <v>0.900680272108843</v>
      </c>
      <c r="G79">
        <v>0.585698070374574</v>
      </c>
      <c r="H79">
        <v>0.6630952380952381</v>
      </c>
      <c r="I79">
        <v>1.015873015873016</v>
      </c>
    </row>
    <row r="80" spans="1:9">
      <c r="A80" s="1" t="s">
        <v>92</v>
      </c>
      <c r="B80">
        <f>HYPERLINK("https://www.suredividend.com/sure-analysis-research-database/","Alarm.com Holdings Inc")</f>
        <v>0</v>
      </c>
      <c r="C80">
        <v>0.020015698587127</v>
      </c>
      <c r="D80">
        <v>0.143422789265288</v>
      </c>
      <c r="E80">
        <v>-0.08356840620592301</v>
      </c>
      <c r="F80">
        <v>0.050525464834276</v>
      </c>
      <c r="G80">
        <v>-0.278956859481204</v>
      </c>
      <c r="H80">
        <v>-0.395511105942551</v>
      </c>
      <c r="I80">
        <v>0.179219600725952</v>
      </c>
    </row>
    <row r="81" spans="1:9">
      <c r="A81" s="1" t="s">
        <v>93</v>
      </c>
      <c r="B81">
        <f>HYPERLINK("https://www.suredividend.com/sure-analysis-ALRS/","Alerus Financial Corp")</f>
        <v>0</v>
      </c>
      <c r="C81">
        <v>0.06283856988082301</v>
      </c>
      <c r="D81">
        <v>0.462313018461515</v>
      </c>
      <c r="E81">
        <v>-0.025340162244598</v>
      </c>
      <c r="F81">
        <v>-0.132614490908367</v>
      </c>
      <c r="G81">
        <v>-0.16016385793842</v>
      </c>
      <c r="H81">
        <v>-0.252497390217697</v>
      </c>
      <c r="I81">
        <v>-0.5909278556863531</v>
      </c>
    </row>
    <row r="82" spans="1:9">
      <c r="A82" s="1" t="s">
        <v>94</v>
      </c>
      <c r="B82">
        <f>HYPERLINK("https://www.suredividend.com/sure-analysis-research-database/","Alta Equipment Group Inc")</f>
        <v>0</v>
      </c>
      <c r="C82">
        <v>0.005151688609044001</v>
      </c>
      <c r="D82">
        <v>0.28688056048192</v>
      </c>
      <c r="E82">
        <v>0.029561791296802</v>
      </c>
      <c r="F82">
        <v>0.341010798344355</v>
      </c>
      <c r="G82">
        <v>0.5761601292523111</v>
      </c>
      <c r="H82">
        <v>0.457696905299508</v>
      </c>
      <c r="I82">
        <v>0.810309278350515</v>
      </c>
    </row>
    <row r="83" spans="1:9">
      <c r="A83" s="1" t="s">
        <v>95</v>
      </c>
      <c r="B83">
        <f>HYPERLINK("https://www.suredividend.com/sure-analysis-research-database/","Alto Ingredients Inc")</f>
        <v>0</v>
      </c>
      <c r="C83">
        <v>0.248387096774193</v>
      </c>
      <c r="D83">
        <v>1.845588235294117</v>
      </c>
      <c r="E83">
        <v>0.121739130434782</v>
      </c>
      <c r="F83">
        <v>0.3437500000000001</v>
      </c>
      <c r="G83">
        <v>-0.126410835214446</v>
      </c>
      <c r="H83">
        <v>-0.31625441696113</v>
      </c>
      <c r="I83">
        <v>0.407272727272727</v>
      </c>
    </row>
    <row r="84" spans="1:9">
      <c r="A84" s="1" t="s">
        <v>96</v>
      </c>
      <c r="B84">
        <f>HYPERLINK("https://www.suredividend.com/sure-analysis-research-database/","Altair Engineering Inc")</f>
        <v>0</v>
      </c>
      <c r="C84">
        <v>-0.06343729263437201</v>
      </c>
      <c r="D84">
        <v>0.051400476758045</v>
      </c>
      <c r="E84">
        <v>0.221568288038774</v>
      </c>
      <c r="F84">
        <v>0.552012315812623</v>
      </c>
      <c r="G84">
        <v>0.175383077948034</v>
      </c>
      <c r="H84">
        <v>0.010018605982538</v>
      </c>
      <c r="I84">
        <v>0.999150141643059</v>
      </c>
    </row>
    <row r="85" spans="1:9">
      <c r="A85" s="1" t="s">
        <v>97</v>
      </c>
      <c r="B85">
        <f>HYPERLINK("https://www.suredividend.com/sure-analysis-research-database/","AlloVir Inc")</f>
        <v>0</v>
      </c>
      <c r="C85">
        <v>-0.08024691358024601</v>
      </c>
      <c r="D85">
        <v>-0.227979274611399</v>
      </c>
      <c r="E85">
        <v>-0.5415384615384611</v>
      </c>
      <c r="F85">
        <v>-0.419103313840156</v>
      </c>
      <c r="G85">
        <v>-0.487091222030981</v>
      </c>
      <c r="H85">
        <v>-0.8489609731373541</v>
      </c>
      <c r="I85">
        <v>-0.8826309570697121</v>
      </c>
    </row>
    <row r="86" spans="1:9">
      <c r="A86" s="1" t="s">
        <v>98</v>
      </c>
      <c r="B86">
        <f>HYPERLINK("https://www.suredividend.com/sure-analysis-research-database/","Alexander`s Inc.")</f>
        <v>0</v>
      </c>
      <c r="C86">
        <v>0.04559995662310901</v>
      </c>
      <c r="D86">
        <v>0.115651988780997</v>
      </c>
      <c r="E86">
        <v>-0.16402697621309</v>
      </c>
      <c r="F86">
        <v>-0.083592920227818</v>
      </c>
      <c r="G86">
        <v>-0.182504823196107</v>
      </c>
      <c r="H86">
        <v>-0.183037478854676</v>
      </c>
      <c r="I86">
        <v>-0.276098137427986</v>
      </c>
    </row>
    <row r="87" spans="1:9">
      <c r="A87" s="1" t="s">
        <v>99</v>
      </c>
      <c r="B87">
        <f>HYPERLINK("https://www.suredividend.com/sure-analysis-research-database/","Alx Oncology Holdings Inc")</f>
        <v>0</v>
      </c>
      <c r="C87">
        <v>-0.231292517006802</v>
      </c>
      <c r="D87">
        <v>-0.07679738562091401</v>
      </c>
      <c r="E87">
        <v>-0.352064220183486</v>
      </c>
      <c r="F87">
        <v>-0.4986690328305231</v>
      </c>
      <c r="G87">
        <v>-0.445534838076545</v>
      </c>
      <c r="H87">
        <v>-0.9081450170703951</v>
      </c>
      <c r="I87">
        <v>-0.8116666666666661</v>
      </c>
    </row>
    <row r="88" spans="1:9">
      <c r="A88" s="1" t="s">
        <v>100</v>
      </c>
      <c r="B88">
        <f>HYPERLINK("https://www.suredividend.com/sure-analysis-research-database/","Amalgamated Financial Corp")</f>
        <v>0</v>
      </c>
      <c r="C88">
        <v>0.200980392156862</v>
      </c>
      <c r="D88">
        <v>0.326789642917583</v>
      </c>
      <c r="E88">
        <v>-0.135680519297255</v>
      </c>
      <c r="F88">
        <v>-0.134164711910977</v>
      </c>
      <c r="G88">
        <v>-0.147603722710272</v>
      </c>
      <c r="H88">
        <v>0.325354160327281</v>
      </c>
      <c r="I88">
        <v>0.133288618544302</v>
      </c>
    </row>
    <row r="89" spans="1:9">
      <c r="A89" s="1" t="s">
        <v>101</v>
      </c>
      <c r="B89">
        <f>HYPERLINK("https://www.suredividend.com/sure-analysis-research-database/","Ambarella Inc")</f>
        <v>0</v>
      </c>
      <c r="C89">
        <v>-0.097753205505234</v>
      </c>
      <c r="D89">
        <v>0.200688791484032</v>
      </c>
      <c r="E89">
        <v>-0.182738412360149</v>
      </c>
      <c r="F89">
        <v>-0.06725039523288301</v>
      </c>
      <c r="G89">
        <v>-0.152954168967421</v>
      </c>
      <c r="H89">
        <v>-0.209767154337523</v>
      </c>
      <c r="I89">
        <v>0.9860176074572761</v>
      </c>
    </row>
    <row r="90" spans="1:9">
      <c r="A90" s="1" t="s">
        <v>102</v>
      </c>
      <c r="B90">
        <f>HYPERLINK("https://www.suredividend.com/sure-analysis-research-database/","AMBAC Financial Group Inc.")</f>
        <v>0</v>
      </c>
      <c r="C90">
        <v>-0.018947368421052</v>
      </c>
      <c r="D90">
        <v>-0.083879423328964</v>
      </c>
      <c r="E90">
        <v>-0.147560975609756</v>
      </c>
      <c r="F90">
        <v>-0.198394495412844</v>
      </c>
      <c r="G90">
        <v>0.188775510204081</v>
      </c>
      <c r="H90">
        <v>-0.043775649794801</v>
      </c>
      <c r="I90">
        <v>-0.327561327561327</v>
      </c>
    </row>
    <row r="91" spans="1:9">
      <c r="A91" s="1" t="s">
        <v>103</v>
      </c>
      <c r="B91">
        <f>HYPERLINK("https://www.suredividend.com/sure-analysis-research-database/","AMC Networks Inc")</f>
        <v>0</v>
      </c>
      <c r="C91">
        <v>0.027615062761506</v>
      </c>
      <c r="D91">
        <v>-0.265989240884638</v>
      </c>
      <c r="E91">
        <v>-0.3560566334556891</v>
      </c>
      <c r="F91">
        <v>-0.216336949585194</v>
      </c>
      <c r="G91">
        <v>-0.6231972997852101</v>
      </c>
      <c r="H91">
        <v>-0.74395329441201</v>
      </c>
      <c r="I91">
        <v>-0.7972593693247481</v>
      </c>
    </row>
    <row r="92" spans="1:9">
      <c r="A92" s="1" t="s">
        <v>104</v>
      </c>
      <c r="B92">
        <f>HYPERLINK("https://www.suredividend.com/sure-analysis-research-database/","Apollo Medical Holdings Inc")</f>
        <v>0</v>
      </c>
      <c r="C92">
        <v>0.163120567375886</v>
      </c>
      <c r="D92">
        <v>0.029680365296803</v>
      </c>
      <c r="E92">
        <v>-0.007427785419532</v>
      </c>
      <c r="F92">
        <v>0.219330855018587</v>
      </c>
      <c r="G92">
        <v>-0.365570599613152</v>
      </c>
      <c r="H92">
        <v>-0.594242015294646</v>
      </c>
      <c r="I92">
        <v>0.5115207373271881</v>
      </c>
    </row>
    <row r="93" spans="1:9">
      <c r="A93" s="1" t="s">
        <v>105</v>
      </c>
      <c r="B93">
        <f>HYPERLINK("https://www.suredividend.com/sure-analysis-research-database/","Assetmark Financial Holdings Inc")</f>
        <v>0</v>
      </c>
      <c r="C93">
        <v>-0.003061224489795</v>
      </c>
      <c r="D93">
        <v>0.016649323621227</v>
      </c>
      <c r="E93">
        <v>0.07520176082171601</v>
      </c>
      <c r="F93">
        <v>0.274347826086956</v>
      </c>
      <c r="G93">
        <v>0.459661354581673</v>
      </c>
      <c r="H93">
        <v>0.151217596229379</v>
      </c>
      <c r="I93">
        <v>0.083949704142011</v>
      </c>
    </row>
    <row r="94" spans="1:9">
      <c r="A94" s="1" t="s">
        <v>106</v>
      </c>
      <c r="B94">
        <f>HYPERLINK("https://www.suredividend.com/sure-analysis-research-database/","AMKOR Technology Inc.")</f>
        <v>0</v>
      </c>
      <c r="C94">
        <v>-0.043669600541638</v>
      </c>
      <c r="D94">
        <v>0.340132827324478</v>
      </c>
      <c r="E94">
        <v>-0.06333512377238801</v>
      </c>
      <c r="F94">
        <v>0.181573311918624</v>
      </c>
      <c r="G94">
        <v>0.254774806786888</v>
      </c>
      <c r="H94">
        <v>0.106263999624065</v>
      </c>
      <c r="I94">
        <v>2.19292019394871</v>
      </c>
    </row>
    <row r="95" spans="1:9">
      <c r="A95" s="1" t="s">
        <v>107</v>
      </c>
      <c r="B95">
        <f>HYPERLINK("https://www.suredividend.com/sure-analysis-research-database/","Amylyx Pharmaceuticals Inc")</f>
        <v>0</v>
      </c>
      <c r="C95">
        <v>0.07534573199809201</v>
      </c>
      <c r="D95">
        <v>-0.196651229070181</v>
      </c>
      <c r="E95">
        <v>-0.384552401746724</v>
      </c>
      <c r="F95">
        <v>-0.389715832205683</v>
      </c>
      <c r="G95">
        <v>-0.119484576337368</v>
      </c>
      <c r="H95">
        <v>0.24792473713337</v>
      </c>
      <c r="I95">
        <v>0.24792473713337</v>
      </c>
    </row>
    <row r="96" spans="1:9">
      <c r="A96" s="1" t="s">
        <v>108</v>
      </c>
      <c r="B96">
        <f>HYPERLINK("https://www.suredividend.com/sure-analysis-research-database/","AMN Healthcare Services Inc.")</f>
        <v>0</v>
      </c>
      <c r="C96">
        <v>-0.05536975102192401</v>
      </c>
      <c r="D96">
        <v>0.20516771364229</v>
      </c>
      <c r="E96">
        <v>-0.0210840473669</v>
      </c>
      <c r="F96">
        <v>-0.01108733709395</v>
      </c>
      <c r="G96">
        <v>-0.121858537006649</v>
      </c>
      <c r="H96">
        <v>-0.015777756267544</v>
      </c>
      <c r="I96">
        <v>0.9441682600382411</v>
      </c>
    </row>
    <row r="97" spans="1:9">
      <c r="A97" s="1" t="s">
        <v>109</v>
      </c>
      <c r="B97">
        <f>HYPERLINK("https://www.suredividend.com/sure-analysis-research-database/","American National Bankshares Inc.")</f>
        <v>0</v>
      </c>
      <c r="C97">
        <v>0.462861072902338</v>
      </c>
      <c r="D97">
        <v>0.566504639858594</v>
      </c>
      <c r="E97">
        <v>0.210748164950918</v>
      </c>
      <c r="F97">
        <v>0.187800335622003</v>
      </c>
      <c r="G97">
        <v>0.267795781762695</v>
      </c>
      <c r="H97">
        <v>0.429661270429133</v>
      </c>
      <c r="I97">
        <v>0.243376113967375</v>
      </c>
    </row>
    <row r="98" spans="1:9">
      <c r="A98" s="1" t="s">
        <v>110</v>
      </c>
      <c r="B98">
        <f>HYPERLINK("https://www.suredividend.com/sure-analysis-research-database/","Allied Motion Technologies Inc")</f>
        <v>0</v>
      </c>
      <c r="C98">
        <v>-0.172231985940246</v>
      </c>
      <c r="D98">
        <v>-0.078468530413054</v>
      </c>
      <c r="E98">
        <v>-0.200347316543133</v>
      </c>
      <c r="F98">
        <v>-0.05057003233878801</v>
      </c>
      <c r="G98">
        <v>0.164906528352418</v>
      </c>
      <c r="H98">
        <v>0.053072019010872</v>
      </c>
      <c r="I98">
        <v>0.087688044338875</v>
      </c>
    </row>
    <row r="99" spans="1:9">
      <c r="A99" s="1" t="s">
        <v>111</v>
      </c>
      <c r="B99">
        <f>HYPERLINK("https://www.suredividend.com/sure-analysis-research-database/","Amphastar Pharmaceuticals Inc")</f>
        <v>0</v>
      </c>
      <c r="C99">
        <v>0.09456880097171601</v>
      </c>
      <c r="D99">
        <v>0.7401379310344821</v>
      </c>
      <c r="E99">
        <v>1.021147068247357</v>
      </c>
      <c r="F99">
        <v>1.251249107780156</v>
      </c>
      <c r="G99">
        <v>0.69160632877447</v>
      </c>
      <c r="H99">
        <v>1.935318752908329</v>
      </c>
      <c r="I99">
        <v>2.625287356321839</v>
      </c>
    </row>
    <row r="100" spans="1:9">
      <c r="A100" s="1" t="s">
        <v>112</v>
      </c>
      <c r="B100">
        <f>HYPERLINK("https://www.suredividend.com/sure-analysis-research-database/","Amplitude Inc")</f>
        <v>0</v>
      </c>
      <c r="C100">
        <v>0.041058394160583</v>
      </c>
      <c r="D100">
        <v>0.04391582799634</v>
      </c>
      <c r="E100">
        <v>-0.24034620505992</v>
      </c>
      <c r="F100">
        <v>-0.05546357615894001</v>
      </c>
      <c r="G100">
        <v>-0.292183622828784</v>
      </c>
      <c r="H100">
        <v>-0.7917883211678831</v>
      </c>
      <c r="I100">
        <v>-0.7917883211678831</v>
      </c>
    </row>
    <row r="101" spans="1:9">
      <c r="A101" s="1" t="s">
        <v>113</v>
      </c>
      <c r="B101">
        <f>HYPERLINK("https://www.suredividend.com/sure-analysis-research-database/","Altus Power Inc")</f>
        <v>0</v>
      </c>
      <c r="C101">
        <v>0.141818181818181</v>
      </c>
      <c r="D101">
        <v>0.433789954337899</v>
      </c>
      <c r="E101">
        <v>-0.201017811704834</v>
      </c>
      <c r="F101">
        <v>-0.03680981595092001</v>
      </c>
      <c r="G101">
        <v>-0.235079171741778</v>
      </c>
      <c r="H101">
        <v>-0.365015166835187</v>
      </c>
      <c r="I101">
        <v>-0.401334604385128</v>
      </c>
    </row>
    <row r="102" spans="1:9">
      <c r="A102" s="1" t="s">
        <v>114</v>
      </c>
      <c r="B102">
        <f>HYPERLINK("https://www.suredividend.com/sure-analysis-research-database/","Amplify Energy Corp.")</f>
        <v>0</v>
      </c>
      <c r="C102">
        <v>0.07635829662261301</v>
      </c>
      <c r="D102">
        <v>0.134674922600619</v>
      </c>
      <c r="E102">
        <v>-0.081453634085213</v>
      </c>
      <c r="F102">
        <v>-0.166097838452787</v>
      </c>
      <c r="G102">
        <v>0.186084142394822</v>
      </c>
      <c r="H102">
        <v>1.312302839116719</v>
      </c>
      <c r="I102">
        <v>-0.430900621118012</v>
      </c>
    </row>
    <row r="103" spans="1:9">
      <c r="A103" s="1" t="s">
        <v>115</v>
      </c>
      <c r="B103">
        <f>HYPERLINK("https://www.suredividend.com/sure-analysis-research-database/","Alpha Metallurgical Resources Inc")</f>
        <v>0</v>
      </c>
      <c r="C103">
        <v>0.00952323183307</v>
      </c>
      <c r="D103">
        <v>0.206806787644642</v>
      </c>
      <c r="E103">
        <v>0.04791060113033</v>
      </c>
      <c r="F103">
        <v>0.143832288331233</v>
      </c>
      <c r="G103">
        <v>0.310818207952491</v>
      </c>
      <c r="H103">
        <v>5.172166470112666</v>
      </c>
      <c r="I103">
        <v>1.219066666666667</v>
      </c>
    </row>
    <row r="104" spans="1:9">
      <c r="A104" s="1" t="s">
        <v>116</v>
      </c>
      <c r="B104">
        <f>HYPERLINK("https://www.suredividend.com/sure-analysis-research-database/","Ameresco Inc.")</f>
        <v>0</v>
      </c>
      <c r="C104">
        <v>0.093316519546027</v>
      </c>
      <c r="D104">
        <v>0.230368968779564</v>
      </c>
      <c r="E104">
        <v>-0.135305851063829</v>
      </c>
      <c r="F104">
        <v>-0.089604480224011</v>
      </c>
      <c r="G104">
        <v>-0.186806315460372</v>
      </c>
      <c r="H104">
        <v>-0.161238310222508</v>
      </c>
      <c r="I104">
        <v>2.810989010989011</v>
      </c>
    </row>
    <row r="105" spans="1:9">
      <c r="A105" s="1" t="s">
        <v>117</v>
      </c>
      <c r="B105">
        <f>HYPERLINK("https://www.suredividend.com/sure-analysis-research-database/","A-Mark Precious Metals Inc")</f>
        <v>0</v>
      </c>
      <c r="C105">
        <v>0.04230368963704401</v>
      </c>
      <c r="D105">
        <v>0.126347428617804</v>
      </c>
      <c r="E105">
        <v>0.04981062345675601</v>
      </c>
      <c r="F105">
        <v>0.148949506537126</v>
      </c>
      <c r="G105">
        <v>0.282732623198117</v>
      </c>
      <c r="H105">
        <v>0.6675248884311701</v>
      </c>
      <c r="I105">
        <v>5.99247849713895</v>
      </c>
    </row>
    <row r="106" spans="1:9">
      <c r="A106" s="1" t="s">
        <v>118</v>
      </c>
      <c r="B106">
        <f>HYPERLINK("https://www.suredividend.com/sure-analysis-research-database/","Amyris Inc")</f>
        <v>0</v>
      </c>
      <c r="C106">
        <v>-0.327521367521367</v>
      </c>
      <c r="D106">
        <v>-0.175780431594385</v>
      </c>
      <c r="E106">
        <v>-0.537176470588235</v>
      </c>
      <c r="F106">
        <v>-0.4857516339869281</v>
      </c>
      <c r="G106">
        <v>-0.562888888888888</v>
      </c>
      <c r="H106">
        <v>-0.9453611111111111</v>
      </c>
      <c r="I106">
        <v>-0.8854730713245991</v>
      </c>
    </row>
    <row r="107" spans="1:9">
      <c r="A107" s="1" t="s">
        <v>119</v>
      </c>
      <c r="B107">
        <f>HYPERLINK("https://www.suredividend.com/sure-analysis-research-database/","Amneal Pharmaceuticals Inc")</f>
        <v>0</v>
      </c>
      <c r="C107">
        <v>0.101639344262295</v>
      </c>
      <c r="D107">
        <v>0.796791443850267</v>
      </c>
      <c r="E107">
        <v>0.382716049382716</v>
      </c>
      <c r="F107">
        <v>0.688442211055276</v>
      </c>
      <c r="G107">
        <v>-0.071823204419889</v>
      </c>
      <c r="H107">
        <v>-0.321212121212121</v>
      </c>
      <c r="I107">
        <v>-0.8265358802271551</v>
      </c>
    </row>
    <row r="108" spans="1:9">
      <c r="A108" s="1" t="s">
        <v>120</v>
      </c>
      <c r="B108">
        <f>HYPERLINK("https://www.suredividend.com/sure-analysis-research-database/","Amerisafe Inc")</f>
        <v>0</v>
      </c>
      <c r="C108">
        <v>0.00695096749953</v>
      </c>
      <c r="D108">
        <v>-0.025167412947086</v>
      </c>
      <c r="E108">
        <v>-0.01649210624821</v>
      </c>
      <c r="F108">
        <v>0.05163611820703801</v>
      </c>
      <c r="G108">
        <v>0.20101548548138</v>
      </c>
      <c r="H108">
        <v>0.05827418383565101</v>
      </c>
      <c r="I108">
        <v>0.194003252322291</v>
      </c>
    </row>
    <row r="109" spans="1:9">
      <c r="A109" s="1" t="s">
        <v>121</v>
      </c>
      <c r="B109">
        <f>HYPERLINK("https://www.suredividend.com/sure-analysis-research-database/","American Software Inc.")</f>
        <v>0</v>
      </c>
      <c r="C109">
        <v>0.088595664467483</v>
      </c>
      <c r="D109">
        <v>-0.05944625407166101</v>
      </c>
      <c r="E109">
        <v>-0.257702541163768</v>
      </c>
      <c r="F109">
        <v>-0.200470718538003</v>
      </c>
      <c r="G109">
        <v>-0.355882106906839</v>
      </c>
      <c r="H109">
        <v>-0.455049871193606</v>
      </c>
      <c r="I109">
        <v>-0.136700326633729</v>
      </c>
    </row>
    <row r="110" spans="1:9">
      <c r="A110" s="1" t="s">
        <v>122</v>
      </c>
      <c r="B110">
        <f>HYPERLINK("https://www.suredividend.com/sure-analysis-research-database/","Amerant Bancorp Inc")</f>
        <v>0</v>
      </c>
      <c r="C110">
        <v>0.149859154929577</v>
      </c>
      <c r="D110">
        <v>0.236527544696139</v>
      </c>
      <c r="E110">
        <v>-0.305056640777955</v>
      </c>
      <c r="F110">
        <v>-0.22867616492196</v>
      </c>
      <c r="G110">
        <v>-0.216079398366864</v>
      </c>
      <c r="H110">
        <v>-0.058831124514659</v>
      </c>
      <c r="I110">
        <v>2.401666666666667</v>
      </c>
    </row>
    <row r="111" spans="1:9">
      <c r="A111" s="1" t="s">
        <v>123</v>
      </c>
      <c r="B111">
        <f>HYPERLINK("https://www.suredividend.com/sure-analysis-research-database/","Aemetis Inc")</f>
        <v>0</v>
      </c>
      <c r="C111">
        <v>0.032921810699588</v>
      </c>
      <c r="D111">
        <v>2.470046082949309</v>
      </c>
      <c r="E111">
        <v>0.605543710021321</v>
      </c>
      <c r="F111">
        <v>0.901515151515151</v>
      </c>
      <c r="G111">
        <v>-0.044416243654822</v>
      </c>
      <c r="H111">
        <v>-0.162402669632925</v>
      </c>
      <c r="I111">
        <v>4.704545454545454</v>
      </c>
    </row>
    <row r="112" spans="1:9">
      <c r="A112" s="1" t="s">
        <v>124</v>
      </c>
      <c r="B112">
        <f>HYPERLINK("https://www.suredividend.com/sure-analysis-research-database/","American Woodmark Corp.")</f>
        <v>0</v>
      </c>
      <c r="C112">
        <v>-0.020493956910141</v>
      </c>
      <c r="D112">
        <v>0.4694521087899091</v>
      </c>
      <c r="E112">
        <v>0.25860904794058</v>
      </c>
      <c r="F112">
        <v>0.525992632009824</v>
      </c>
      <c r="G112">
        <v>0.5002012072434601</v>
      </c>
      <c r="H112">
        <v>-0.005203468979319</v>
      </c>
      <c r="I112">
        <v>-0.138034682080924</v>
      </c>
    </row>
    <row r="113" spans="1:9">
      <c r="A113" s="1" t="s">
        <v>125</v>
      </c>
      <c r="B113">
        <f>HYPERLINK("https://www.suredividend.com/sure-analysis-research-database/","American Well Corporation")</f>
        <v>0</v>
      </c>
      <c r="C113">
        <v>0.004761904761904001</v>
      </c>
      <c r="D113">
        <v>-0.004716981132075001</v>
      </c>
      <c r="E113">
        <v>-0.4764267990074441</v>
      </c>
      <c r="F113">
        <v>-0.254416961130742</v>
      </c>
      <c r="G113">
        <v>-0.538293216630197</v>
      </c>
      <c r="H113">
        <v>-0.813439434129089</v>
      </c>
      <c r="I113">
        <v>-0.9085392284351971</v>
      </c>
    </row>
    <row r="114" spans="1:9">
      <c r="A114" s="1" t="s">
        <v>126</v>
      </c>
      <c r="B114">
        <f>HYPERLINK("https://www.suredividend.com/sure-analysis-research-database/","AnaptysBio Inc")</f>
        <v>0</v>
      </c>
      <c r="C114">
        <v>-0.025993883792049</v>
      </c>
      <c r="D114">
        <v>-0.111162790697674</v>
      </c>
      <c r="E114">
        <v>-0.258727695888285</v>
      </c>
      <c r="F114">
        <v>-0.383349467570184</v>
      </c>
      <c r="G114">
        <v>-0.09043312708234101</v>
      </c>
      <c r="H114">
        <v>-0.197396052078958</v>
      </c>
      <c r="I114">
        <v>-0.745573159366262</v>
      </c>
    </row>
    <row r="115" spans="1:9">
      <c r="A115" s="1" t="s">
        <v>127</v>
      </c>
      <c r="B115">
        <f>HYPERLINK("https://www.suredividend.com/sure-analysis-ANDE/","Andersons Inc.")</f>
        <v>0</v>
      </c>
      <c r="C115">
        <v>0.101107165239189</v>
      </c>
      <c r="D115">
        <v>0.333461510244455</v>
      </c>
      <c r="E115">
        <v>0.409942623279701</v>
      </c>
      <c r="F115">
        <v>0.525592972605317</v>
      </c>
      <c r="G115">
        <v>0.3145851362843951</v>
      </c>
      <c r="H115">
        <v>1.051004684897819</v>
      </c>
      <c r="I115">
        <v>0.7201992050075381</v>
      </c>
    </row>
    <row r="116" spans="1:9">
      <c r="A116" s="1" t="s">
        <v>128</v>
      </c>
      <c r="B116">
        <f>HYPERLINK("https://www.suredividend.com/sure-analysis-research-database/","Abercrombie &amp; Fitch Co.")</f>
        <v>0</v>
      </c>
      <c r="C116">
        <v>0.045856798069187</v>
      </c>
      <c r="D116">
        <v>0.712779973649538</v>
      </c>
      <c r="E116">
        <v>0.296973727968074</v>
      </c>
      <c r="F116">
        <v>0.702313400261894</v>
      </c>
      <c r="G116">
        <v>1.164261931187569</v>
      </c>
      <c r="H116">
        <v>0.011673151750972</v>
      </c>
      <c r="I116">
        <v>0.693568348510311</v>
      </c>
    </row>
    <row r="117" spans="1:9">
      <c r="A117" s="1" t="s">
        <v>129</v>
      </c>
      <c r="B117">
        <f>HYPERLINK("https://www.suredividend.com/sure-analysis-research-database/","Angiodynamic Inc")</f>
        <v>0</v>
      </c>
      <c r="C117">
        <v>-0.191860465116279</v>
      </c>
      <c r="D117">
        <v>-0.038062283737024</v>
      </c>
      <c r="E117">
        <v>-0.379002233804914</v>
      </c>
      <c r="F117">
        <v>-0.3943355119825701</v>
      </c>
      <c r="G117">
        <v>-0.646010186757215</v>
      </c>
      <c r="H117">
        <v>-0.69394495412844</v>
      </c>
      <c r="I117">
        <v>-0.6154910096818811</v>
      </c>
    </row>
    <row r="118" spans="1:9">
      <c r="A118" s="1" t="s">
        <v>130</v>
      </c>
      <c r="B118">
        <f>HYPERLINK("https://www.suredividend.com/sure-analysis-research-database/","Anika Therapeutics Inc.")</f>
        <v>0</v>
      </c>
      <c r="C118">
        <v>-0.140613026819923</v>
      </c>
      <c r="D118">
        <v>-0.137307692307692</v>
      </c>
      <c r="E118">
        <v>-0.301246105919003</v>
      </c>
      <c r="F118">
        <v>-0.242229729729729</v>
      </c>
      <c r="G118">
        <v>-0.09116693679092301</v>
      </c>
      <c r="H118">
        <v>-0.451052373959863</v>
      </c>
      <c r="I118">
        <v>-0.4572949431405751</v>
      </c>
    </row>
    <row r="119" spans="1:9">
      <c r="A119" s="1" t="s">
        <v>131</v>
      </c>
      <c r="B119">
        <f>HYPERLINK("https://www.suredividend.com/sure-analysis-research-database/","ANI Pharmaceuticals Inc")</f>
        <v>0</v>
      </c>
      <c r="C119">
        <v>-0.034061458718993</v>
      </c>
      <c r="D119">
        <v>0.361691022964509</v>
      </c>
      <c r="E119">
        <v>0.16812178195657</v>
      </c>
      <c r="F119">
        <v>0.297042008451404</v>
      </c>
      <c r="G119">
        <v>0.5855363111516251</v>
      </c>
      <c r="H119">
        <v>0.534254630990885</v>
      </c>
      <c r="I119">
        <v>-0.1976011071813</v>
      </c>
    </row>
    <row r="120" spans="1:9">
      <c r="A120" s="1" t="s">
        <v>132</v>
      </c>
      <c r="B120">
        <f>HYPERLINK("https://www.suredividend.com/sure-analysis-research-database/","AN2 Therapeutics Inc")</f>
        <v>0</v>
      </c>
      <c r="C120">
        <v>-0.037081339712918</v>
      </c>
      <c r="D120">
        <v>0.39273356401384</v>
      </c>
      <c r="E120">
        <v>-0.483974358974358</v>
      </c>
      <c r="F120">
        <v>-0.15529905561385</v>
      </c>
      <c r="G120">
        <v>-0.024242424242424</v>
      </c>
      <c r="H120">
        <v>-0.477272727272727</v>
      </c>
      <c r="I120">
        <v>-0.477272727272727</v>
      </c>
    </row>
    <row r="121" spans="1:9">
      <c r="A121" s="1" t="s">
        <v>133</v>
      </c>
      <c r="B121">
        <f>HYPERLINK("https://www.suredividend.com/sure-analysis-research-database/","Angel Oak Mortgage REIT Inc")</f>
        <v>0</v>
      </c>
      <c r="C121">
        <v>0.11358024691358</v>
      </c>
      <c r="D121">
        <v>0.299768001498623</v>
      </c>
      <c r="E121">
        <v>0.170349418069053</v>
      </c>
      <c r="F121">
        <v>1.073467886533952</v>
      </c>
      <c r="G121">
        <v>-0.298742089468692</v>
      </c>
      <c r="H121">
        <v>-0.382069041110905</v>
      </c>
      <c r="I121">
        <v>-0.38736976513577</v>
      </c>
    </row>
    <row r="122" spans="1:9">
      <c r="A122" s="1" t="s">
        <v>134</v>
      </c>
      <c r="B122">
        <f>HYPERLINK("https://www.suredividend.com/sure-analysis-research-database/","Artivion Inc")</f>
        <v>0</v>
      </c>
      <c r="C122">
        <v>-0.026102088167053</v>
      </c>
      <c r="D122">
        <v>0.245548961424332</v>
      </c>
      <c r="E122">
        <v>0.196721311475409</v>
      </c>
      <c r="F122">
        <v>0.385313531353135</v>
      </c>
      <c r="G122">
        <v>-0.22160407974038</v>
      </c>
      <c r="H122">
        <v>-0.377456433073785</v>
      </c>
      <c r="I122">
        <v>-0.43752093802345</v>
      </c>
    </row>
    <row r="123" spans="1:9">
      <c r="A123" s="1" t="s">
        <v>135</v>
      </c>
      <c r="B123">
        <f>HYPERLINK("https://www.suredividend.com/sure-analysis-research-database/","Alpha &amp; Omega Semiconductor Ltd")</f>
        <v>0</v>
      </c>
      <c r="C123">
        <v>-0.012169151201703</v>
      </c>
      <c r="D123">
        <v>0.342290202563042</v>
      </c>
      <c r="E123">
        <v>-0.12691583759075</v>
      </c>
      <c r="F123">
        <v>0.136506825341266</v>
      </c>
      <c r="G123">
        <v>-0.251153136531365</v>
      </c>
      <c r="H123">
        <v>0.247886241352805</v>
      </c>
      <c r="I123">
        <v>1.445030120481927</v>
      </c>
    </row>
    <row r="124" spans="1:9">
      <c r="A124" s="1" t="s">
        <v>136</v>
      </c>
      <c r="B124">
        <f>HYPERLINK("https://www.suredividend.com/sure-analysis-APAM/","Artisan Partners Asset Management Inc")</f>
        <v>0</v>
      </c>
      <c r="C124">
        <v>-0.031605562579013</v>
      </c>
      <c r="D124">
        <v>0.180768578607432</v>
      </c>
      <c r="E124">
        <v>0.048209422937449</v>
      </c>
      <c r="F124">
        <v>0.3224361829588731</v>
      </c>
      <c r="G124">
        <v>0.052455133260604</v>
      </c>
      <c r="H124">
        <v>-0.107685784246344</v>
      </c>
      <c r="I124">
        <v>0.653170807507035</v>
      </c>
    </row>
    <row r="125" spans="1:9">
      <c r="A125" s="1" t="s">
        <v>137</v>
      </c>
      <c r="B125">
        <f>HYPERLINK("https://www.suredividend.com/sure-analysis-research-database/","American Public Education Inc")</f>
        <v>0</v>
      </c>
      <c r="C125">
        <v>0.06378600823045201</v>
      </c>
      <c r="D125">
        <v>-0.058287795992714</v>
      </c>
      <c r="E125">
        <v>-0.5992248062015501</v>
      </c>
      <c r="F125">
        <v>-0.579332790886899</v>
      </c>
      <c r="G125">
        <v>-0.677680798004987</v>
      </c>
      <c r="H125">
        <v>-0.827205882352941</v>
      </c>
      <c r="I125">
        <v>-0.8806004618937641</v>
      </c>
    </row>
    <row r="126" spans="1:9">
      <c r="A126" s="1" t="s">
        <v>138</v>
      </c>
      <c r="B126">
        <f>HYPERLINK("https://www.suredividend.com/sure-analysis-research-database/","APi Group Corporation")</f>
        <v>0</v>
      </c>
      <c r="C126">
        <v>0.046708348657594</v>
      </c>
      <c r="D126">
        <v>0.279676258992805</v>
      </c>
      <c r="E126">
        <v>0.276233183856502</v>
      </c>
      <c r="F126">
        <v>0.5130249867091971</v>
      </c>
      <c r="G126">
        <v>0.556041552761071</v>
      </c>
      <c r="H126">
        <v>0.262084257206208</v>
      </c>
      <c r="I126">
        <v>1.736538461538461</v>
      </c>
    </row>
    <row r="127" spans="1:9">
      <c r="A127" s="1" t="s">
        <v>139</v>
      </c>
      <c r="B127">
        <f>HYPERLINK("https://www.suredividend.com/sure-analysis-research-database/","Applied Digital Corporation")</f>
        <v>0</v>
      </c>
      <c r="C127">
        <v>-0.191725529767911</v>
      </c>
      <c r="D127">
        <v>1.567307692307692</v>
      </c>
      <c r="E127">
        <v>1.434650455927051</v>
      </c>
      <c r="F127">
        <v>3.353260869565217</v>
      </c>
      <c r="G127">
        <v>2.452586206896552</v>
      </c>
      <c r="H127">
        <v>1601</v>
      </c>
      <c r="I127">
        <v>1601</v>
      </c>
    </row>
    <row r="128" spans="1:9">
      <c r="A128" s="1" t="s">
        <v>140</v>
      </c>
      <c r="B128">
        <f>HYPERLINK("https://www.suredividend.com/sure-analysis-APLE/","Apple Hospitality REIT Inc")</f>
        <v>0</v>
      </c>
      <c r="C128">
        <v>-0.044047882088407</v>
      </c>
      <c r="D128">
        <v>-0.008479488804108001</v>
      </c>
      <c r="E128">
        <v>-0.148199405882114</v>
      </c>
      <c r="F128">
        <v>-0.033159157382759</v>
      </c>
      <c r="G128">
        <v>-0.05294129008582101</v>
      </c>
      <c r="H128">
        <v>0.08792119042688501</v>
      </c>
      <c r="I128">
        <v>0.006142186837389</v>
      </c>
    </row>
    <row r="129" spans="1:9">
      <c r="A129" s="1" t="s">
        <v>141</v>
      </c>
      <c r="B129">
        <f>HYPERLINK("https://www.suredividend.com/sure-analysis-research-database/","Apellis Pharmaceuticals Inc")</f>
        <v>0</v>
      </c>
      <c r="C129">
        <v>-0.7325711723828731</v>
      </c>
      <c r="D129">
        <v>-0.7193601505528111</v>
      </c>
      <c r="E129">
        <v>-0.564360051122877</v>
      </c>
      <c r="F129">
        <v>-0.5385805453490621</v>
      </c>
      <c r="G129">
        <v>-0.5877677954388391</v>
      </c>
      <c r="H129">
        <v>-0.6250785669390321</v>
      </c>
      <c r="I129">
        <v>0.406839622641509</v>
      </c>
    </row>
    <row r="130" spans="1:9">
      <c r="A130" s="1" t="s">
        <v>142</v>
      </c>
      <c r="B130">
        <f>HYPERLINK("https://www.suredividend.com/sure-analysis-APOG/","Apogee Enterprises Inc.")</f>
        <v>0</v>
      </c>
      <c r="C130">
        <v>0.051296918107155</v>
      </c>
      <c r="D130">
        <v>0.232585067045157</v>
      </c>
      <c r="E130">
        <v>0.052837556736246</v>
      </c>
      <c r="F130">
        <v>0.144426642252231</v>
      </c>
      <c r="G130">
        <v>0.240203643943797</v>
      </c>
      <c r="H130">
        <v>0.320299267834042</v>
      </c>
      <c r="I130">
        <v>0.140237722288768</v>
      </c>
    </row>
    <row r="131" spans="1:9">
      <c r="A131" s="1" t="s">
        <v>143</v>
      </c>
      <c r="B131">
        <f>HYPERLINK("https://www.suredividend.com/sure-analysis-research-database/","Appfolio Inc")</f>
        <v>0</v>
      </c>
      <c r="C131">
        <v>0.013597176416131</v>
      </c>
      <c r="D131">
        <v>0.282055035128805</v>
      </c>
      <c r="E131">
        <v>0.490259464057847</v>
      </c>
      <c r="F131">
        <v>0.6623647750996391</v>
      </c>
      <c r="G131">
        <v>0.6517065811804631</v>
      </c>
      <c r="H131">
        <v>0.264289838337182</v>
      </c>
      <c r="I131">
        <v>1.348257372654155</v>
      </c>
    </row>
    <row r="132" spans="1:9">
      <c r="A132" s="1" t="s">
        <v>144</v>
      </c>
      <c r="B132">
        <f>HYPERLINK("https://www.suredividend.com/sure-analysis-research-database/","AppHarvest Inc")</f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s="1" t="s">
        <v>145</v>
      </c>
      <c r="B133">
        <f>HYPERLINK("https://www.suredividend.com/sure-analysis-research-database/","Appian Corp")</f>
        <v>0</v>
      </c>
      <c r="C133">
        <v>-0.002276019035795</v>
      </c>
      <c r="D133">
        <v>0.371054876315041</v>
      </c>
      <c r="E133">
        <v>0.103685053788052</v>
      </c>
      <c r="F133">
        <v>0.48095823095823</v>
      </c>
      <c r="G133">
        <v>-0.126923773311605</v>
      </c>
      <c r="H133">
        <v>-0.5741411286761461</v>
      </c>
      <c r="I133">
        <v>0.580724471398131</v>
      </c>
    </row>
    <row r="134" spans="1:9">
      <c r="A134" s="1" t="s">
        <v>146</v>
      </c>
      <c r="B134">
        <f>HYPERLINK("https://www.suredividend.com/sure-analysis-research-database/","Digital Turbine Inc")</f>
        <v>0</v>
      </c>
      <c r="C134">
        <v>0.070010449320794</v>
      </c>
      <c r="D134">
        <v>-0.100175746924428</v>
      </c>
      <c r="E134">
        <v>-0.4074074074074071</v>
      </c>
      <c r="F134">
        <v>-0.328083989501312</v>
      </c>
      <c r="G134">
        <v>-0.542857142857142</v>
      </c>
      <c r="H134">
        <v>-0.8383583267561161</v>
      </c>
      <c r="I134">
        <v>5.522292993630573</v>
      </c>
    </row>
    <row r="135" spans="1:9">
      <c r="A135" s="1" t="s">
        <v>147</v>
      </c>
      <c r="B135">
        <f>HYPERLINK("https://www.suredividend.com/sure-analysis-research-database/","ArcBest Corp")</f>
        <v>0</v>
      </c>
      <c r="C135">
        <v>0.192970016207455</v>
      </c>
      <c r="D135">
        <v>0.311855601201243</v>
      </c>
      <c r="E135">
        <v>0.363714788263507</v>
      </c>
      <c r="F135">
        <v>0.6880933303327881</v>
      </c>
      <c r="G135">
        <v>0.387097648046791</v>
      </c>
      <c r="H135">
        <v>0.851263832997987</v>
      </c>
      <c r="I135">
        <v>1.646350342000952</v>
      </c>
    </row>
    <row r="136" spans="1:9">
      <c r="A136" s="1" t="s">
        <v>148</v>
      </c>
      <c r="B136">
        <f>HYPERLINK("https://www.suredividend.com/sure-analysis-research-database/","Arch Resources Inc")</f>
        <v>0</v>
      </c>
      <c r="C136">
        <v>0.129846315054138</v>
      </c>
      <c r="D136">
        <v>0.108170606372045</v>
      </c>
      <c r="E136">
        <v>-0.124345153782695</v>
      </c>
      <c r="F136">
        <v>-0.09233376639046401</v>
      </c>
      <c r="G136">
        <v>0.05327337731265901</v>
      </c>
      <c r="H136">
        <v>0.9716150817353981</v>
      </c>
      <c r="I136">
        <v>0.5281988654549571</v>
      </c>
    </row>
    <row r="137" spans="1:9">
      <c r="A137" s="1" t="s">
        <v>149</v>
      </c>
      <c r="B137">
        <f>HYPERLINK("https://www.suredividend.com/sure-analysis-research-database/","Arcturus Therapeutics Holdings Inc")</f>
        <v>0</v>
      </c>
      <c r="C137">
        <v>0.143405443126308</v>
      </c>
      <c r="D137">
        <v>0.237537764350453</v>
      </c>
      <c r="E137">
        <v>0.491579426490669</v>
      </c>
      <c r="F137">
        <v>0.9321933962264151</v>
      </c>
      <c r="G137">
        <v>0.6996887966804971</v>
      </c>
      <c r="H137">
        <v>-0.437424892703862</v>
      </c>
      <c r="I137">
        <v>3.721902017291065</v>
      </c>
    </row>
    <row r="138" spans="1:9">
      <c r="A138" s="1" t="s">
        <v>150</v>
      </c>
      <c r="B138">
        <f>HYPERLINK("https://www.suredividend.com/sure-analysis-research-database/","Arena Group Holdings Inc (The)")</f>
        <v>0</v>
      </c>
      <c r="C138">
        <v>-0.191176470588235</v>
      </c>
      <c r="D138">
        <v>-0.03749999999999901</v>
      </c>
      <c r="E138">
        <v>-0.630518234165067</v>
      </c>
      <c r="F138">
        <v>-0.637134778510838</v>
      </c>
      <c r="G138">
        <v>-0.612286002014098</v>
      </c>
      <c r="H138">
        <v>16.5</v>
      </c>
      <c r="I138">
        <v>16.5</v>
      </c>
    </row>
    <row r="139" spans="1:9">
      <c r="A139" s="1" t="s">
        <v>151</v>
      </c>
      <c r="B139">
        <f>HYPERLINK("https://www.suredividend.com/sure-analysis-research-database/","Argo Group International Holdings Ltd")</f>
        <v>0</v>
      </c>
      <c r="C139">
        <v>0.003711201079622</v>
      </c>
      <c r="D139">
        <v>0.011560693641618</v>
      </c>
      <c r="E139">
        <v>0.062879599857091</v>
      </c>
      <c r="F139">
        <v>0.150870406189555</v>
      </c>
      <c r="G139">
        <v>-0.037954707877776</v>
      </c>
      <c r="H139">
        <v>-0.4093812101828631</v>
      </c>
      <c r="I139">
        <v>-0.455241945820836</v>
      </c>
    </row>
    <row r="140" spans="1:9">
      <c r="A140" s="1" t="s">
        <v>152</v>
      </c>
      <c r="B140">
        <f>HYPERLINK("https://www.suredividend.com/sure-analysis-ARI/","Apollo Commercial Real Estate Finance Inc")</f>
        <v>0</v>
      </c>
      <c r="C140">
        <v>-0.070984915705412</v>
      </c>
      <c r="D140">
        <v>0.123993558776167</v>
      </c>
      <c r="E140">
        <v>-0.114602712850522</v>
      </c>
      <c r="F140">
        <v>0.042569081404032</v>
      </c>
      <c r="G140">
        <v>-0.01671675432006</v>
      </c>
      <c r="H140">
        <v>-0.127870654971637</v>
      </c>
      <c r="I140">
        <v>-0.002115857494138</v>
      </c>
    </row>
    <row r="141" spans="1:9">
      <c r="A141" s="1" t="s">
        <v>153</v>
      </c>
      <c r="B141">
        <f>HYPERLINK("https://www.suredividend.com/sure-analysis-research-database/","Aris Water Solutions Inc")</f>
        <v>0</v>
      </c>
      <c r="C141">
        <v>0.04657794676806001</v>
      </c>
      <c r="D141">
        <v>0.5358004714809801</v>
      </c>
      <c r="E141">
        <v>-0.212553372574542</v>
      </c>
      <c r="F141">
        <v>-0.220205253875955</v>
      </c>
      <c r="G141">
        <v>-0.491149419975042</v>
      </c>
      <c r="H141">
        <v>-0.193560200987357</v>
      </c>
      <c r="I141">
        <v>-0.193560200987357</v>
      </c>
    </row>
    <row r="142" spans="1:9">
      <c r="A142" s="1" t="s">
        <v>154</v>
      </c>
      <c r="B142">
        <f>HYPERLINK("https://www.suredividend.com/sure-analysis-research-database/","ARKO Corp")</f>
        <v>0</v>
      </c>
      <c r="C142">
        <v>-0.001245330012453</v>
      </c>
      <c r="D142">
        <v>0.000848599810312</v>
      </c>
      <c r="E142">
        <v>-0.009142574746725</v>
      </c>
      <c r="F142">
        <v>-0.062919904188818</v>
      </c>
      <c r="G142">
        <v>-0.103489905877618</v>
      </c>
      <c r="H142">
        <v>0.023272430335816</v>
      </c>
      <c r="I142">
        <v>-0.18989898989899</v>
      </c>
    </row>
    <row r="143" spans="1:9">
      <c r="A143" s="1" t="s">
        <v>155</v>
      </c>
      <c r="B143">
        <f>HYPERLINK("https://www.suredividend.com/sure-analysis-research-database/","American Realty Investors Inc.")</f>
        <v>0</v>
      </c>
      <c r="C143">
        <v>-0.113625866050808</v>
      </c>
      <c r="D143">
        <v>0.08112676056338</v>
      </c>
      <c r="E143">
        <v>-0.29886737303617</v>
      </c>
      <c r="F143">
        <v>-0.251851851851851</v>
      </c>
      <c r="G143">
        <v>0.288784419073203</v>
      </c>
      <c r="H143">
        <v>0.389572773352643</v>
      </c>
      <c r="I143">
        <v>0.04180238870792601</v>
      </c>
    </row>
    <row r="144" spans="1:9">
      <c r="A144" s="1" t="s">
        <v>156</v>
      </c>
      <c r="B144">
        <f>HYPERLINK("https://www.suredividend.com/sure-analysis-research-database/","Arlo Technologies Inc")</f>
        <v>0</v>
      </c>
      <c r="C144">
        <v>0.044198895027624</v>
      </c>
      <c r="D144">
        <v>0.7527047913446671</v>
      </c>
      <c r="E144">
        <v>1.625</v>
      </c>
      <c r="F144">
        <v>2.230769230769231</v>
      </c>
      <c r="G144">
        <v>0.5598349381017881</v>
      </c>
      <c r="H144">
        <v>0.8319870759289171</v>
      </c>
      <c r="I144">
        <v>-0.486877828054298</v>
      </c>
    </row>
    <row r="145" spans="1:9">
      <c r="A145" s="1" t="s">
        <v>157</v>
      </c>
      <c r="B145">
        <f>HYPERLINK("https://www.suredividend.com/sure-analysis-research-database/","Arconic Corporation")</f>
        <v>0</v>
      </c>
      <c r="C145">
        <v>0.010141987829614</v>
      </c>
      <c r="D145">
        <v>0.325055432372505</v>
      </c>
      <c r="E145">
        <v>0.202414486921528</v>
      </c>
      <c r="F145">
        <v>0.412098298676748</v>
      </c>
      <c r="G145">
        <v>0.022587268993839</v>
      </c>
      <c r="H145">
        <v>-0.136166522116218</v>
      </c>
      <c r="I145">
        <v>3.317919075144508</v>
      </c>
    </row>
    <row r="146" spans="1:9">
      <c r="A146" s="1" t="s">
        <v>158</v>
      </c>
      <c r="B146">
        <f>HYPERLINK("https://www.suredividend.com/sure-analysis-research-database/","Archrock Inc")</f>
        <v>0</v>
      </c>
      <c r="C146">
        <v>0.224352828379674</v>
      </c>
      <c r="D146">
        <v>0.367720929236239</v>
      </c>
      <c r="E146">
        <v>0.345031703566387</v>
      </c>
      <c r="F146">
        <v>0.466349742211811</v>
      </c>
      <c r="G146">
        <v>0.6885950413223141</v>
      </c>
      <c r="H146">
        <v>0.7210474534697231</v>
      </c>
      <c r="I146">
        <v>0.368409772824689</v>
      </c>
    </row>
    <row r="147" spans="1:9">
      <c r="A147" s="1" t="s">
        <v>159</v>
      </c>
      <c r="B147">
        <f>HYPERLINK("https://www.suredividend.com/sure-analysis-AROW/","Arrow Financial Corp.")</f>
        <v>0</v>
      </c>
      <c r="C147">
        <v>0.021151008362026</v>
      </c>
      <c r="D147">
        <v>0.047691143073429</v>
      </c>
      <c r="E147">
        <v>-0.3342462326867141</v>
      </c>
      <c r="F147">
        <v>-0.363508429834162</v>
      </c>
      <c r="G147">
        <v>-0.336325622434495</v>
      </c>
      <c r="H147">
        <v>-0.340747280106191</v>
      </c>
      <c r="I147">
        <v>-0.274780093482103</v>
      </c>
    </row>
    <row r="148" spans="1:9">
      <c r="A148" s="1" t="s">
        <v>160</v>
      </c>
      <c r="B148">
        <f>HYPERLINK("https://www.suredividend.com/sure-analysis-research-database/","Arcutis Biotherapeutics Inc")</f>
        <v>0</v>
      </c>
      <c r="C148">
        <v>0.156571428571428</v>
      </c>
      <c r="D148">
        <v>-0.325333333333333</v>
      </c>
      <c r="E148">
        <v>-0.392921415716856</v>
      </c>
      <c r="F148">
        <v>-0.316216216216216</v>
      </c>
      <c r="G148">
        <v>-0.544349392165691</v>
      </c>
      <c r="H148">
        <v>-0.556917688266199</v>
      </c>
      <c r="I148">
        <v>-0.5357798165137611</v>
      </c>
    </row>
    <row r="149" spans="1:9">
      <c r="A149" s="1" t="s">
        <v>161</v>
      </c>
      <c r="B149">
        <f>HYPERLINK("https://www.suredividend.com/sure-analysis-ARR/","ARMOUR Residential REIT Inc")</f>
        <v>0</v>
      </c>
      <c r="C149">
        <v>-0.03995104132800401</v>
      </c>
      <c r="D149">
        <v>0.056108387856857</v>
      </c>
      <c r="E149">
        <v>-0.140955216729127</v>
      </c>
      <c r="F149">
        <v>-0.004185594413917</v>
      </c>
      <c r="G149">
        <v>-0.209809693210974</v>
      </c>
      <c r="H149">
        <v>-0.32991617278018</v>
      </c>
      <c r="I149">
        <v>-0.5947396888698721</v>
      </c>
    </row>
    <row r="150" spans="1:9">
      <c r="A150" s="1" t="s">
        <v>162</v>
      </c>
      <c r="B150">
        <f>HYPERLINK("https://www.suredividend.com/sure-analysis-research-database/","Array Technologies Inc")</f>
        <v>0</v>
      </c>
      <c r="C150">
        <v>-0.192376681614349</v>
      </c>
      <c r="D150">
        <v>-0.015308911973756</v>
      </c>
      <c r="E150">
        <v>-0.08948432760364</v>
      </c>
      <c r="F150">
        <v>-0.06828763579927501</v>
      </c>
      <c r="G150">
        <v>0.07586618876941401</v>
      </c>
      <c r="H150">
        <v>0.338038632986627</v>
      </c>
      <c r="I150">
        <v>-0.505898491083676</v>
      </c>
    </row>
    <row r="151" spans="1:9">
      <c r="A151" s="1" t="s">
        <v>163</v>
      </c>
      <c r="B151">
        <f>HYPERLINK("https://www.suredividend.com/sure-analysis-ARTNA/","Artesian Resources Corp.")</f>
        <v>0</v>
      </c>
      <c r="C151">
        <v>-0.036736437419905</v>
      </c>
      <c r="D151">
        <v>-0.164265396695976</v>
      </c>
      <c r="E151">
        <v>-0.25677512915798</v>
      </c>
      <c r="F151">
        <v>-0.218586212811374</v>
      </c>
      <c r="G151">
        <v>-0.102992742395824</v>
      </c>
      <c r="H151">
        <v>0.199308602579444</v>
      </c>
      <c r="I151">
        <v>0.454843402720654</v>
      </c>
    </row>
    <row r="152" spans="1:9">
      <c r="A152" s="1" t="s">
        <v>164</v>
      </c>
      <c r="B152">
        <f>HYPERLINK("https://www.suredividend.com/sure-analysis-research-database/","Arvinas Inc")</f>
        <v>0</v>
      </c>
      <c r="C152">
        <v>-0.05798252581413801</v>
      </c>
      <c r="D152">
        <v>-0.036164160910199</v>
      </c>
      <c r="E152">
        <v>-0.324216524216524</v>
      </c>
      <c r="F152">
        <v>-0.306635486699795</v>
      </c>
      <c r="G152">
        <v>-0.555888410410035</v>
      </c>
      <c r="H152">
        <v>-0.7637450199203181</v>
      </c>
      <c r="I152">
        <v>0.477881619937694</v>
      </c>
    </row>
    <row r="153" spans="1:9">
      <c r="A153" s="1" t="s">
        <v>165</v>
      </c>
      <c r="B153">
        <f>HYPERLINK("https://www.suredividend.com/sure-analysis-research-database/","Arrowhead Pharmaceuticals Inc.")</f>
        <v>0</v>
      </c>
      <c r="C153">
        <v>-0.08181818181818101</v>
      </c>
      <c r="D153">
        <v>-0.196019900497512</v>
      </c>
      <c r="E153">
        <v>-0.120304844855743</v>
      </c>
      <c r="F153">
        <v>-0.203155818540434</v>
      </c>
      <c r="G153">
        <v>-0.27141568981064</v>
      </c>
      <c r="H153">
        <v>-0.515805243445692</v>
      </c>
      <c r="I153">
        <v>1.22283356258597</v>
      </c>
    </row>
    <row r="154" spans="1:9">
      <c r="A154" s="1" t="s">
        <v>166</v>
      </c>
      <c r="B154">
        <f>HYPERLINK("https://www.suredividend.com/sure-analysis-research-database/","Asana Inc")</f>
        <v>0</v>
      </c>
      <c r="C154">
        <v>0.002271694684234</v>
      </c>
      <c r="D154">
        <v>0.412291933418694</v>
      </c>
      <c r="E154">
        <v>0.323335332933413</v>
      </c>
      <c r="F154">
        <v>0.602033405954974</v>
      </c>
      <c r="G154">
        <v>-0.0466724286949</v>
      </c>
      <c r="H154">
        <v>-0.695008986589243</v>
      </c>
      <c r="I154">
        <v>-0.234027777777777</v>
      </c>
    </row>
    <row r="155" spans="1:9">
      <c r="A155" s="1" t="s">
        <v>167</v>
      </c>
      <c r="B155">
        <f>HYPERLINK("https://www.suredividend.com/sure-analysis-ASB/","Associated Banc-Corp.")</f>
        <v>0</v>
      </c>
      <c r="C155">
        <v>0.126353790613718</v>
      </c>
      <c r="D155">
        <v>0.187651469972465</v>
      </c>
      <c r="E155">
        <v>-0.188918688231955</v>
      </c>
      <c r="F155">
        <v>-0.170653907496012</v>
      </c>
      <c r="G155">
        <v>-0.03479283106812101</v>
      </c>
      <c r="H155">
        <v>0.001278341472285</v>
      </c>
      <c r="I155">
        <v>-0.185176479805696</v>
      </c>
    </row>
    <row r="156" spans="1:9">
      <c r="A156" s="1" t="s">
        <v>168</v>
      </c>
      <c r="B156">
        <f>HYPERLINK("https://www.suredividend.com/sure-analysis-research-database/","Ardmore Shipping Corp")</f>
        <v>0</v>
      </c>
      <c r="C156">
        <v>0.10808646917534</v>
      </c>
      <c r="D156">
        <v>0.030528667163067</v>
      </c>
      <c r="E156">
        <v>-0.055399714708873</v>
      </c>
      <c r="F156">
        <v>-0.015409131653458</v>
      </c>
      <c r="G156">
        <v>0.661344921134131</v>
      </c>
      <c r="H156">
        <v>3.148556697940709</v>
      </c>
      <c r="I156">
        <v>1.103663170694634</v>
      </c>
    </row>
    <row r="157" spans="1:9">
      <c r="A157" s="1" t="s">
        <v>169</v>
      </c>
      <c r="B157">
        <f>HYPERLINK("https://www.suredividend.com/sure-analysis-research-database/","ASGN Inc")</f>
        <v>0</v>
      </c>
      <c r="C157">
        <v>0.05926809864757301</v>
      </c>
      <c r="D157">
        <v>0.175371487420921</v>
      </c>
      <c r="E157">
        <v>-0.165378186376932</v>
      </c>
      <c r="F157">
        <v>-0.019513991163475</v>
      </c>
      <c r="G157">
        <v>-0.228488652824722</v>
      </c>
      <c r="H157">
        <v>-0.222027461291264</v>
      </c>
      <c r="I157">
        <v>-0.129738562091503</v>
      </c>
    </row>
    <row r="158" spans="1:9">
      <c r="A158" s="1" t="s">
        <v>170</v>
      </c>
      <c r="B158">
        <f>HYPERLINK("https://www.suredividend.com/sure-analysis-research-database/","AdvanSix Inc")</f>
        <v>0</v>
      </c>
      <c r="C158">
        <v>0.09480122324159</v>
      </c>
      <c r="D158">
        <v>0.087463790327702</v>
      </c>
      <c r="E158">
        <v>-0.095057977875109</v>
      </c>
      <c r="F158">
        <v>0.043944828390633</v>
      </c>
      <c r="G158">
        <v>0.03766201940939101</v>
      </c>
      <c r="H158">
        <v>0.139738016543277</v>
      </c>
      <c r="I158">
        <v>0.108103392968692</v>
      </c>
    </row>
    <row r="159" spans="1:9">
      <c r="A159" s="1" t="s">
        <v>171</v>
      </c>
      <c r="B159">
        <f>HYPERLINK("https://www.suredividend.com/sure-analysis-research-database/","AerSale Corp")</f>
        <v>0</v>
      </c>
      <c r="C159">
        <v>-0.04081632653061201</v>
      </c>
      <c r="D159">
        <v>-0.145972138098122</v>
      </c>
      <c r="E159">
        <v>-0.261006289308176</v>
      </c>
      <c r="F159">
        <v>-0.130702836004932</v>
      </c>
      <c r="G159">
        <v>-0.217536071032186</v>
      </c>
      <c r="H159">
        <v>0.201022146507666</v>
      </c>
      <c r="I159">
        <v>0.456611570247933</v>
      </c>
    </row>
    <row r="160" spans="1:9">
      <c r="A160" s="1" t="s">
        <v>172</v>
      </c>
      <c r="B160">
        <f>HYPERLINK("https://www.suredividend.com/sure-analysis-research-database/","Academy Sports and Outdoors Inc")</f>
        <v>0</v>
      </c>
      <c r="C160">
        <v>0.09293680297397701</v>
      </c>
      <c r="D160">
        <v>-0.048917658590554</v>
      </c>
      <c r="E160">
        <v>-0.05475356074976701</v>
      </c>
      <c r="F160">
        <v>0.124616282072124</v>
      </c>
      <c r="G160">
        <v>0.349967628327279</v>
      </c>
      <c r="H160">
        <v>0.6239639634663341</v>
      </c>
      <c r="I160">
        <v>3.581865785618552</v>
      </c>
    </row>
    <row r="161" spans="1:9">
      <c r="A161" s="1" t="s">
        <v>173</v>
      </c>
      <c r="B161">
        <f>HYPERLINK("https://www.suredividend.com/sure-analysis-research-database/","Aspen Aerogels Inc.")</f>
        <v>0</v>
      </c>
      <c r="C161">
        <v>-0.108591885441527</v>
      </c>
      <c r="D161">
        <v>0.1952</v>
      </c>
      <c r="E161">
        <v>-0.3435852372583481</v>
      </c>
      <c r="F161">
        <v>-0.366412213740458</v>
      </c>
      <c r="G161">
        <v>-0.4932157394843961</v>
      </c>
      <c r="H161">
        <v>-0.802485457429931</v>
      </c>
      <c r="I161">
        <v>0.5594989561586631</v>
      </c>
    </row>
    <row r="162" spans="1:9">
      <c r="A162" s="1" t="s">
        <v>174</v>
      </c>
      <c r="B162">
        <f>HYPERLINK("https://www.suredividend.com/sure-analysis-research-database/","Astec Industries Inc.")</f>
        <v>0</v>
      </c>
      <c r="C162">
        <v>0.155013192612137</v>
      </c>
      <c r="D162">
        <v>0.209903101801841</v>
      </c>
      <c r="E162">
        <v>0.164822493735725</v>
      </c>
      <c r="F162">
        <v>0.304049927759655</v>
      </c>
      <c r="G162">
        <v>0.288065106995471</v>
      </c>
      <c r="H162">
        <v>-0.115589564866025</v>
      </c>
      <c r="I162">
        <v>0.220007850040992</v>
      </c>
    </row>
    <row r="163" spans="1:9">
      <c r="A163" s="1" t="s">
        <v>175</v>
      </c>
      <c r="B163">
        <f>HYPERLINK("https://www.suredividend.com/sure-analysis-research-database/","Astra Space Inc")</f>
        <v>0</v>
      </c>
      <c r="C163">
        <v>0.006224066390041001</v>
      </c>
      <c r="D163">
        <v>0.016771488469601</v>
      </c>
      <c r="E163">
        <v>-0.420549581839904</v>
      </c>
      <c r="F163">
        <v>-0.105578607653296</v>
      </c>
      <c r="G163">
        <v>-0.7648484848484841</v>
      </c>
      <c r="H163">
        <v>-0.9538644470868011</v>
      </c>
      <c r="I163">
        <v>-0.9612000000000001</v>
      </c>
    </row>
    <row r="164" spans="1:9">
      <c r="A164" s="1" t="s">
        <v>176</v>
      </c>
      <c r="B164">
        <f>HYPERLINK("https://www.suredividend.com/sure-analysis-research-database/","Alphatec Holdings Inc")</f>
        <v>0</v>
      </c>
      <c r="C164">
        <v>-0.040363843092666</v>
      </c>
      <c r="D164">
        <v>0.148299319727891</v>
      </c>
      <c r="E164">
        <v>0.252225519287833</v>
      </c>
      <c r="F164">
        <v>0.3668016194331981</v>
      </c>
      <c r="G164">
        <v>1.058536585365853</v>
      </c>
      <c r="H164">
        <v>0.182901191310441</v>
      </c>
      <c r="I164">
        <v>4.881533101045296</v>
      </c>
    </row>
    <row r="165" spans="1:9">
      <c r="A165" s="1" t="s">
        <v>177</v>
      </c>
      <c r="B165">
        <f>HYPERLINK("https://www.suredividend.com/sure-analysis-research-database/","A10 Networks Inc")</f>
        <v>0</v>
      </c>
      <c r="C165">
        <v>0.09033613445378101</v>
      </c>
      <c r="D165">
        <v>0.110603877484057</v>
      </c>
      <c r="E165">
        <v>-0.026643827909128</v>
      </c>
      <c r="F165">
        <v>-0.05590589376667401</v>
      </c>
      <c r="G165">
        <v>0.010395981777829</v>
      </c>
      <c r="H165">
        <v>0.22726950270756</v>
      </c>
      <c r="I165">
        <v>1.390236413877801</v>
      </c>
    </row>
    <row r="166" spans="1:9">
      <c r="A166" s="1" t="s">
        <v>178</v>
      </c>
      <c r="B166">
        <f>HYPERLINK("https://www.suredividend.com/sure-analysis-research-database/","Aterian Inc")</f>
        <v>0</v>
      </c>
      <c r="C166">
        <v>-0.100675138999205</v>
      </c>
      <c r="D166">
        <v>-0.363278504147335</v>
      </c>
      <c r="E166">
        <v>-0.7000662251655621</v>
      </c>
      <c r="F166">
        <v>-0.4120472543165</v>
      </c>
      <c r="G166">
        <v>-0.81884</v>
      </c>
      <c r="H166">
        <v>-0.9501760176017601</v>
      </c>
      <c r="I166">
        <v>-0.9547100000000001</v>
      </c>
    </row>
    <row r="167" spans="1:9">
      <c r="A167" s="1" t="s">
        <v>179</v>
      </c>
      <c r="B167">
        <f>HYPERLINK("https://www.suredividend.com/sure-analysis-research-database/","Anterix Inc")</f>
        <v>0</v>
      </c>
      <c r="C167">
        <v>-0.084436042848141</v>
      </c>
      <c r="D167">
        <v>-0.07008</v>
      </c>
      <c r="E167">
        <v>-0.213318895506226</v>
      </c>
      <c r="F167">
        <v>-0.09667391980105701</v>
      </c>
      <c r="G167">
        <v>-0.354222222222222</v>
      </c>
      <c r="H167">
        <v>-0.495135510771369</v>
      </c>
      <c r="I167">
        <v>-0.013242784380305</v>
      </c>
    </row>
    <row r="168" spans="1:9">
      <c r="A168" s="1" t="s">
        <v>180</v>
      </c>
      <c r="B168">
        <f>HYPERLINK("https://www.suredividend.com/sure-analysis-research-database/","Adtalem Global Education Inc")</f>
        <v>0</v>
      </c>
      <c r="C168">
        <v>0.286500579374275</v>
      </c>
      <c r="D168">
        <v>0.041510318949343</v>
      </c>
      <c r="E168">
        <v>0.013232945471138</v>
      </c>
      <c r="F168">
        <v>0.250985915492957</v>
      </c>
      <c r="G168">
        <v>0.112753695815585</v>
      </c>
      <c r="H168">
        <v>0.182374866879658</v>
      </c>
      <c r="I168">
        <v>-0.195471014492753</v>
      </c>
    </row>
    <row r="169" spans="1:9">
      <c r="A169" s="1" t="s">
        <v>181</v>
      </c>
      <c r="B169">
        <f>HYPERLINK("https://www.suredividend.com/sure-analysis-research-database/","Athira Pharma Inc")</f>
        <v>0</v>
      </c>
      <c r="C169">
        <v>0.0625</v>
      </c>
      <c r="D169">
        <v>0.04081632653061201</v>
      </c>
      <c r="E169">
        <v>-0.176312247644683</v>
      </c>
      <c r="F169">
        <v>-0.03470031545741301</v>
      </c>
      <c r="G169">
        <v>-0.120689655172413</v>
      </c>
      <c r="H169">
        <v>-0.695825049701789</v>
      </c>
      <c r="I169">
        <v>-0.821157218001168</v>
      </c>
    </row>
    <row r="170" spans="1:9">
      <c r="A170" s="1" t="s">
        <v>182</v>
      </c>
      <c r="B170">
        <f>HYPERLINK("https://www.suredividend.com/sure-analysis-research-database/","ATI Inc")</f>
        <v>0</v>
      </c>
      <c r="C170">
        <v>-0.010087424344317</v>
      </c>
      <c r="D170">
        <v>0.162105263157894</v>
      </c>
      <c r="E170">
        <v>0.101246882793017</v>
      </c>
      <c r="F170">
        <v>0.4789015405224371</v>
      </c>
      <c r="G170">
        <v>0.7420118343195261</v>
      </c>
      <c r="H170">
        <v>1.220211161387631</v>
      </c>
      <c r="I170">
        <v>0.618768328445747</v>
      </c>
    </row>
    <row r="171" spans="1:9">
      <c r="A171" s="1" t="s">
        <v>183</v>
      </c>
      <c r="B171">
        <f>HYPERLINK("https://www.suredividend.com/sure-analysis-research-database/","ATI Physical Therapy Inc")</f>
        <v>0</v>
      </c>
      <c r="C171">
        <v>-0.25498426023085</v>
      </c>
      <c r="D171">
        <v>-0.470149253731343</v>
      </c>
      <c r="E171">
        <v>-0.667836257309941</v>
      </c>
      <c r="F171">
        <v>-0.5344262295081961</v>
      </c>
      <c r="G171">
        <v>-0.8765217391304341</v>
      </c>
      <c r="H171">
        <v>-0.9684444444444441</v>
      </c>
      <c r="I171">
        <v>-0.29</v>
      </c>
    </row>
    <row r="172" spans="1:9">
      <c r="A172" s="1" t="s">
        <v>184</v>
      </c>
      <c r="B172">
        <f>HYPERLINK("https://www.suredividend.com/sure-analysis-research-database/","Atkore Inc")</f>
        <v>0</v>
      </c>
      <c r="C172">
        <v>0.000323897130271</v>
      </c>
      <c r="D172">
        <v>0.213707458932641</v>
      </c>
      <c r="E172">
        <v>0.06887243026233801</v>
      </c>
      <c r="F172">
        <v>0.361488273673073</v>
      </c>
      <c r="G172">
        <v>0.705732906218932</v>
      </c>
      <c r="H172">
        <v>0.839866555462885</v>
      </c>
      <c r="I172">
        <v>6.022282855843565</v>
      </c>
    </row>
    <row r="173" spans="1:9">
      <c r="A173" s="1" t="s">
        <v>185</v>
      </c>
      <c r="B173">
        <f>HYPERLINK("https://www.suredividend.com/sure-analysis-research-database/","Atlanticus Holdings Corp")</f>
        <v>0</v>
      </c>
      <c r="C173">
        <v>-0.106067732831608</v>
      </c>
      <c r="D173">
        <v>0.396399706098457</v>
      </c>
      <c r="E173">
        <v>0.07372881355932101</v>
      </c>
      <c r="F173">
        <v>0.4507633587786251</v>
      </c>
      <c r="G173">
        <v>-0.03282442748091501</v>
      </c>
      <c r="H173">
        <v>-0.152508361204013</v>
      </c>
      <c r="I173">
        <v>16.92924528301887</v>
      </c>
    </row>
    <row r="174" spans="1:9">
      <c r="A174" s="1" t="s">
        <v>186</v>
      </c>
      <c r="B174">
        <f>HYPERLINK("https://www.suredividend.com/sure-analysis-research-database/","ATN International Inc")</f>
        <v>0</v>
      </c>
      <c r="C174">
        <v>0.01535974130962</v>
      </c>
      <c r="D174">
        <v>0.043486930104653</v>
      </c>
      <c r="E174">
        <v>-0.203298445924516</v>
      </c>
      <c r="F174">
        <v>-0.154241027839566</v>
      </c>
      <c r="G174">
        <v>-0.168344104248331</v>
      </c>
      <c r="H174">
        <v>-0.098102856486335</v>
      </c>
      <c r="I174">
        <v>-0.368207136844858</v>
      </c>
    </row>
    <row r="175" spans="1:9">
      <c r="A175" s="1" t="s">
        <v>187</v>
      </c>
      <c r="B175">
        <f>HYPERLINK("https://www.suredividend.com/sure-analysis-research-database/","Atomera Inc")</f>
        <v>0</v>
      </c>
      <c r="C175">
        <v>-0.164196123147092</v>
      </c>
      <c r="D175">
        <v>-0.252803261977574</v>
      </c>
      <c r="E175">
        <v>-0.110436893203883</v>
      </c>
      <c r="F175">
        <v>0.178456591639871</v>
      </c>
      <c r="G175">
        <v>-0.4348496530454891</v>
      </c>
      <c r="H175">
        <v>-0.5710942071386771</v>
      </c>
      <c r="I175">
        <v>0.259450171821305</v>
      </c>
    </row>
    <row r="176" spans="1:9">
      <c r="A176" s="1" t="s">
        <v>188</v>
      </c>
      <c r="B176">
        <f>HYPERLINK("https://www.suredividend.com/sure-analysis-research-database/","Atara Biotherapeutics Inc")</f>
        <v>0</v>
      </c>
      <c r="C176">
        <v>0.452830188679245</v>
      </c>
      <c r="D176">
        <v>-0.144444444444444</v>
      </c>
      <c r="E176">
        <v>-0.553191489361702</v>
      </c>
      <c r="F176">
        <v>-0.295731707317073</v>
      </c>
      <c r="G176">
        <v>-0.271293375394321</v>
      </c>
      <c r="H176">
        <v>-0.816521048451151</v>
      </c>
      <c r="I176">
        <v>-0.9370572207084461</v>
      </c>
    </row>
    <row r="177" spans="1:9">
      <c r="A177" s="1" t="s">
        <v>189</v>
      </c>
      <c r="B177">
        <f>HYPERLINK("https://www.suredividend.com/sure-analysis-research-database/","Atricure Inc")</f>
        <v>0</v>
      </c>
      <c r="C177">
        <v>0.162305805396565</v>
      </c>
      <c r="D177">
        <v>0.176494930684874</v>
      </c>
      <c r="E177">
        <v>0.204661016949152</v>
      </c>
      <c r="F177">
        <v>0.281207751239297</v>
      </c>
      <c r="G177">
        <v>0.151478331308221</v>
      </c>
      <c r="H177">
        <v>-0.319204980842911</v>
      </c>
      <c r="I177">
        <v>0.771339563862928</v>
      </c>
    </row>
    <row r="178" spans="1:9">
      <c r="A178" s="1" t="s">
        <v>190</v>
      </c>
      <c r="B178">
        <f>HYPERLINK("https://www.suredividend.com/sure-analysis-ATRI/","Atrion Corp.")</f>
        <v>0</v>
      </c>
      <c r="C178">
        <v>-0.05105671010919301</v>
      </c>
      <c r="D178">
        <v>-0.117896625231388</v>
      </c>
      <c r="E178">
        <v>-0.20348025952343</v>
      </c>
      <c r="F178">
        <v>-0.026350922058199</v>
      </c>
      <c r="G178">
        <v>-0.164072930956001</v>
      </c>
      <c r="H178">
        <v>-0.126141302664295</v>
      </c>
      <c r="I178">
        <v>-0.105386888914458</v>
      </c>
    </row>
    <row r="179" spans="1:9">
      <c r="A179" s="1" t="s">
        <v>191</v>
      </c>
      <c r="B179">
        <f>HYPERLINK("https://www.suredividend.com/sure-analysis-research-database/","Astronics Corp.")</f>
        <v>0</v>
      </c>
      <c r="C179">
        <v>0.058617234468937</v>
      </c>
      <c r="D179">
        <v>0.406790945406125</v>
      </c>
      <c r="E179">
        <v>0.4413369713506131</v>
      </c>
      <c r="F179">
        <v>1.051456310679611</v>
      </c>
      <c r="G179">
        <v>0.8933691756272391</v>
      </c>
      <c r="H179">
        <v>0.27828191167574</v>
      </c>
      <c r="I179">
        <v>-0.4919451791295981</v>
      </c>
    </row>
    <row r="180" spans="1:9">
      <c r="A180" s="1" t="s">
        <v>192</v>
      </c>
      <c r="B180">
        <f>HYPERLINK("https://www.suredividend.com/sure-analysis-research-database/","Air Transport Services Group Inc")</f>
        <v>0</v>
      </c>
      <c r="C180">
        <v>0.038981288981289</v>
      </c>
      <c r="D180">
        <v>-0.019136408243375</v>
      </c>
      <c r="E180">
        <v>-0.29012784090909</v>
      </c>
      <c r="F180">
        <v>-0.230561970746728</v>
      </c>
      <c r="G180">
        <v>-0.394792612776264</v>
      </c>
      <c r="H180">
        <v>-0.200080032012805</v>
      </c>
      <c r="I180">
        <v>-0.058407913330193</v>
      </c>
    </row>
    <row r="181" spans="1:9">
      <c r="A181" s="1" t="s">
        <v>193</v>
      </c>
      <c r="B181">
        <f>HYPERLINK("https://www.suredividend.com/sure-analysis-research-database/","Atlantic Union Bankshares Corp")</f>
        <v>0</v>
      </c>
      <c r="C181">
        <v>0.224489795918367</v>
      </c>
      <c r="D181">
        <v>0.295751215766572</v>
      </c>
      <c r="E181">
        <v>-0.177619054871084</v>
      </c>
      <c r="F181">
        <v>-0.05990221822455</v>
      </c>
      <c r="G181">
        <v>0.004573288892333</v>
      </c>
      <c r="H181">
        <v>-0.020105973724323</v>
      </c>
      <c r="I181">
        <v>-0.184973322969413</v>
      </c>
    </row>
    <row r="182" spans="1:9">
      <c r="A182" s="1" t="s">
        <v>194</v>
      </c>
      <c r="B182">
        <f>HYPERLINK("https://www.suredividend.com/sure-analysis-research-database/","Aurinia Pharmaceuticals Inc")</f>
        <v>0</v>
      </c>
      <c r="C182">
        <v>0.05705705705705601</v>
      </c>
      <c r="D182">
        <v>-0.096663815226689</v>
      </c>
      <c r="E182">
        <v>0.166850828729281</v>
      </c>
      <c r="F182">
        <v>1.444444444444444</v>
      </c>
      <c r="G182">
        <v>0.24235294117647</v>
      </c>
      <c r="H182">
        <v>-0.206015037593984</v>
      </c>
      <c r="I182">
        <v>0.9812382739212001</v>
      </c>
    </row>
    <row r="183" spans="1:9">
      <c r="A183" s="1" t="s">
        <v>195</v>
      </c>
      <c r="B183">
        <f>HYPERLINK("https://www.suredividend.com/sure-analysis-research-database/","Aura Biosciences Inc")</f>
        <v>0</v>
      </c>
      <c r="C183">
        <v>-0.09194467046379101</v>
      </c>
      <c r="D183">
        <v>0.227722772277227</v>
      </c>
      <c r="E183">
        <v>0.10167818361303</v>
      </c>
      <c r="F183">
        <v>0.062857142857142</v>
      </c>
      <c r="G183">
        <v>-0.202857142857142</v>
      </c>
      <c r="H183">
        <v>-0.245945945945946</v>
      </c>
      <c r="I183">
        <v>-0.245945945945946</v>
      </c>
    </row>
    <row r="184" spans="1:9">
      <c r="A184" s="1" t="s">
        <v>196</v>
      </c>
      <c r="B184">
        <f>HYPERLINK("https://www.suredividend.com/sure-analysis-AVA/","Avista Corp.")</f>
        <v>0</v>
      </c>
      <c r="C184">
        <v>-0.03427986697365</v>
      </c>
      <c r="D184">
        <v>-0.125789105595412</v>
      </c>
      <c r="E184">
        <v>-0.068207230711889</v>
      </c>
      <c r="F184">
        <v>-0.129148942060145</v>
      </c>
      <c r="G184">
        <v>-0.06239366550676601</v>
      </c>
      <c r="H184">
        <v>-0.07117619849026101</v>
      </c>
      <c r="I184">
        <v>-0.09357434251124301</v>
      </c>
    </row>
    <row r="185" spans="1:9">
      <c r="A185" s="1" t="s">
        <v>197</v>
      </c>
      <c r="B185">
        <f>HYPERLINK("https://www.suredividend.com/sure-analysis-research-database/","Aveanna Healthcare Holdings Inc")</f>
        <v>0</v>
      </c>
      <c r="C185">
        <v>0.159235668789808</v>
      </c>
      <c r="D185">
        <v>0.5964912280701751</v>
      </c>
      <c r="E185">
        <v>0.444444444444444</v>
      </c>
      <c r="F185">
        <v>1.333333333333333</v>
      </c>
      <c r="G185">
        <v>-0.168949771689497</v>
      </c>
      <c r="H185">
        <v>-0.8161616161616161</v>
      </c>
      <c r="I185">
        <v>-0.8421509106678231</v>
      </c>
    </row>
    <row r="186" spans="1:9">
      <c r="A186" s="1" t="s">
        <v>198</v>
      </c>
      <c r="B186">
        <f>HYPERLINK("https://www.suredividend.com/sure-analysis-research-database/","AeroVironment Inc.")</f>
        <v>0</v>
      </c>
      <c r="C186">
        <v>-0.05384843394921401</v>
      </c>
      <c r="D186">
        <v>-0.060255152109911</v>
      </c>
      <c r="E186">
        <v>0.041322314049586</v>
      </c>
      <c r="F186">
        <v>0.117908008405323</v>
      </c>
      <c r="G186">
        <v>0.047244094488189</v>
      </c>
      <c r="H186">
        <v>-0.05636578636184401</v>
      </c>
      <c r="I186">
        <v>0.276459610770461</v>
      </c>
    </row>
    <row r="187" spans="1:9">
      <c r="A187" s="1" t="s">
        <v>199</v>
      </c>
      <c r="B187">
        <f>HYPERLINK("https://www.suredividend.com/sure-analysis-research-database/","American Vanguard Corp.")</f>
        <v>0</v>
      </c>
      <c r="C187">
        <v>-0.017136539524599</v>
      </c>
      <c r="D187">
        <v>-0.04909107439872901</v>
      </c>
      <c r="E187">
        <v>-0.204844278277669</v>
      </c>
      <c r="F187">
        <v>-0.178472087457144</v>
      </c>
      <c r="G187">
        <v>-0.230522880908484</v>
      </c>
      <c r="H187">
        <v>0.133943034987691</v>
      </c>
      <c r="I187">
        <v>-0.149636275808634</v>
      </c>
    </row>
    <row r="188" spans="1:9">
      <c r="A188" s="1" t="s">
        <v>200</v>
      </c>
      <c r="B188">
        <f>HYPERLINK("https://www.suredividend.com/sure-analysis-research-database/","AvidXchange Holdings Inc")</f>
        <v>0</v>
      </c>
      <c r="C188">
        <v>0.051909892262487</v>
      </c>
      <c r="D188">
        <v>0.3875968992248061</v>
      </c>
      <c r="E188">
        <v>-0.027173913043478</v>
      </c>
      <c r="F188">
        <v>0.080482897384305</v>
      </c>
      <c r="G188">
        <v>0.362944162436548</v>
      </c>
      <c r="H188">
        <v>-0.569366479550922</v>
      </c>
      <c r="I188">
        <v>-0.569366479550922</v>
      </c>
    </row>
    <row r="189" spans="1:9">
      <c r="A189" s="1" t="s">
        <v>201</v>
      </c>
      <c r="B189">
        <f>HYPERLINK("https://www.suredividend.com/sure-analysis-research-database/","Avid Technology, Inc.")</f>
        <v>0</v>
      </c>
      <c r="C189">
        <v>0.05076923076923</v>
      </c>
      <c r="D189">
        <v>0.030165912518853</v>
      </c>
      <c r="E189">
        <v>-0.151816206147159</v>
      </c>
      <c r="F189">
        <v>0.02745393004889</v>
      </c>
      <c r="G189">
        <v>0.011477230655312</v>
      </c>
      <c r="H189">
        <v>-0.244260027662517</v>
      </c>
      <c r="I189">
        <v>3.994515539305301</v>
      </c>
    </row>
    <row r="190" spans="1:9">
      <c r="A190" s="1" t="s">
        <v>202</v>
      </c>
      <c r="B190">
        <f>HYPERLINK("https://www.suredividend.com/sure-analysis-research-database/","Atea Pharmaceuticals Inc")</f>
        <v>0</v>
      </c>
      <c r="C190">
        <v>-0.049450549450549</v>
      </c>
      <c r="D190">
        <v>0.06790123456790101</v>
      </c>
      <c r="E190">
        <v>-0.232815964523281</v>
      </c>
      <c r="F190">
        <v>-0.28066528066528</v>
      </c>
      <c r="G190">
        <v>-0.5914994096812271</v>
      </c>
      <c r="H190">
        <v>-0.875718390804597</v>
      </c>
      <c r="I190">
        <v>-0.8859591298615681</v>
      </c>
    </row>
    <row r="191" spans="1:9">
      <c r="A191" s="1" t="s">
        <v>203</v>
      </c>
      <c r="B191">
        <f>HYPERLINK("https://www.suredividend.com/sure-analysis-research-database/","Avanos Medical Inc")</f>
        <v>0</v>
      </c>
      <c r="C191">
        <v>-0.06164114644680001</v>
      </c>
      <c r="D191">
        <v>-0.022094926350245</v>
      </c>
      <c r="E191">
        <v>-0.243431465653687</v>
      </c>
      <c r="F191">
        <v>-0.116777531411677</v>
      </c>
      <c r="G191">
        <v>-0.154281670205237</v>
      </c>
      <c r="H191">
        <v>-0.352829677768751</v>
      </c>
      <c r="I191">
        <v>-0.58180227471566</v>
      </c>
    </row>
    <row r="192" spans="1:9">
      <c r="A192" s="1" t="s">
        <v>204</v>
      </c>
      <c r="B192">
        <f>HYPERLINK("https://www.suredividend.com/sure-analysis-AVNT/","Avient Corp")</f>
        <v>0</v>
      </c>
      <c r="C192">
        <v>-0.044768856447688</v>
      </c>
      <c r="D192">
        <v>0.043444056408702</v>
      </c>
      <c r="E192">
        <v>-0.039550648658037</v>
      </c>
      <c r="F192">
        <v>0.177518573061038</v>
      </c>
      <c r="G192">
        <v>-0.061831650636238</v>
      </c>
      <c r="H192">
        <v>-0.145064631894359</v>
      </c>
      <c r="I192">
        <v>-0.054693425472231</v>
      </c>
    </row>
    <row r="193" spans="1:9">
      <c r="A193" s="1" t="s">
        <v>205</v>
      </c>
      <c r="B193">
        <f>HYPERLINK("https://www.suredividend.com/sure-analysis-research-database/","Aviat Networks Inc")</f>
        <v>0</v>
      </c>
      <c r="C193">
        <v>-0.09871756635848501</v>
      </c>
      <c r="D193">
        <v>-0.052664576802507</v>
      </c>
      <c r="E193">
        <v>-0.208071278825995</v>
      </c>
      <c r="F193">
        <v>-0.031099711445976</v>
      </c>
      <c r="G193">
        <v>-0.03542930098946601</v>
      </c>
      <c r="H193">
        <v>-0.182359307359307</v>
      </c>
      <c r="I193">
        <v>2.899354838709677</v>
      </c>
    </row>
    <row r="194" spans="1:9">
      <c r="A194" s="1" t="s">
        <v>206</v>
      </c>
      <c r="B194">
        <f>HYPERLINK("https://www.suredividend.com/sure-analysis-research-database/","Mission Produce Inc")</f>
        <v>0</v>
      </c>
      <c r="C194">
        <v>-0.061425061425061</v>
      </c>
      <c r="D194">
        <v>-0.027989821882951</v>
      </c>
      <c r="E194">
        <v>-0.07281553398058201</v>
      </c>
      <c r="F194">
        <v>-0.013769363166953</v>
      </c>
      <c r="G194">
        <v>-0.225152129817444</v>
      </c>
      <c r="H194">
        <v>-0.3968421052631571</v>
      </c>
      <c r="I194">
        <v>-0.08319999999999901</v>
      </c>
    </row>
    <row r="195" spans="1:9">
      <c r="A195" s="1" t="s">
        <v>207</v>
      </c>
      <c r="B195">
        <f>HYPERLINK("https://www.suredividend.com/sure-analysis-research-database/","AvePoint Inc")</f>
        <v>0</v>
      </c>
      <c r="C195">
        <v>0.064912280701754</v>
      </c>
      <c r="D195">
        <v>0.379545454545454</v>
      </c>
      <c r="E195">
        <v>0.218875502008032</v>
      </c>
      <c r="F195">
        <v>0.476885644768856</v>
      </c>
      <c r="G195">
        <v>0.143126177024482</v>
      </c>
      <c r="H195">
        <v>-0.421904761904761</v>
      </c>
      <c r="I195">
        <v>-0.379345603271983</v>
      </c>
    </row>
    <row r="196" spans="1:9">
      <c r="A196" s="1" t="s">
        <v>208</v>
      </c>
      <c r="B196">
        <f>HYPERLINK("https://www.suredividend.com/sure-analysis-research-database/","Avantax Inc")</f>
        <v>0</v>
      </c>
      <c r="C196">
        <v>0.08824814329401401</v>
      </c>
      <c r="D196">
        <v>0.017565359477124</v>
      </c>
      <c r="E196">
        <v>-0.141626464507236</v>
      </c>
      <c r="F196">
        <v>-0.024285154719937</v>
      </c>
      <c r="G196">
        <v>0.177777777777777</v>
      </c>
      <c r="H196">
        <v>0.485390578413834</v>
      </c>
      <c r="I196">
        <v>-0.281096681096681</v>
      </c>
    </row>
    <row r="197" spans="1:9">
      <c r="A197" s="1" t="s">
        <v>209</v>
      </c>
      <c r="B197">
        <f>HYPERLINK("https://www.suredividend.com/sure-analysis-research-database/","Aerovate Therapeutics Inc")</f>
        <v>0</v>
      </c>
      <c r="C197">
        <v>-0.105748373101952</v>
      </c>
      <c r="D197">
        <v>-0.241490340386384</v>
      </c>
      <c r="E197">
        <v>-0.327213382292941</v>
      </c>
      <c r="F197">
        <v>-0.437201365187713</v>
      </c>
      <c r="G197">
        <v>-0.30333755809041</v>
      </c>
      <c r="H197">
        <v>0.224201930215293</v>
      </c>
      <c r="I197">
        <v>-0.277704774419623</v>
      </c>
    </row>
    <row r="198" spans="1:9">
      <c r="A198" s="1" t="s">
        <v>210</v>
      </c>
      <c r="B198">
        <f>HYPERLINK("https://www.suredividend.com/sure-analysis-research-database/","Anavex Life Sciences Corporation")</f>
        <v>0</v>
      </c>
      <c r="C198">
        <v>0.036204744069912</v>
      </c>
      <c r="D198">
        <v>-0.004796163069544001</v>
      </c>
      <c r="E198">
        <v>-0.262877442273534</v>
      </c>
      <c r="F198">
        <v>-0.103671706263498</v>
      </c>
      <c r="G198">
        <v>-0.211775878442544</v>
      </c>
      <c r="H198">
        <v>-0.5376044568245121</v>
      </c>
      <c r="I198">
        <v>2.143939393939394</v>
      </c>
    </row>
    <row r="199" spans="1:9">
      <c r="A199" s="1" t="s">
        <v>211</v>
      </c>
      <c r="B199">
        <f>HYPERLINK("https://www.suredividend.com/sure-analysis-AWR/","American States Water Co.")</f>
        <v>0</v>
      </c>
      <c r="C199">
        <v>-0.018839917789449</v>
      </c>
      <c r="D199">
        <v>-0.03200587577953101</v>
      </c>
      <c r="E199">
        <v>-0.114713294033045</v>
      </c>
      <c r="F199">
        <v>-0.063442429447558</v>
      </c>
      <c r="G199">
        <v>-0.031674269332708</v>
      </c>
      <c r="H199">
        <v>-0.001999948897937</v>
      </c>
      <c r="I199">
        <v>0.554267316614363</v>
      </c>
    </row>
    <row r="200" spans="1:9">
      <c r="A200" s="1" t="s">
        <v>212</v>
      </c>
      <c r="B200">
        <f>HYPERLINK("https://www.suredividend.com/sure-analysis-research-database/","Axos Financial Inc.")</f>
        <v>0</v>
      </c>
      <c r="C200">
        <v>0.139132614690398</v>
      </c>
      <c r="D200">
        <v>0.189528795811518</v>
      </c>
      <c r="E200">
        <v>-0.111458740711771</v>
      </c>
      <c r="F200">
        <v>0.188906331763474</v>
      </c>
      <c r="G200">
        <v>0.078310393925011</v>
      </c>
      <c r="H200">
        <v>-0.047179702243656</v>
      </c>
      <c r="I200">
        <v>0.085782556750298</v>
      </c>
    </row>
    <row r="201" spans="1:9">
      <c r="A201" s="1" t="s">
        <v>213</v>
      </c>
      <c r="B201">
        <f>HYPERLINK("https://www.suredividend.com/sure-analysis-research-database/","BioXcel Therapeutics Inc")</f>
        <v>0</v>
      </c>
      <c r="C201">
        <v>-0.020304568527918</v>
      </c>
      <c r="D201">
        <v>-0.654276757725033</v>
      </c>
      <c r="E201">
        <v>-0.745885450954575</v>
      </c>
      <c r="F201">
        <v>-0.640595903165735</v>
      </c>
      <c r="G201">
        <v>-0.482226693494299</v>
      </c>
      <c r="H201">
        <v>-0.6971361318163981</v>
      </c>
      <c r="I201">
        <v>-0.236852510873863</v>
      </c>
    </row>
    <row r="202" spans="1:9">
      <c r="A202" s="1" t="s">
        <v>214</v>
      </c>
      <c r="B202">
        <f>HYPERLINK("https://www.suredividend.com/sure-analysis-research-database/","Peabody Energy Corp.")</f>
        <v>0</v>
      </c>
      <c r="C202">
        <v>-0.015020482476103</v>
      </c>
      <c r="D202">
        <v>-0.038093968084633</v>
      </c>
      <c r="E202">
        <v>-0.217931203966722</v>
      </c>
      <c r="F202">
        <v>-0.178264254115323</v>
      </c>
      <c r="G202">
        <v>0.119659755889337</v>
      </c>
      <c r="H202">
        <v>0.906087324166967</v>
      </c>
      <c r="I202">
        <v>-0.449118564246165</v>
      </c>
    </row>
    <row r="203" spans="1:9">
      <c r="A203" s="1" t="s">
        <v>215</v>
      </c>
      <c r="B203">
        <f>HYPERLINK("https://www.suredividend.com/sure-analysis-research-database/","First Busey Corp.")</f>
        <v>0</v>
      </c>
      <c r="C203">
        <v>0.08727933514882101</v>
      </c>
      <c r="D203">
        <v>0.267866052299474</v>
      </c>
      <c r="E203">
        <v>-0.09132594895439301</v>
      </c>
      <c r="F203">
        <v>-0.075844895968373</v>
      </c>
      <c r="G203">
        <v>-0.05817923372415901</v>
      </c>
      <c r="H203">
        <v>0.028253159736272</v>
      </c>
      <c r="I203">
        <v>-0.141095024315758</v>
      </c>
    </row>
    <row r="204" spans="1:9">
      <c r="A204" s="1" t="s">
        <v>216</v>
      </c>
      <c r="B204">
        <f>HYPERLINK("https://www.suredividend.com/sure-analysis-research-database/","BrightView Holdings Inc")</f>
        <v>0</v>
      </c>
      <c r="C204">
        <v>0.08749999999999901</v>
      </c>
      <c r="D204">
        <v>0.497131931166347</v>
      </c>
      <c r="E204">
        <v>-0.06785714285714201</v>
      </c>
      <c r="F204">
        <v>0.136429608127721</v>
      </c>
      <c r="G204">
        <v>-0.399539877300613</v>
      </c>
      <c r="H204">
        <v>-0.5139664804469271</v>
      </c>
      <c r="I204">
        <v>-0.6445755787562411</v>
      </c>
    </row>
    <row r="205" spans="1:9">
      <c r="A205" s="1" t="s">
        <v>217</v>
      </c>
      <c r="B205">
        <f>HYPERLINK("https://www.suredividend.com/sure-analysis-research-database/","Bluegreen Vacations Holding Corporation")</f>
        <v>0</v>
      </c>
      <c r="C205">
        <v>0.040468880826123</v>
      </c>
      <c r="D205">
        <v>0.3194265024933901</v>
      </c>
      <c r="E205">
        <v>0.091632089532571</v>
      </c>
      <c r="F205">
        <v>0.511490245049545</v>
      </c>
      <c r="G205">
        <v>0.608699404505048</v>
      </c>
      <c r="H205">
        <v>1.286078712731643</v>
      </c>
      <c r="I205">
        <v>-0.110084121876462</v>
      </c>
    </row>
    <row r="206" spans="1:9">
      <c r="A206" s="1" t="s">
        <v>218</v>
      </c>
      <c r="B206">
        <f>HYPERLINK("https://www.suredividend.com/sure-analysis-research-database/","Bioventus Inc")</f>
        <v>0</v>
      </c>
      <c r="C206">
        <v>0.271428571428571</v>
      </c>
      <c r="D206">
        <v>2.806265369400192</v>
      </c>
      <c r="E206">
        <v>0.6952380952380951</v>
      </c>
      <c r="F206">
        <v>0.363984674329502</v>
      </c>
      <c r="G206">
        <v>-0.5922107674684991</v>
      </c>
      <c r="H206">
        <v>-0.766097240473061</v>
      </c>
      <c r="I206">
        <v>-0.814679854242581</v>
      </c>
    </row>
    <row r="207" spans="1:9">
      <c r="A207" s="1" t="s">
        <v>219</v>
      </c>
      <c r="B207">
        <f>HYPERLINK("https://www.suredividend.com/sure-analysis-research-database/","Babcock &amp; Wilcox Enterprises Inc")</f>
        <v>0</v>
      </c>
      <c r="C207">
        <v>-0.119932432432432</v>
      </c>
      <c r="D207">
        <v>-0.137417218543046</v>
      </c>
      <c r="E207">
        <v>-0.188473520249221</v>
      </c>
      <c r="F207">
        <v>-0.09705372616984301</v>
      </c>
      <c r="G207">
        <v>-0.379022646007151</v>
      </c>
      <c r="H207">
        <v>-0.23941605839416</v>
      </c>
      <c r="I207">
        <v>-0.7286458333333331</v>
      </c>
    </row>
    <row r="208" spans="1:9">
      <c r="A208" s="1" t="s">
        <v>220</v>
      </c>
      <c r="B208">
        <f>HYPERLINK("https://www.suredividend.com/sure-analysis-research-database/","Bridgewater Bancshares Inc")</f>
        <v>0</v>
      </c>
      <c r="C208">
        <v>0.113636363636363</v>
      </c>
      <c r="D208">
        <v>0.240506329113924</v>
      </c>
      <c r="E208">
        <v>-0.313375796178344</v>
      </c>
      <c r="F208">
        <v>-0.392333709131905</v>
      </c>
      <c r="G208">
        <v>-0.371061843640606</v>
      </c>
      <c r="H208">
        <v>-0.331680099194048</v>
      </c>
      <c r="I208">
        <v>-0.140350877192982</v>
      </c>
    </row>
    <row r="209" spans="1:9">
      <c r="A209" s="1" t="s">
        <v>221</v>
      </c>
      <c r="B209">
        <f>HYPERLINK("https://www.suredividend.com/sure-analysis-research-database/","Bankwell Financial Group Inc")</f>
        <v>0</v>
      </c>
      <c r="C209">
        <v>0.112987535182951</v>
      </c>
      <c r="D209">
        <v>0.254179844314958</v>
      </c>
      <c r="E209">
        <v>-0.07450130733377401</v>
      </c>
      <c r="F209">
        <v>-0.03582226804698201</v>
      </c>
      <c r="G209">
        <v>-0.101957654448359</v>
      </c>
      <c r="H209">
        <v>0.00616128387343</v>
      </c>
      <c r="I209">
        <v>-0.017240889595819</v>
      </c>
    </row>
    <row r="210" spans="1:9">
      <c r="A210" s="1" t="s">
        <v>222</v>
      </c>
      <c r="B210">
        <f>HYPERLINK("https://www.suredividend.com/sure-analysis-research-database/","Bluelinx Hldgs Inc")</f>
        <v>0</v>
      </c>
      <c r="C210">
        <v>-0.07347728005156301</v>
      </c>
      <c r="D210">
        <v>0.143747513592361</v>
      </c>
      <c r="E210">
        <v>-0.059432933478735</v>
      </c>
      <c r="F210">
        <v>0.212909576712136</v>
      </c>
      <c r="G210">
        <v>0.0698337881419</v>
      </c>
      <c r="H210">
        <v>0.9562259015649801</v>
      </c>
      <c r="I210">
        <v>1.478448275862069</v>
      </c>
    </row>
    <row r="211" spans="1:9">
      <c r="A211" s="1" t="s">
        <v>223</v>
      </c>
      <c r="B211">
        <f>HYPERLINK("https://www.suredividend.com/sure-analysis-BXMT/","Blackstone Mortgage Trust Inc")</f>
        <v>0</v>
      </c>
      <c r="C211">
        <v>0.07551707551707501</v>
      </c>
      <c r="D211">
        <v>0.329164338449466</v>
      </c>
      <c r="E211">
        <v>-0.029699189390914</v>
      </c>
      <c r="F211">
        <v>0.127510551501918</v>
      </c>
      <c r="G211">
        <v>-0.166452315182422</v>
      </c>
      <c r="H211">
        <v>-0.16022564241236</v>
      </c>
      <c r="I211">
        <v>0.054557802595834</v>
      </c>
    </row>
    <row r="212" spans="1:9">
      <c r="A212" s="1" t="s">
        <v>224</v>
      </c>
      <c r="B212">
        <f>HYPERLINK("https://www.suredividend.com/sure-analysis-research-database/","Byline Bancorp Inc")</f>
        <v>0</v>
      </c>
      <c r="C212">
        <v>0.184924078091106</v>
      </c>
      <c r="D212">
        <v>0.249714024250743</v>
      </c>
      <c r="E212">
        <v>-0.145953932325154</v>
      </c>
      <c r="F212">
        <v>-0.040732643187665</v>
      </c>
      <c r="G212">
        <v>-0.029785798017832</v>
      </c>
      <c r="H212">
        <v>-0.06855201401648001</v>
      </c>
      <c r="I212">
        <v>0.019360858409144</v>
      </c>
    </row>
    <row r="213" spans="1:9">
      <c r="A213" s="1" t="s">
        <v>225</v>
      </c>
      <c r="B213">
        <f>HYPERLINK("https://www.suredividend.com/sure-analysis-research-database/","Beyond Meat Inc")</f>
        <v>0</v>
      </c>
      <c r="C213">
        <v>0.211845102505694</v>
      </c>
      <c r="D213">
        <v>0.252747252747252</v>
      </c>
      <c r="E213">
        <v>-0.178166838311019</v>
      </c>
      <c r="F213">
        <v>0.29650690495532</v>
      </c>
      <c r="G213">
        <v>-0.5312775330396471</v>
      </c>
      <c r="H213">
        <v>-0.8697674418604651</v>
      </c>
      <c r="I213">
        <v>-0.757262357414448</v>
      </c>
    </row>
    <row r="214" spans="1:9">
      <c r="A214" s="1" t="s">
        <v>226</v>
      </c>
      <c r="B214">
        <f>HYPERLINK("https://www.suredividend.com/sure-analysis-research-database/","Beazer Homes USA Inc.")</f>
        <v>0</v>
      </c>
      <c r="C214">
        <v>0.169851380042462</v>
      </c>
      <c r="D214">
        <v>0.6538269134567281</v>
      </c>
      <c r="E214">
        <v>1.145360155743024</v>
      </c>
      <c r="F214">
        <v>1.590909090909091</v>
      </c>
      <c r="G214">
        <v>1.265935572309801</v>
      </c>
      <c r="H214">
        <v>0.8752127056154281</v>
      </c>
      <c r="I214">
        <v>1.574766355140187</v>
      </c>
    </row>
    <row r="215" spans="1:9">
      <c r="A215" s="1" t="s">
        <v>227</v>
      </c>
      <c r="B215">
        <f>HYPERLINK("https://www.suredividend.com/sure-analysis-research-database/","Camden National Corp.")</f>
        <v>0</v>
      </c>
      <c r="C215">
        <v>0.175495089893739</v>
      </c>
      <c r="D215">
        <v>0.211197919347256</v>
      </c>
      <c r="E215">
        <v>-0.110261981217202</v>
      </c>
      <c r="F215">
        <v>-0.09916807022916301</v>
      </c>
      <c r="G215">
        <v>-0.160361448935466</v>
      </c>
      <c r="H215">
        <v>-0.127942883964524</v>
      </c>
      <c r="I215">
        <v>-0.018113442666726</v>
      </c>
    </row>
    <row r="216" spans="1:9">
      <c r="A216" s="1" t="s">
        <v>228</v>
      </c>
      <c r="B216">
        <f>HYPERLINK("https://www.suredividend.com/sure-analysis-research-database/","Cadence Bank")</f>
        <v>0</v>
      </c>
      <c r="C216">
        <v>0.257711442786069</v>
      </c>
      <c r="D216">
        <v>0.3831213240322801</v>
      </c>
      <c r="E216">
        <v>-0.08315108785138901</v>
      </c>
      <c r="F216">
        <v>0.04771930406239901</v>
      </c>
      <c r="G216">
        <v>0.016383556136295</v>
      </c>
      <c r="H216">
        <v>-0.02656162157583</v>
      </c>
      <c r="I216">
        <v>-0.169369174002043</v>
      </c>
    </row>
    <row r="217" spans="1:9">
      <c r="A217" s="1" t="s">
        <v>229</v>
      </c>
      <c r="B217">
        <f>HYPERLINK("https://www.suredividend.com/sure-analysis-CAKE/","Cheesecake Factory Inc.")</f>
        <v>0</v>
      </c>
      <c r="C217">
        <v>0.021499292786421</v>
      </c>
      <c r="D217">
        <v>0.126603249085083</v>
      </c>
      <c r="E217">
        <v>-0.06272792634718201</v>
      </c>
      <c r="F217">
        <v>0.166046131639536</v>
      </c>
      <c r="G217">
        <v>0.212513976985403</v>
      </c>
      <c r="H217">
        <v>-0.130380335180462</v>
      </c>
      <c r="I217">
        <v>-0.19350335798311</v>
      </c>
    </row>
    <row r="218" spans="1:9">
      <c r="A218" s="1" t="s">
        <v>230</v>
      </c>
      <c r="B218">
        <f>HYPERLINK("https://www.suredividend.com/sure-analysis-research-database/","Caleres Inc")</f>
        <v>0</v>
      </c>
      <c r="C218">
        <v>0.103364410214835</v>
      </c>
      <c r="D218">
        <v>0.19180013485468</v>
      </c>
      <c r="E218">
        <v>0.022021138791371</v>
      </c>
      <c r="F218">
        <v>0.229360118509954</v>
      </c>
      <c r="G218">
        <v>0.05765008956221301</v>
      </c>
      <c r="H218">
        <v>0.108288138629663</v>
      </c>
      <c r="I218">
        <v>-0.132308594671443</v>
      </c>
    </row>
    <row r="219" spans="1:9">
      <c r="A219" s="1" t="s">
        <v>231</v>
      </c>
      <c r="B219">
        <f>HYPERLINK("https://www.suredividend.com/sure-analysis-research-database/","Cal-Maine Foods, Inc.")</f>
        <v>0</v>
      </c>
      <c r="C219">
        <v>0.016989762578958</v>
      </c>
      <c r="D219">
        <v>-0.01746632996633</v>
      </c>
      <c r="E219">
        <v>-0.06900601586817301</v>
      </c>
      <c r="F219">
        <v>-0.045174747949855</v>
      </c>
      <c r="G219">
        <v>0.017295549522618</v>
      </c>
      <c r="H219">
        <v>0.5629812134277791</v>
      </c>
      <c r="I219">
        <v>0.218210803434681</v>
      </c>
    </row>
    <row r="220" spans="1:9">
      <c r="A220" s="1" t="s">
        <v>232</v>
      </c>
      <c r="B220">
        <f>HYPERLINK("https://www.suredividend.com/sure-analysis-research-database/","Calix Inc")</f>
        <v>0</v>
      </c>
      <c r="C220">
        <v>-0.140984267849939</v>
      </c>
      <c r="D220">
        <v>-0.01297798377752</v>
      </c>
      <c r="E220">
        <v>-0.188452743902438</v>
      </c>
      <c r="F220">
        <v>-0.377612158410054</v>
      </c>
      <c r="G220">
        <v>-0.268715659340659</v>
      </c>
      <c r="H220">
        <v>-0.074733869215728</v>
      </c>
      <c r="I220">
        <v>5.128057553956835</v>
      </c>
    </row>
    <row r="221" spans="1:9">
      <c r="A221" s="1" t="s">
        <v>233</v>
      </c>
      <c r="B221">
        <f>HYPERLINK("https://www.suredividend.com/sure-analysis-research-database/","Cano Health Inc")</f>
        <v>0</v>
      </c>
      <c r="C221">
        <v>0.203125</v>
      </c>
      <c r="D221">
        <v>0.452830188679245</v>
      </c>
      <c r="E221">
        <v>0.033557046979865</v>
      </c>
      <c r="F221">
        <v>0.124087591240875</v>
      </c>
      <c r="G221">
        <v>-0.763803680981595</v>
      </c>
      <c r="H221">
        <v>-0.8593607305936071</v>
      </c>
      <c r="I221">
        <v>-0.849019607843137</v>
      </c>
    </row>
    <row r="222" spans="1:9">
      <c r="A222" s="1" t="s">
        <v>234</v>
      </c>
      <c r="B222">
        <f>HYPERLINK("https://www.suredividend.com/sure-analysis-research-database/","Cara Therapeutics Inc")</f>
        <v>0</v>
      </c>
      <c r="C222">
        <v>0.1</v>
      </c>
      <c r="D222">
        <v>-0.242280285035629</v>
      </c>
      <c r="E222">
        <v>-0.739804241435562</v>
      </c>
      <c r="F222">
        <v>-0.702979515828677</v>
      </c>
      <c r="G222">
        <v>-0.6569892473118281</v>
      </c>
      <c r="H222">
        <v>-0.726649528706083</v>
      </c>
      <c r="I222">
        <v>-0.821388577827547</v>
      </c>
    </row>
    <row r="223" spans="1:9">
      <c r="A223" s="1" t="s">
        <v>235</v>
      </c>
      <c r="B223">
        <f>HYPERLINK("https://www.suredividend.com/sure-analysis-research-database/","Carter Bankshares Inc")</f>
        <v>0</v>
      </c>
      <c r="C223">
        <v>-0.013324450366422</v>
      </c>
      <c r="D223">
        <v>0.140986132511556</v>
      </c>
      <c r="E223">
        <v>-0.126768867924528</v>
      </c>
      <c r="F223">
        <v>-0.107293550331525</v>
      </c>
      <c r="G223">
        <v>-0.015292553191489</v>
      </c>
      <c r="H223">
        <v>0.300263388937664</v>
      </c>
      <c r="I223">
        <v>0.732163742690058</v>
      </c>
    </row>
    <row r="224" spans="1:9">
      <c r="A224" s="1" t="s">
        <v>236</v>
      </c>
      <c r="B224">
        <f>HYPERLINK("https://www.suredividend.com/sure-analysis-research-database/","CarGurus Inc")</f>
        <v>0</v>
      </c>
      <c r="C224">
        <v>-0.05205116894574301</v>
      </c>
      <c r="D224">
        <v>0.354981084489281</v>
      </c>
      <c r="E224">
        <v>0.229405034324942</v>
      </c>
      <c r="F224">
        <v>0.5339043540328331</v>
      </c>
      <c r="G224">
        <v>-0.151598894591393</v>
      </c>
      <c r="H224">
        <v>-0.266051912568306</v>
      </c>
      <c r="I224">
        <v>-0.5179452669358451</v>
      </c>
    </row>
    <row r="225" spans="1:9">
      <c r="A225" s="1" t="s">
        <v>237</v>
      </c>
      <c r="B225">
        <f>HYPERLINK("https://www.suredividend.com/sure-analysis-research-database/","Cars.com")</f>
        <v>0</v>
      </c>
      <c r="C225">
        <v>0.071717171717171</v>
      </c>
      <c r="D225">
        <v>0.09494324045407601</v>
      </c>
      <c r="E225">
        <v>0.219540229885057</v>
      </c>
      <c r="F225">
        <v>0.5410312273057371</v>
      </c>
      <c r="G225">
        <v>0.7266069975589911</v>
      </c>
      <c r="H225">
        <v>0.7479406919275121</v>
      </c>
      <c r="I225">
        <v>-0.245645218627799</v>
      </c>
    </row>
    <row r="226" spans="1:9">
      <c r="A226" s="1" t="s">
        <v>238</v>
      </c>
      <c r="B226">
        <f>HYPERLINK("https://www.suredividend.com/sure-analysis-research-database/","Casa Systems Inc")</f>
        <v>0</v>
      </c>
      <c r="C226">
        <v>-0.149999999999999</v>
      </c>
      <c r="D226">
        <v>-0.157024793388429</v>
      </c>
      <c r="E226">
        <v>-0.726541554959785</v>
      </c>
      <c r="F226">
        <v>-0.626373626373626</v>
      </c>
      <c r="G226">
        <v>-0.7848101265822781</v>
      </c>
      <c r="H226">
        <v>-0.8650793650793651</v>
      </c>
      <c r="I226">
        <v>-0.9326287978863931</v>
      </c>
    </row>
    <row r="227" spans="1:9">
      <c r="A227" s="1" t="s">
        <v>239</v>
      </c>
      <c r="B227">
        <f>HYPERLINK("https://www.suredividend.com/sure-analysis-research-database/","Pathward Financial Inc")</f>
        <v>0</v>
      </c>
      <c r="C227">
        <v>0.07361835245046901</v>
      </c>
      <c r="D227">
        <v>0.202722245455331</v>
      </c>
      <c r="E227">
        <v>-0.017133343770404</v>
      </c>
      <c r="F227">
        <v>0.199530253886589</v>
      </c>
      <c r="G227">
        <v>0.524326148944549</v>
      </c>
      <c r="H227">
        <v>0.06024096385542101</v>
      </c>
      <c r="I227">
        <v>0.786687305427045</v>
      </c>
    </row>
    <row r="228" spans="1:9">
      <c r="A228" s="1" t="s">
        <v>240</v>
      </c>
      <c r="B228">
        <f>HYPERLINK("https://www.suredividend.com/sure-analysis-CASS/","Cass Information Systems Inc")</f>
        <v>0</v>
      </c>
      <c r="C228">
        <v>-0.025837810181632</v>
      </c>
      <c r="D228">
        <v>0.08038483035291201</v>
      </c>
      <c r="E228">
        <v>-0.235841597668995</v>
      </c>
      <c r="F228">
        <v>-0.151286331653587</v>
      </c>
      <c r="G228">
        <v>0.08230091262295901</v>
      </c>
      <c r="H228">
        <v>-0.032996947642676</v>
      </c>
      <c r="I228">
        <v>-0.360178504820503</v>
      </c>
    </row>
    <row r="229" spans="1:9">
      <c r="A229" s="1" t="s">
        <v>241</v>
      </c>
      <c r="B229">
        <f>HYPERLINK("https://www.suredividend.com/sure-analysis-CATC/","Cambridge Bancorp")</f>
        <v>0</v>
      </c>
      <c r="C229">
        <v>0.148409405000673</v>
      </c>
      <c r="D229">
        <v>0.383227917024104</v>
      </c>
      <c r="E229">
        <v>-0.216062654529744</v>
      </c>
      <c r="F229">
        <v>-0.205869218500797</v>
      </c>
      <c r="G229">
        <v>-0.208868201052215</v>
      </c>
      <c r="H229">
        <v>-0.184145364742338</v>
      </c>
      <c r="I229">
        <v>-0.183281413616</v>
      </c>
    </row>
    <row r="230" spans="1:9">
      <c r="A230" s="1" t="s">
        <v>242</v>
      </c>
      <c r="B230">
        <f>HYPERLINK("https://www.suredividend.com/sure-analysis-research-database/","Cato Corp.")</f>
        <v>0</v>
      </c>
      <c r="C230">
        <v>0.053152039555006</v>
      </c>
      <c r="D230">
        <v>0.05550049554013801</v>
      </c>
      <c r="E230">
        <v>-0.126744972633909</v>
      </c>
      <c r="F230">
        <v>-0.049064690387963</v>
      </c>
      <c r="G230">
        <v>-0.26305227831021</v>
      </c>
      <c r="H230">
        <v>-0.428874037230441</v>
      </c>
      <c r="I230">
        <v>-0.5491920378424711</v>
      </c>
    </row>
    <row r="231" spans="1:9">
      <c r="A231" s="1" t="s">
        <v>243</v>
      </c>
      <c r="B231">
        <f>HYPERLINK("https://www.suredividend.com/sure-analysis-research-database/","Cathay General Bancorp")</f>
        <v>0</v>
      </c>
      <c r="C231">
        <v>0.167277167277167</v>
      </c>
      <c r="D231">
        <v>0.339512465102267</v>
      </c>
      <c r="E231">
        <v>-0.130326014032135</v>
      </c>
      <c r="F231">
        <v>-0.03395555286087</v>
      </c>
      <c r="G231">
        <v>-0.04140940892762601</v>
      </c>
      <c r="H231">
        <v>0.07498770117365901</v>
      </c>
      <c r="I231">
        <v>0.080396898944465</v>
      </c>
    </row>
    <row r="232" spans="1:9">
      <c r="A232" s="1" t="s">
        <v>244</v>
      </c>
      <c r="B232">
        <f>HYPERLINK("https://www.suredividend.com/sure-analysis-research-database/","Colony Bankcorp, Inc.")</f>
        <v>0</v>
      </c>
      <c r="C232">
        <v>0.147401908801696</v>
      </c>
      <c r="D232">
        <v>0.221508483952178</v>
      </c>
      <c r="E232">
        <v>-0.16226637142105</v>
      </c>
      <c r="F232">
        <v>-0.118691558335776</v>
      </c>
      <c r="G232">
        <v>-0.211806870829569</v>
      </c>
      <c r="H232">
        <v>-0.356090361589183</v>
      </c>
      <c r="I232">
        <v>-0.271557063607475</v>
      </c>
    </row>
    <row r="233" spans="1:9">
      <c r="A233" s="1" t="s">
        <v>245</v>
      </c>
      <c r="B233">
        <f>HYPERLINK("https://www.suredividend.com/sure-analysis-research-database/","CBL&amp; Associates Properties, Inc.")</f>
        <v>0</v>
      </c>
      <c r="C233">
        <v>-0.019858781994704</v>
      </c>
      <c r="D233">
        <v>-0.01194035162645</v>
      </c>
      <c r="E233">
        <v>-0.145726517095085</v>
      </c>
      <c r="F233">
        <v>-0.006926031415298001</v>
      </c>
      <c r="G233">
        <v>-0.179861747068033</v>
      </c>
      <c r="H233">
        <v>-0.152710487162858</v>
      </c>
      <c r="I233">
        <v>-0.152710487162858</v>
      </c>
    </row>
    <row r="234" spans="1:9">
      <c r="A234" s="1" t="s">
        <v>246</v>
      </c>
      <c r="B234">
        <f>HYPERLINK("https://www.suredividend.com/sure-analysis-research-database/","Capital Bancorp Inc")</f>
        <v>0</v>
      </c>
      <c r="C234">
        <v>0.087595212187159</v>
      </c>
      <c r="D234">
        <v>0.261349941002391</v>
      </c>
      <c r="E234">
        <v>-0.083956172870621</v>
      </c>
      <c r="F234">
        <v>-0.141927508112841</v>
      </c>
      <c r="G234">
        <v>-0.160415634161297</v>
      </c>
      <c r="H234">
        <v>-0.101827347762206</v>
      </c>
      <c r="I234">
        <v>0.599187206502347</v>
      </c>
    </row>
    <row r="235" spans="1:9">
      <c r="A235" s="1" t="s">
        <v>247</v>
      </c>
      <c r="B235">
        <f>HYPERLINK("https://www.suredividend.com/sure-analysis-CBRL/","Cracker Barrel Old Country Store Inc")</f>
        <v>0</v>
      </c>
      <c r="C235">
        <v>0.016802266029079</v>
      </c>
      <c r="D235">
        <v>-0.07422465562000401</v>
      </c>
      <c r="E235">
        <v>-0.169740451610057</v>
      </c>
      <c r="F235">
        <v>0.023743022961505</v>
      </c>
      <c r="G235">
        <v>-0.006162182434223001</v>
      </c>
      <c r="H235">
        <v>-0.23320866668773</v>
      </c>
      <c r="I235">
        <v>-0.246105450407439</v>
      </c>
    </row>
    <row r="236" spans="1:9">
      <c r="A236" s="1" t="s">
        <v>248</v>
      </c>
      <c r="B236">
        <f>HYPERLINK("https://www.suredividend.com/sure-analysis-research-database/","Cabot Corp.")</f>
        <v>0</v>
      </c>
      <c r="C236">
        <v>0.026444083321022</v>
      </c>
      <c r="D236">
        <v>0.020728966196065</v>
      </c>
      <c r="E236">
        <v>-0.07565697135308201</v>
      </c>
      <c r="F236">
        <v>0.050465588482978</v>
      </c>
      <c r="G236">
        <v>-0.03618067866863</v>
      </c>
      <c r="H236">
        <v>0.313071563156134</v>
      </c>
      <c r="I236">
        <v>0.190153993730622</v>
      </c>
    </row>
    <row r="237" spans="1:9">
      <c r="A237" s="1" t="s">
        <v>249</v>
      </c>
      <c r="B237">
        <f>HYPERLINK("https://www.suredividend.com/sure-analysis-CBU/","Community Bank System, Inc.")</f>
        <v>0</v>
      </c>
      <c r="C237">
        <v>0.12020618556701</v>
      </c>
      <c r="D237">
        <v>0.131165664864324</v>
      </c>
      <c r="E237">
        <v>-0.116237608945308</v>
      </c>
      <c r="F237">
        <v>-0.122133765937885</v>
      </c>
      <c r="G237">
        <v>-0.184515857886916</v>
      </c>
      <c r="H237">
        <v>-0.20783042059495</v>
      </c>
      <c r="I237">
        <v>-0.023888062436668</v>
      </c>
    </row>
    <row r="238" spans="1:9">
      <c r="A238" s="1" t="s">
        <v>250</v>
      </c>
      <c r="B238">
        <f>HYPERLINK("https://www.suredividend.com/sure-analysis-research-database/","Cbiz Inc")</f>
        <v>0</v>
      </c>
      <c r="C238">
        <v>0.020126723816623</v>
      </c>
      <c r="D238">
        <v>0.06085271317829401</v>
      </c>
      <c r="E238">
        <v>0.109219858156028</v>
      </c>
      <c r="F238">
        <v>0.168409818569903</v>
      </c>
      <c r="G238">
        <v>0.214285714285714</v>
      </c>
      <c r="H238">
        <v>0.678111587982832</v>
      </c>
      <c r="I238">
        <v>1.534259259259259</v>
      </c>
    </row>
    <row r="239" spans="1:9">
      <c r="A239" s="1" t="s">
        <v>251</v>
      </c>
      <c r="B239">
        <f>HYPERLINK("https://www.suredividend.com/sure-analysis-research-database/","Coastal Financial Corp")</f>
        <v>0</v>
      </c>
      <c r="C239">
        <v>0.147503201024328</v>
      </c>
      <c r="D239">
        <v>0.319105092728878</v>
      </c>
      <c r="E239">
        <v>-0.06801164725457501</v>
      </c>
      <c r="F239">
        <v>-0.05702861952861901</v>
      </c>
      <c r="G239">
        <v>0.113845389013174</v>
      </c>
      <c r="H239">
        <v>0.5559027777777771</v>
      </c>
      <c r="I239">
        <v>1.771181199752628</v>
      </c>
    </row>
    <row r="240" spans="1:9">
      <c r="A240" s="1" t="s">
        <v>252</v>
      </c>
      <c r="B240">
        <f>HYPERLINK("https://www.suredividend.com/sure-analysis-research-database/","Capital City Bank Group, Inc.")</f>
        <v>0</v>
      </c>
      <c r="C240">
        <v>0.032612205360025</v>
      </c>
      <c r="D240">
        <v>0.109869439373642</v>
      </c>
      <c r="E240">
        <v>-0.030259658741156</v>
      </c>
      <c r="F240">
        <v>0.000772954721126</v>
      </c>
      <c r="G240">
        <v>-0.007279330736159001</v>
      </c>
      <c r="H240">
        <v>0.38737050340986</v>
      </c>
      <c r="I240">
        <v>0.498938369166303</v>
      </c>
    </row>
    <row r="241" spans="1:9">
      <c r="A241" s="1" t="s">
        <v>253</v>
      </c>
      <c r="B241">
        <f>HYPERLINK("https://www.suredividend.com/sure-analysis-research-database/","C4 Therapeutics Inc")</f>
        <v>0</v>
      </c>
      <c r="C241">
        <v>0.286219081272084</v>
      </c>
      <c r="D241">
        <v>0.159235668789808</v>
      </c>
      <c r="E241">
        <v>-0.473227206946454</v>
      </c>
      <c r="F241">
        <v>-0.383050847457627</v>
      </c>
      <c r="G241">
        <v>-0.667276051188299</v>
      </c>
      <c r="H241">
        <v>-0.9207662168045271</v>
      </c>
      <c r="I241">
        <v>-0.8571989015300111</v>
      </c>
    </row>
    <row r="242" spans="1:9">
      <c r="A242" s="1" t="s">
        <v>254</v>
      </c>
      <c r="B242">
        <f>HYPERLINK("https://www.suredividend.com/sure-analysis-research-database/","Chase Corp.")</f>
        <v>0</v>
      </c>
      <c r="C242">
        <v>0.03952243721696101</v>
      </c>
      <c r="D242">
        <v>0.126729138777331</v>
      </c>
      <c r="E242">
        <v>0.283419741791196</v>
      </c>
      <c r="F242">
        <v>0.4635984233712031</v>
      </c>
      <c r="G242">
        <v>0.4253731090520501</v>
      </c>
      <c r="H242">
        <v>0.130120003079297</v>
      </c>
      <c r="I242">
        <v>0.068811118006059</v>
      </c>
    </row>
    <row r="243" spans="1:9">
      <c r="A243" s="1" t="s">
        <v>255</v>
      </c>
      <c r="B243">
        <f>HYPERLINK("https://www.suredividend.com/sure-analysis-research-database/","CNB Financial Corp (PA)")</f>
        <v>0</v>
      </c>
      <c r="C243">
        <v>0.118605958403597</v>
      </c>
      <c r="D243">
        <v>0.14510625320083</v>
      </c>
      <c r="E243">
        <v>-0.174626611862979</v>
      </c>
      <c r="F243">
        <v>-0.140281071926936</v>
      </c>
      <c r="G243">
        <v>-0.200825679599368</v>
      </c>
      <c r="H243">
        <v>-0.09405857207242001</v>
      </c>
      <c r="I243">
        <v>-0.258555487248272</v>
      </c>
    </row>
    <row r="244" spans="1:9">
      <c r="A244" s="1" t="s">
        <v>256</v>
      </c>
      <c r="B244">
        <f>HYPERLINK("https://www.suredividend.com/sure-analysis-research-database/","Clear Channel Outdoor Holdings Inc.")</f>
        <v>0</v>
      </c>
      <c r="C244">
        <v>0.114093959731543</v>
      </c>
      <c r="D244">
        <v>0.257575757575757</v>
      </c>
      <c r="E244">
        <v>-0.186274509803921</v>
      </c>
      <c r="F244">
        <v>0.58095238095238</v>
      </c>
      <c r="G244">
        <v>0.064102564102564</v>
      </c>
      <c r="H244">
        <v>-0.333333333333333</v>
      </c>
      <c r="I244">
        <v>-0.626966292134831</v>
      </c>
    </row>
    <row r="245" spans="1:9">
      <c r="A245" s="1" t="s">
        <v>257</v>
      </c>
      <c r="B245">
        <f>HYPERLINK("https://www.suredividend.com/sure-analysis-CCOI/","Cogent Communications Holdings Inc")</f>
        <v>0</v>
      </c>
      <c r="C245">
        <v>-0.130875988658409</v>
      </c>
      <c r="D245">
        <v>-0.184491903729717</v>
      </c>
      <c r="E245">
        <v>-0.119190574855189</v>
      </c>
      <c r="F245">
        <v>0.067063395364943</v>
      </c>
      <c r="G245">
        <v>-0.021326150118217</v>
      </c>
      <c r="H245">
        <v>-0.150823587391246</v>
      </c>
      <c r="I245">
        <v>0.487030611280904</v>
      </c>
    </row>
    <row r="246" spans="1:9">
      <c r="A246" s="1" t="s">
        <v>258</v>
      </c>
      <c r="B246">
        <f>HYPERLINK("https://www.suredividend.com/sure-analysis-research-database/","Cross Country Healthcares, Inc.")</f>
        <v>0</v>
      </c>
      <c r="C246">
        <v>-0.209486166007905</v>
      </c>
      <c r="D246">
        <v>0.026119402985074</v>
      </c>
      <c r="E246">
        <v>-0.289864428663654</v>
      </c>
      <c r="F246">
        <v>-0.171998494542717</v>
      </c>
      <c r="G246">
        <v>-0.198250728862973</v>
      </c>
      <c r="H246">
        <v>0.319736052789441</v>
      </c>
      <c r="I246">
        <v>1.594339622641509</v>
      </c>
    </row>
    <row r="247" spans="1:9">
      <c r="A247" s="1" t="s">
        <v>259</v>
      </c>
      <c r="B247">
        <f>HYPERLINK("https://www.suredividend.com/sure-analysis-research-database/","Century Communities Inc")</f>
        <v>0</v>
      </c>
      <c r="C247">
        <v>-0.023478488982161</v>
      </c>
      <c r="D247">
        <v>0.131975064619127</v>
      </c>
      <c r="E247">
        <v>0.237761621575789</v>
      </c>
      <c r="F247">
        <v>0.494421762153091</v>
      </c>
      <c r="G247">
        <v>0.553945602511359</v>
      </c>
      <c r="H247">
        <v>0.06006714945166901</v>
      </c>
      <c r="I247">
        <v>1.481112551530158</v>
      </c>
    </row>
    <row r="248" spans="1:9">
      <c r="A248" s="1" t="s">
        <v>260</v>
      </c>
      <c r="B248">
        <f>HYPERLINK("https://www.suredividend.com/sure-analysis-research-database/","Consensus Cloud Solutions Inc")</f>
        <v>0</v>
      </c>
      <c r="C248">
        <v>-0.06041923551171301</v>
      </c>
      <c r="D248">
        <v>-0.17106336687517</v>
      </c>
      <c r="E248">
        <v>-0.485222090863029</v>
      </c>
      <c r="F248">
        <v>-0.433035714285714</v>
      </c>
      <c r="G248">
        <v>-0.4618644067796611</v>
      </c>
      <c r="H248">
        <v>-0.5302096177558571</v>
      </c>
      <c r="I248">
        <v>-0.5302096177558571</v>
      </c>
    </row>
    <row r="249" spans="1:9">
      <c r="A249" s="1" t="s">
        <v>261</v>
      </c>
      <c r="B249">
        <f>HYPERLINK("https://www.suredividend.com/sure-analysis-research-database/","Coeur Mining Inc")</f>
        <v>0</v>
      </c>
      <c r="C249">
        <v>-0.07191780821917801</v>
      </c>
      <c r="D249">
        <v>-0.207602339181286</v>
      </c>
      <c r="E249">
        <v>-0.255494505494505</v>
      </c>
      <c r="F249">
        <v>-0.19345238095238</v>
      </c>
      <c r="G249">
        <v>-0.108552631578947</v>
      </c>
      <c r="H249">
        <v>-0.6317934782608691</v>
      </c>
      <c r="I249">
        <v>-0.583076923076923</v>
      </c>
    </row>
    <row r="250" spans="1:9">
      <c r="A250" s="1" t="s">
        <v>262</v>
      </c>
      <c r="B250">
        <f>HYPERLINK("https://www.suredividend.com/sure-analysis-research-database/","Cardlytics Inc")</f>
        <v>0</v>
      </c>
      <c r="C250">
        <v>1.187599364069952</v>
      </c>
      <c r="D250">
        <v>0.6883435582822081</v>
      </c>
      <c r="E250">
        <v>0.6538461538461531</v>
      </c>
      <c r="F250">
        <v>1.380622837370242</v>
      </c>
      <c r="G250">
        <v>-0.144810441267868</v>
      </c>
      <c r="H250">
        <v>-0.8817767849471601</v>
      </c>
      <c r="I250">
        <v>-0.266133333333333</v>
      </c>
    </row>
    <row r="251" spans="1:9">
      <c r="A251" s="1" t="s">
        <v>263</v>
      </c>
      <c r="B251">
        <f>HYPERLINK("https://www.suredividend.com/sure-analysis-research-database/","Avid Bioservices Inc")</f>
        <v>0</v>
      </c>
      <c r="C251">
        <v>-0.129285714285714</v>
      </c>
      <c r="D251">
        <v>-0.329113924050633</v>
      </c>
      <c r="E251">
        <v>-0.247066090179122</v>
      </c>
      <c r="F251">
        <v>-0.114742193173565</v>
      </c>
      <c r="G251">
        <v>-0.361111111111111</v>
      </c>
      <c r="H251">
        <v>-0.527885360185902</v>
      </c>
      <c r="I251">
        <v>1.212341197822141</v>
      </c>
    </row>
    <row r="252" spans="1:9">
      <c r="A252" s="1" t="s">
        <v>264</v>
      </c>
      <c r="B252">
        <f>HYPERLINK("https://www.suredividend.com/sure-analysis-research-database/","Caredx Inc")</f>
        <v>0</v>
      </c>
      <c r="C252">
        <v>0.263839811542991</v>
      </c>
      <c r="D252">
        <v>0.259389671361502</v>
      </c>
      <c r="E252">
        <v>-0.351269649334945</v>
      </c>
      <c r="F252">
        <v>-0.059596844872918</v>
      </c>
      <c r="G252">
        <v>-0.56204081632653</v>
      </c>
      <c r="H252">
        <v>-0.8691622972808191</v>
      </c>
      <c r="I252">
        <v>-0.247545582047685</v>
      </c>
    </row>
    <row r="253" spans="1:9">
      <c r="A253" s="1" t="s">
        <v>265</v>
      </c>
      <c r="B253">
        <f>HYPERLINK("https://www.suredividend.com/sure-analysis-research-database/","Cadre Holdings Inc")</f>
        <v>0</v>
      </c>
      <c r="C253">
        <v>0.059349016611174</v>
      </c>
      <c r="D253">
        <v>0.122442094711172</v>
      </c>
      <c r="E253">
        <v>0.015540516970732</v>
      </c>
      <c r="F253">
        <v>0.168859847230168</v>
      </c>
      <c r="G253">
        <v>-0.029846083352425</v>
      </c>
      <c r="H253">
        <v>0.5658721887921471</v>
      </c>
      <c r="I253">
        <v>0.5658721887921471</v>
      </c>
    </row>
    <row r="254" spans="1:9">
      <c r="A254" s="1" t="s">
        <v>266</v>
      </c>
      <c r="B254">
        <f>HYPERLINK("https://www.suredividend.com/sure-analysis-research-database/","Codexis Inc.")</f>
        <v>0</v>
      </c>
      <c r="C254">
        <v>0.242647058823529</v>
      </c>
      <c r="D254">
        <v>-0.173594132029339</v>
      </c>
      <c r="E254">
        <v>-0.4759689922480621</v>
      </c>
      <c r="F254">
        <v>-0.274678111587982</v>
      </c>
      <c r="G254">
        <v>-0.565552699228791</v>
      </c>
      <c r="H254">
        <v>-0.843590930124942</v>
      </c>
      <c r="I254">
        <v>-0.7541818181818181</v>
      </c>
    </row>
    <row r="255" spans="1:9">
      <c r="A255" s="1" t="s">
        <v>267</v>
      </c>
      <c r="B255">
        <f>HYPERLINK("https://www.suredividend.com/sure-analysis-research-database/","Consol Energy Inc")</f>
        <v>0</v>
      </c>
      <c r="C255">
        <v>0.043452643982913</v>
      </c>
      <c r="D255">
        <v>0.186633455224018</v>
      </c>
      <c r="E255">
        <v>0.271119532606979</v>
      </c>
      <c r="F255">
        <v>0.132079693040842</v>
      </c>
      <c r="G255">
        <v>0.343093703726876</v>
      </c>
      <c r="H255">
        <v>2.738968880631676</v>
      </c>
      <c r="I255">
        <v>0.7274804487937631</v>
      </c>
    </row>
    <row r="256" spans="1:9">
      <c r="A256" s="1" t="s">
        <v>268</v>
      </c>
      <c r="B256">
        <f>HYPERLINK("https://www.suredividend.com/sure-analysis-research-database/","Celsius Holdings Inc")</f>
        <v>0</v>
      </c>
      <c r="C256">
        <v>-0.033115262696432</v>
      </c>
      <c r="D256">
        <v>0.43604127015927</v>
      </c>
      <c r="E256">
        <v>0.556062086182568</v>
      </c>
      <c r="F256">
        <v>0.377931564782775</v>
      </c>
      <c r="G256">
        <v>0.359764772835056</v>
      </c>
      <c r="H256">
        <v>0.9952679192762701</v>
      </c>
      <c r="I256">
        <v>34.05134474327629</v>
      </c>
    </row>
    <row r="257" spans="1:9">
      <c r="A257" s="1" t="s">
        <v>269</v>
      </c>
      <c r="B257">
        <f>HYPERLINK("https://www.suredividend.com/sure-analysis-research-database/","PhenomeX Inc")</f>
        <v>0</v>
      </c>
      <c r="C257">
        <v>0.08</v>
      </c>
      <c r="D257">
        <v>-0.424981365136833</v>
      </c>
      <c r="E257">
        <v>-0.777777777777777</v>
      </c>
      <c r="F257">
        <v>-0.798507462686567</v>
      </c>
      <c r="G257">
        <v>-0.8949416342412451</v>
      </c>
      <c r="H257">
        <v>-0.987924865831842</v>
      </c>
      <c r="I257">
        <v>-0.9917494270435441</v>
      </c>
    </row>
    <row r="258" spans="1:9">
      <c r="A258" s="1" t="s">
        <v>270</v>
      </c>
      <c r="B258">
        <f>HYPERLINK("https://www.suredividend.com/sure-analysis-research-database/","Celularity Inc")</f>
        <v>0</v>
      </c>
      <c r="C258">
        <v>-0.269098548510313</v>
      </c>
      <c r="D258">
        <v>-0.27532664268131</v>
      </c>
      <c r="E258">
        <v>-0.6035840066293761</v>
      </c>
      <c r="F258">
        <v>-0.703333333333333</v>
      </c>
      <c r="G258">
        <v>-0.8707094594594591</v>
      </c>
      <c r="H258">
        <v>-0.95670814479638</v>
      </c>
      <c r="I258">
        <v>-0.9609489795918361</v>
      </c>
    </row>
    <row r="259" spans="1:9">
      <c r="A259" s="1" t="s">
        <v>271</v>
      </c>
      <c r="B259">
        <f>HYPERLINK("https://www.suredividend.com/sure-analysis-research-database/","Cenntro Electric Group Limited")</f>
        <v>0</v>
      </c>
      <c r="C259">
        <v>0.189719626168224</v>
      </c>
      <c r="D259">
        <v>0.08125707814269501</v>
      </c>
      <c r="E259">
        <v>-0.5228635682158921</v>
      </c>
      <c r="F259">
        <v>-0.132045454545454</v>
      </c>
      <c r="G259">
        <v>-0.7551923076923071</v>
      </c>
      <c r="H259">
        <v>-0.9540433212996391</v>
      </c>
      <c r="I259">
        <v>-0.9999387980769231</v>
      </c>
    </row>
    <row r="260" spans="1:9">
      <c r="A260" s="1" t="s">
        <v>272</v>
      </c>
      <c r="B260">
        <f>HYPERLINK("https://www.suredividend.com/sure-analysis-research-database/","Central Garden &amp; Pet Co.")</f>
        <v>0</v>
      </c>
      <c r="C260">
        <v>0.193149626577388</v>
      </c>
      <c r="D260">
        <v>0.277364212848083</v>
      </c>
      <c r="E260">
        <v>0.06164069660861501</v>
      </c>
      <c r="F260">
        <v>0.237116154873164</v>
      </c>
      <c r="G260">
        <v>0.076190476190476</v>
      </c>
      <c r="H260">
        <v>-0.055838597921336</v>
      </c>
      <c r="I260">
        <v>0.070966250577901</v>
      </c>
    </row>
    <row r="261" spans="1:9">
      <c r="A261" s="1" t="s">
        <v>273</v>
      </c>
      <c r="B261">
        <f>HYPERLINK("https://www.suredividend.com/sure-analysis-research-database/","Central Garden &amp; Pet Co.")</f>
        <v>0</v>
      </c>
      <c r="C261">
        <v>0.176695842450765</v>
      </c>
      <c r="D261">
        <v>0.234787600459242</v>
      </c>
      <c r="E261">
        <v>0.04089039438664401</v>
      </c>
      <c r="F261">
        <v>0.201675977653631</v>
      </c>
      <c r="G261">
        <v>0.061697926949654</v>
      </c>
      <c r="H261">
        <v>-0.025594563986409</v>
      </c>
      <c r="I261">
        <v>0.06802383316782501</v>
      </c>
    </row>
    <row r="262" spans="1:9">
      <c r="A262" s="1" t="s">
        <v>274</v>
      </c>
      <c r="B262">
        <f>HYPERLINK("https://www.suredividend.com/sure-analysis-research-database/","Century Aluminum Co.")</f>
        <v>0</v>
      </c>
      <c r="C262">
        <v>0.017621145374449</v>
      </c>
      <c r="D262">
        <v>0.14074074074074</v>
      </c>
      <c r="E262">
        <v>-0.155393053016453</v>
      </c>
      <c r="F262">
        <v>0.129584352078239</v>
      </c>
      <c r="G262">
        <v>0.171102661596958</v>
      </c>
      <c r="H262">
        <v>-0.37986577181208</v>
      </c>
      <c r="I262">
        <v>-0.276429130775254</v>
      </c>
    </row>
    <row r="263" spans="1:9">
      <c r="A263" s="1" t="s">
        <v>275</v>
      </c>
      <c r="B263">
        <f>HYPERLINK("https://www.suredividend.com/sure-analysis-research-database/","Cerevel Therapeutics Holdings Inc")</f>
        <v>0</v>
      </c>
      <c r="C263">
        <v>-0.244515103338632</v>
      </c>
      <c r="D263">
        <v>-0.25563909774436</v>
      </c>
      <c r="E263">
        <v>-0.320366132723112</v>
      </c>
      <c r="F263">
        <v>-0.246670894102726</v>
      </c>
      <c r="G263">
        <v>-0.15595026642984</v>
      </c>
      <c r="H263">
        <v>-0.05564387917329001</v>
      </c>
      <c r="I263">
        <v>1.404858299595141</v>
      </c>
    </row>
    <row r="264" spans="1:9">
      <c r="A264" s="1" t="s">
        <v>276</v>
      </c>
      <c r="B264">
        <f>HYPERLINK("https://www.suredividend.com/sure-analysis-research-database/","Cerus Corp.")</f>
        <v>0</v>
      </c>
      <c r="C264">
        <v>-0.004081632653061</v>
      </c>
      <c r="D264">
        <v>0.060869565217391</v>
      </c>
      <c r="E264">
        <v>-0.249230769230769</v>
      </c>
      <c r="F264">
        <v>-0.331506849315068</v>
      </c>
      <c r="G264">
        <v>-0.58147512864494</v>
      </c>
      <c r="H264">
        <v>-0.524366471734892</v>
      </c>
      <c r="I264">
        <v>-0.6529160739687051</v>
      </c>
    </row>
    <row r="265" spans="1:9">
      <c r="A265" s="1" t="s">
        <v>277</v>
      </c>
      <c r="B265">
        <f>HYPERLINK("https://www.suredividend.com/sure-analysis-research-database/","Ceva Inc.")</f>
        <v>0</v>
      </c>
      <c r="C265">
        <v>-0.000776397515528</v>
      </c>
      <c r="D265">
        <v>0.025089605734766</v>
      </c>
      <c r="E265">
        <v>-0.267501422879908</v>
      </c>
      <c r="F265">
        <v>0.006254886630179</v>
      </c>
      <c r="G265">
        <v>-0.339491916859122</v>
      </c>
      <c r="H265">
        <v>-0.474479379338505</v>
      </c>
      <c r="I265">
        <v>-0.182857142857142</v>
      </c>
    </row>
    <row r="266" spans="1:9">
      <c r="A266" s="1" t="s">
        <v>278</v>
      </c>
      <c r="B266">
        <f>HYPERLINK("https://www.suredividend.com/sure-analysis-research-database/","Crossfirst Bankshares Inc")</f>
        <v>0</v>
      </c>
      <c r="C266">
        <v>0.136186770428015</v>
      </c>
      <c r="D266">
        <v>0.201646090534979</v>
      </c>
      <c r="E266">
        <v>-0.172218284904323</v>
      </c>
      <c r="F266">
        <v>-0.058823529411764</v>
      </c>
      <c r="G266">
        <v>-0.163323782234957</v>
      </c>
      <c r="H266">
        <v>-0.155459146782357</v>
      </c>
      <c r="I266">
        <v>-0.2</v>
      </c>
    </row>
    <row r="267" spans="1:9">
      <c r="A267" s="1" t="s">
        <v>279</v>
      </c>
      <c r="B267">
        <f>HYPERLINK("https://www.suredividend.com/sure-analysis-research-database/","Capitol Federal Financial")</f>
        <v>0</v>
      </c>
      <c r="C267">
        <v>0.04949001344659</v>
      </c>
      <c r="D267">
        <v>0.18268839856599</v>
      </c>
      <c r="E267">
        <v>-0.24027492551133</v>
      </c>
      <c r="F267">
        <v>-0.221051094179791</v>
      </c>
      <c r="G267">
        <v>-0.261225903266766</v>
      </c>
      <c r="H267">
        <v>-0.307711445476867</v>
      </c>
      <c r="I267">
        <v>-0.297112670642373</v>
      </c>
    </row>
    <row r="268" spans="1:9">
      <c r="A268" s="1" t="s">
        <v>280</v>
      </c>
      <c r="B268">
        <f>HYPERLINK("https://www.suredividend.com/sure-analysis-research-database/","Cullinan Oncology Inc")</f>
        <v>0</v>
      </c>
      <c r="C268">
        <v>-0.064485981308411</v>
      </c>
      <c r="D268">
        <v>0.028776978417266</v>
      </c>
      <c r="E268">
        <v>-0.149532710280373</v>
      </c>
      <c r="F268">
        <v>-0.051184834123222</v>
      </c>
      <c r="G268">
        <v>-0.289567068843151</v>
      </c>
      <c r="H268">
        <v>-0.589417555373256</v>
      </c>
      <c r="I268">
        <v>-0.6653293212972251</v>
      </c>
    </row>
    <row r="269" spans="1:9">
      <c r="A269" s="1" t="s">
        <v>281</v>
      </c>
      <c r="B269">
        <f>HYPERLINK("https://www.suredividend.com/sure-analysis-research-database/","City Holding Co.")</f>
        <v>0</v>
      </c>
      <c r="C269">
        <v>0.077615951365955</v>
      </c>
      <c r="D269">
        <v>0.10269901401083</v>
      </c>
      <c r="E269">
        <v>0.006214612380563001</v>
      </c>
      <c r="F269">
        <v>0.086726570241952</v>
      </c>
      <c r="G269">
        <v>0.17214427943151</v>
      </c>
      <c r="H269">
        <v>0.3776690573553551</v>
      </c>
      <c r="I269">
        <v>0.44033741674894</v>
      </c>
    </row>
    <row r="270" spans="1:9">
      <c r="A270" s="1" t="s">
        <v>282</v>
      </c>
      <c r="B270">
        <f>HYPERLINK("https://www.suredividend.com/sure-analysis-CHCT/","Community Healthcare Trust Inc")</f>
        <v>0</v>
      </c>
      <c r="C270">
        <v>0.077106993424985</v>
      </c>
      <c r="D270">
        <v>0.015505907347765</v>
      </c>
      <c r="E270">
        <v>-0.144503840712502</v>
      </c>
      <c r="F270">
        <v>0.030656600320292</v>
      </c>
      <c r="G270">
        <v>-0.06365289685632601</v>
      </c>
      <c r="H270">
        <v>-0.212338572024906</v>
      </c>
      <c r="I270">
        <v>0.452733751471275</v>
      </c>
    </row>
    <row r="271" spans="1:9">
      <c r="A271" s="1" t="s">
        <v>283</v>
      </c>
      <c r="B271">
        <f>HYPERLINK("https://www.suredividend.com/sure-analysis-research-database/","Chefs` Warehouse Inc")</f>
        <v>0</v>
      </c>
      <c r="C271">
        <v>-0.164402550596063</v>
      </c>
      <c r="D271">
        <v>-0.117681498829039</v>
      </c>
      <c r="E271">
        <v>-0.214899713467048</v>
      </c>
      <c r="F271">
        <v>-0.09435096153846101</v>
      </c>
      <c r="G271">
        <v>-0.149788434414668</v>
      </c>
      <c r="H271">
        <v>0.083782811938151</v>
      </c>
      <c r="I271">
        <v>0.06690265486725601</v>
      </c>
    </row>
    <row r="272" spans="1:9">
      <c r="A272" s="1" t="s">
        <v>284</v>
      </c>
      <c r="B272">
        <f>HYPERLINK("https://www.suredividend.com/sure-analysis-research-database/","Chegg Inc")</f>
        <v>0</v>
      </c>
      <c r="C272">
        <v>0.10828025477707</v>
      </c>
      <c r="D272">
        <v>0.026548672566371</v>
      </c>
      <c r="E272">
        <v>-0.510777881911902</v>
      </c>
      <c r="F272">
        <v>-0.5868618915710321</v>
      </c>
      <c r="G272">
        <v>-0.5286681715575621</v>
      </c>
      <c r="H272">
        <v>-0.8819805561835851</v>
      </c>
      <c r="I272">
        <v>-0.6151861408035381</v>
      </c>
    </row>
    <row r="273" spans="1:9">
      <c r="A273" s="1" t="s">
        <v>285</v>
      </c>
      <c r="B273">
        <f>HYPERLINK("https://www.suredividend.com/sure-analysis-research-database/","Chord Energy Corp")</f>
        <v>0</v>
      </c>
      <c r="C273">
        <v>0.008586184635248</v>
      </c>
      <c r="D273">
        <v>0.173800278893082</v>
      </c>
      <c r="E273">
        <v>0.125108654399431</v>
      </c>
      <c r="F273">
        <v>0.17239619682268</v>
      </c>
      <c r="G273">
        <v>0.322825018437249</v>
      </c>
      <c r="H273">
        <v>1.089569406660193</v>
      </c>
      <c r="I273">
        <v>5.034329591891912</v>
      </c>
    </row>
    <row r="274" spans="1:9">
      <c r="A274" s="1" t="s">
        <v>286</v>
      </c>
      <c r="B274">
        <f>HYPERLINK("https://www.suredividend.com/sure-analysis-research-database/","Coherus Biosciences Inc")</f>
        <v>0</v>
      </c>
      <c r="C274">
        <v>0.156108597285067</v>
      </c>
      <c r="D274">
        <v>-0.299999999999999</v>
      </c>
      <c r="E274">
        <v>-0.39811542991755</v>
      </c>
      <c r="F274">
        <v>-0.354797979797979</v>
      </c>
      <c r="G274">
        <v>-0.492047713717693</v>
      </c>
      <c r="H274">
        <v>-0.613171839515518</v>
      </c>
      <c r="I274">
        <v>-0.718457300275482</v>
      </c>
    </row>
    <row r="275" spans="1:9">
      <c r="A275" s="1" t="s">
        <v>287</v>
      </c>
      <c r="B275">
        <f>HYPERLINK("https://www.suredividend.com/sure-analysis-research-database/","Chico`s Fas, Inc.")</f>
        <v>0</v>
      </c>
      <c r="C275">
        <v>0.08976660682226201</v>
      </c>
      <c r="D275">
        <v>0.223790322580645</v>
      </c>
      <c r="E275">
        <v>0.08007117437722401</v>
      </c>
      <c r="F275">
        <v>0.233739837398374</v>
      </c>
      <c r="G275">
        <v>0.09566787003610101</v>
      </c>
      <c r="H275">
        <v>-0.027243589743589</v>
      </c>
      <c r="I275">
        <v>-0.229871349184196</v>
      </c>
    </row>
    <row r="276" spans="1:9">
      <c r="A276" s="1" t="s">
        <v>288</v>
      </c>
      <c r="B276">
        <f>HYPERLINK("https://www.suredividend.com/sure-analysis-research-database/","Chuy`s Holdings Inc")</f>
        <v>0</v>
      </c>
      <c r="C276">
        <v>-0.041896097677759</v>
      </c>
      <c r="D276">
        <v>0.150661299597469</v>
      </c>
      <c r="E276">
        <v>0.164387547279604</v>
      </c>
      <c r="F276">
        <v>0.414134275618374</v>
      </c>
      <c r="G276">
        <v>0.6779874213836471</v>
      </c>
      <c r="H276">
        <v>0.256120527306968</v>
      </c>
      <c r="I276">
        <v>0.297244732576985</v>
      </c>
    </row>
    <row r="277" spans="1:9">
      <c r="A277" s="1" t="s">
        <v>289</v>
      </c>
      <c r="B277">
        <f>HYPERLINK("https://www.suredividend.com/sure-analysis-research-database/","ChampionX Corporation")</f>
        <v>0</v>
      </c>
      <c r="C277">
        <v>0.148869504670908</v>
      </c>
      <c r="D277">
        <v>0.384593868005159</v>
      </c>
      <c r="E277">
        <v>0.232160637238632</v>
      </c>
      <c r="F277">
        <v>0.243098258476542</v>
      </c>
      <c r="G277">
        <v>0.7376804598709901</v>
      </c>
      <c r="H277">
        <v>0.5318688025720261</v>
      </c>
      <c r="I277">
        <v>-0.11934766493699</v>
      </c>
    </row>
    <row r="278" spans="1:9">
      <c r="A278" s="1" t="s">
        <v>290</v>
      </c>
      <c r="B278">
        <f>HYPERLINK("https://www.suredividend.com/sure-analysis-research-database/","Cipher Mining Inc")</f>
        <v>0</v>
      </c>
      <c r="C278">
        <v>0.111801242236024</v>
      </c>
      <c r="D278">
        <v>0.491666666666666</v>
      </c>
      <c r="E278">
        <v>0.9456521739130431</v>
      </c>
      <c r="F278">
        <v>5.392857142857142</v>
      </c>
      <c r="G278">
        <v>0.7810945273631841</v>
      </c>
      <c r="H278">
        <v>-0.640201005025125</v>
      </c>
      <c r="I278">
        <v>-0.63469387755102</v>
      </c>
    </row>
    <row r="279" spans="1:9">
      <c r="A279" s="1" t="s">
        <v>291</v>
      </c>
      <c r="B279">
        <f>HYPERLINK("https://www.suredividend.com/sure-analysis-CIM/","Chimera Investment Corp")</f>
        <v>0</v>
      </c>
      <c r="C279">
        <v>0.007104795737122</v>
      </c>
      <c r="D279">
        <v>0.118365253752539</v>
      </c>
      <c r="E279">
        <v>-0.191708958202657</v>
      </c>
      <c r="F279">
        <v>0.108092790556782</v>
      </c>
      <c r="G279">
        <v>-0.348844687399513</v>
      </c>
      <c r="H279">
        <v>-0.497171032794735</v>
      </c>
      <c r="I279">
        <v>-0.448851043975271</v>
      </c>
    </row>
    <row r="280" spans="1:9">
      <c r="A280" s="1" t="s">
        <v>292</v>
      </c>
      <c r="B280">
        <f>HYPERLINK("https://www.suredividend.com/sure-analysis-CIO/","City Office REIT Inc")</f>
        <v>0</v>
      </c>
      <c r="C280">
        <v>-0.091561080564188</v>
      </c>
      <c r="D280">
        <v>-0.017362393793867</v>
      </c>
      <c r="E280">
        <v>-0.4409415720891131</v>
      </c>
      <c r="F280">
        <v>-0.318726068972582</v>
      </c>
      <c r="G280">
        <v>-0.574604189988805</v>
      </c>
      <c r="H280">
        <v>-0.5202409616824031</v>
      </c>
      <c r="I280">
        <v>-0.417043798419881</v>
      </c>
    </row>
    <row r="281" spans="1:9">
      <c r="A281" s="1" t="s">
        <v>293</v>
      </c>
      <c r="B281">
        <f>HYPERLINK("https://www.suredividend.com/sure-analysis-research-database/","Circor International Inc")</f>
        <v>0</v>
      </c>
      <c r="C281">
        <v>-0.005347593582887</v>
      </c>
      <c r="D281">
        <v>1.072808320950965</v>
      </c>
      <c r="E281">
        <v>1.018083182640144</v>
      </c>
      <c r="F281">
        <v>1.328881469115192</v>
      </c>
      <c r="G281">
        <v>2.089700996677741</v>
      </c>
      <c r="H281">
        <v>0.8064098413726121</v>
      </c>
      <c r="I281">
        <v>0.278936511574604</v>
      </c>
    </row>
    <row r="282" spans="1:9">
      <c r="A282" s="1" t="s">
        <v>294</v>
      </c>
      <c r="B282">
        <f>HYPERLINK("https://www.suredividend.com/sure-analysis-research-database/","CISO Global Inc")</f>
        <v>0</v>
      </c>
      <c r="C282">
        <v>0.09340659340659301</v>
      </c>
      <c r="D282">
        <v>-0.223566133437378</v>
      </c>
      <c r="E282">
        <v>-0.8598591549295771</v>
      </c>
      <c r="F282">
        <v>-0.9219607843137251</v>
      </c>
      <c r="G282">
        <v>-0.937223974763406</v>
      </c>
      <c r="H282">
        <v>-0.9632841328413281</v>
      </c>
      <c r="I282">
        <v>-0.9632841328413281</v>
      </c>
    </row>
    <row r="283" spans="1:9">
      <c r="A283" s="1" t="s">
        <v>295</v>
      </c>
      <c r="B283">
        <f>HYPERLINK("https://www.suredividend.com/sure-analysis-research-database/","Civista Bancshares Inc")</f>
        <v>0</v>
      </c>
      <c r="C283">
        <v>0.05973578403216501</v>
      </c>
      <c r="D283">
        <v>0.285015810221621</v>
      </c>
      <c r="E283">
        <v>-0.160547077611858</v>
      </c>
      <c r="F283">
        <v>-0.139759878773749</v>
      </c>
      <c r="G283">
        <v>-0.112502886169475</v>
      </c>
      <c r="H283">
        <v>-0.151396401368804</v>
      </c>
      <c r="I283">
        <v>-0.143318815411903</v>
      </c>
    </row>
    <row r="284" spans="1:9">
      <c r="A284" s="1" t="s">
        <v>296</v>
      </c>
      <c r="B284">
        <f>HYPERLINK("https://www.suredividend.com/sure-analysis-research-database/","Civitas Resources Inc")</f>
        <v>0</v>
      </c>
      <c r="C284">
        <v>0.041726618705036</v>
      </c>
      <c r="D284">
        <v>0.136811494985624</v>
      </c>
      <c r="E284">
        <v>0.149733766759672</v>
      </c>
      <c r="F284">
        <v>0.288859377253056</v>
      </c>
      <c r="G284">
        <v>0.363113471665502</v>
      </c>
      <c r="H284">
        <v>0.919981330568277</v>
      </c>
      <c r="I284">
        <v>0.9374710650471121</v>
      </c>
    </row>
    <row r="285" spans="1:9">
      <c r="A285" s="1" t="s">
        <v>297</v>
      </c>
      <c r="B285">
        <f>HYPERLINK("https://www.suredividend.com/sure-analysis-research-database/","Compx International, Inc.")</f>
        <v>0</v>
      </c>
      <c r="C285">
        <v>0.006398537477148</v>
      </c>
      <c r="D285">
        <v>0.195433249548048</v>
      </c>
      <c r="E285">
        <v>0.20141419872984</v>
      </c>
      <c r="F285">
        <v>0.241066798926888</v>
      </c>
      <c r="G285">
        <v>0.138408089831875</v>
      </c>
      <c r="H285">
        <v>0.403656391034957</v>
      </c>
      <c r="I285">
        <v>1.189606825368414</v>
      </c>
    </row>
    <row r="286" spans="1:9">
      <c r="A286" s="1" t="s">
        <v>298</v>
      </c>
      <c r="B286">
        <f>HYPERLINK("https://www.suredividend.com/sure-analysis-research-database/","Clarus Corp")</f>
        <v>0</v>
      </c>
      <c r="C286">
        <v>-0.056919642857143</v>
      </c>
      <c r="D286">
        <v>-0.018514646781425</v>
      </c>
      <c r="E286">
        <v>-0.17028338013786</v>
      </c>
      <c r="F286">
        <v>0.086886616502668</v>
      </c>
      <c r="G286">
        <v>-0.5842231122745211</v>
      </c>
      <c r="H286">
        <v>-0.7127247631254181</v>
      </c>
      <c r="I286">
        <v>-0.041308812017109</v>
      </c>
    </row>
    <row r="287" spans="1:9">
      <c r="A287" s="1" t="s">
        <v>299</v>
      </c>
      <c r="B287">
        <f>HYPERLINK("https://www.suredividend.com/sure-analysis-research-database/","Columbia Financial, Inc")</f>
        <v>0</v>
      </c>
      <c r="C287">
        <v>0.004501969611705001</v>
      </c>
      <c r="D287">
        <v>0.203641267700606</v>
      </c>
      <c r="E287">
        <v>-0.141414141414141</v>
      </c>
      <c r="F287">
        <v>-0.174375578168362</v>
      </c>
      <c r="G287">
        <v>-0.127565982404692</v>
      </c>
      <c r="H287">
        <v>-0.012721238938052</v>
      </c>
      <c r="I287">
        <v>0.07271634615384601</v>
      </c>
    </row>
    <row r="288" spans="1:9">
      <c r="A288" s="1" t="s">
        <v>300</v>
      </c>
      <c r="B288">
        <f>HYPERLINK("https://www.suredividend.com/sure-analysis-research-database/","Chatham Lodging Trust")</f>
        <v>0</v>
      </c>
      <c r="C288">
        <v>-0.051020408163265</v>
      </c>
      <c r="D288">
        <v>-0.07579476681208801</v>
      </c>
      <c r="E288">
        <v>-0.335514940196344</v>
      </c>
      <c r="F288">
        <v>-0.230991855128788</v>
      </c>
      <c r="G288">
        <v>-0.270508134226503</v>
      </c>
      <c r="H288">
        <v>-0.171838962750563</v>
      </c>
      <c r="I288">
        <v>-0.510521163380667</v>
      </c>
    </row>
    <row r="289" spans="1:9">
      <c r="A289" s="1" t="s">
        <v>301</v>
      </c>
      <c r="B289">
        <f>HYPERLINK("https://www.suredividend.com/sure-analysis-research-database/","Celldex Therapeutics Inc.")</f>
        <v>0</v>
      </c>
      <c r="C289">
        <v>-0.027345998848589</v>
      </c>
      <c r="D289">
        <v>0.074062301335028</v>
      </c>
      <c r="E289">
        <v>-0.26686916901714</v>
      </c>
      <c r="F289">
        <v>-0.241866726497644</v>
      </c>
      <c r="G289">
        <v>0.08859536082474201</v>
      </c>
      <c r="H289">
        <v>-0.247271107150813</v>
      </c>
      <c r="I289">
        <v>4.23875968992248</v>
      </c>
    </row>
    <row r="290" spans="1:9">
      <c r="A290" s="1" t="s">
        <v>302</v>
      </c>
      <c r="B290">
        <f>HYPERLINK("https://www.suredividend.com/sure-analysis-research-database/","Clearfield Inc")</f>
        <v>0</v>
      </c>
      <c r="C290">
        <v>-0.05170239596469101</v>
      </c>
      <c r="D290">
        <v>0.061397318278052</v>
      </c>
      <c r="E290">
        <v>-0.27249274427604</v>
      </c>
      <c r="F290">
        <v>-0.5207138304652641</v>
      </c>
      <c r="G290">
        <v>-0.562026790914385</v>
      </c>
      <c r="H290">
        <v>0.03771849126034901</v>
      </c>
      <c r="I290">
        <v>2.484169884169884</v>
      </c>
    </row>
    <row r="291" spans="1:9">
      <c r="A291" s="1" t="s">
        <v>303</v>
      </c>
      <c r="B291">
        <f>HYPERLINK("https://www.suredividend.com/sure-analysis-research-database/","Clean Energy Fuels Corp")</f>
        <v>0</v>
      </c>
      <c r="C291">
        <v>-0.020703933747411</v>
      </c>
      <c r="D291">
        <v>0.142512077294686</v>
      </c>
      <c r="E291">
        <v>-0.190068493150684</v>
      </c>
      <c r="F291">
        <v>-0.09038461538461501</v>
      </c>
      <c r="G291">
        <v>-0.263239875389408</v>
      </c>
      <c r="H291">
        <v>-0.35820895522388</v>
      </c>
      <c r="I291">
        <v>0.713768115942029</v>
      </c>
    </row>
    <row r="292" spans="1:9">
      <c r="A292" s="1" t="s">
        <v>304</v>
      </c>
      <c r="B292">
        <f>HYPERLINK("https://www.suredividend.com/sure-analysis-research-database/","Clover Health Investments Corp")</f>
        <v>0</v>
      </c>
      <c r="C292">
        <v>0.5453296703296701</v>
      </c>
      <c r="D292">
        <v>0.7660910518053371</v>
      </c>
      <c r="E292">
        <v>0.046511627906976</v>
      </c>
      <c r="F292">
        <v>0.452393760086067</v>
      </c>
      <c r="G292">
        <v>-0.561688311688311</v>
      </c>
      <c r="H292">
        <v>-0.833743842364532</v>
      </c>
      <c r="I292">
        <v>-0.8676470588235291</v>
      </c>
    </row>
    <row r="293" spans="1:9">
      <c r="A293" s="1" t="s">
        <v>305</v>
      </c>
      <c r="B293">
        <f>HYPERLINK("https://www.suredividend.com/sure-analysis-CLPR/","Clipper Realty Inc")</f>
        <v>0</v>
      </c>
      <c r="C293">
        <v>0.12829525483304</v>
      </c>
      <c r="D293">
        <v>0.194974406700791</v>
      </c>
      <c r="E293">
        <v>-0.058485363993664</v>
      </c>
      <c r="F293">
        <v>0.038616472263116</v>
      </c>
      <c r="G293">
        <v>-0.238840476613907</v>
      </c>
      <c r="H293">
        <v>-0.133275731720488</v>
      </c>
      <c r="I293">
        <v>-0.229051084372073</v>
      </c>
    </row>
    <row r="294" spans="1:9">
      <c r="A294" s="1" t="s">
        <v>306</v>
      </c>
      <c r="B294">
        <f>HYPERLINK("https://www.suredividend.com/sure-analysis-research-database/","Cleanspark Inc")</f>
        <v>0</v>
      </c>
      <c r="C294">
        <v>0.129363449691991</v>
      </c>
      <c r="D294">
        <v>0.451187335092348</v>
      </c>
      <c r="E294">
        <v>0.566951566951567</v>
      </c>
      <c r="F294">
        <v>1.696078431372548</v>
      </c>
      <c r="G294">
        <v>0.185344827586207</v>
      </c>
      <c r="H294">
        <v>-0.584278155706727</v>
      </c>
      <c r="I294">
        <v>0.07843137254901901</v>
      </c>
    </row>
    <row r="295" spans="1:9">
      <c r="A295" s="1" t="s">
        <v>307</v>
      </c>
      <c r="B295">
        <f>HYPERLINK("https://www.suredividend.com/sure-analysis-research-database/","Clearwater Paper Corp")</f>
        <v>0</v>
      </c>
      <c r="C295">
        <v>0.151862464183381</v>
      </c>
      <c r="D295">
        <v>0.175056836635271</v>
      </c>
      <c r="E295">
        <v>-0.088664987405541</v>
      </c>
      <c r="F295">
        <v>-0.043110288283522</v>
      </c>
      <c r="G295">
        <v>-0.128402794507347</v>
      </c>
      <c r="H295">
        <v>0.250172771250863</v>
      </c>
      <c r="I295">
        <v>0.380916030534351</v>
      </c>
    </row>
    <row r="296" spans="1:9">
      <c r="A296" s="1" t="s">
        <v>308</v>
      </c>
      <c r="B296">
        <f>HYPERLINK("https://www.suredividend.com/sure-analysis-research-database/","CareMax Inc")</f>
        <v>0</v>
      </c>
      <c r="C296">
        <v>-0.137583892617449</v>
      </c>
      <c r="D296">
        <v>0.023904382470119</v>
      </c>
      <c r="E296">
        <v>-0.432671081677704</v>
      </c>
      <c r="F296">
        <v>-0.295890410958904</v>
      </c>
      <c r="G296">
        <v>-0.6460055096418731</v>
      </c>
      <c r="H296">
        <v>-0.7342295760082731</v>
      </c>
      <c r="I296">
        <v>-0.7404040404040401</v>
      </c>
    </row>
    <row r="297" spans="1:9">
      <c r="A297" s="1" t="s">
        <v>309</v>
      </c>
      <c r="B297">
        <f>HYPERLINK("https://www.suredividend.com/sure-analysis-research-database/","Cambium Networks Corp")</f>
        <v>0</v>
      </c>
      <c r="C297">
        <v>-0.3504551365409621</v>
      </c>
      <c r="D297">
        <v>-0.3236289776574131</v>
      </c>
      <c r="E297">
        <v>-0.5438356164383561</v>
      </c>
      <c r="F297">
        <v>-0.538994000922935</v>
      </c>
      <c r="G297">
        <v>-0.476140534871526</v>
      </c>
      <c r="H297">
        <v>-0.7652173913043471</v>
      </c>
      <c r="I297">
        <v>0.029896907216494</v>
      </c>
    </row>
    <row r="298" spans="1:9">
      <c r="A298" s="1" t="s">
        <v>310</v>
      </c>
      <c r="B298">
        <f>HYPERLINK("https://www.suredividend.com/sure-analysis-research-database/","Commercial Metals Co.")</f>
        <v>0</v>
      </c>
      <c r="C298">
        <v>0.06788853562745401</v>
      </c>
      <c r="D298">
        <v>0.27903017704824</v>
      </c>
      <c r="E298">
        <v>0.015833481586906</v>
      </c>
      <c r="F298">
        <v>0.193215182043678</v>
      </c>
      <c r="G298">
        <v>0.473248034594237</v>
      </c>
      <c r="H298">
        <v>0.8059333291163261</v>
      </c>
      <c r="I298">
        <v>1.966033462675248</v>
      </c>
    </row>
    <row r="299" spans="1:9">
      <c r="A299" s="1" t="s">
        <v>311</v>
      </c>
      <c r="B299">
        <f>HYPERLINK("https://www.suredividend.com/sure-analysis-research-database/","Columbus Mckinnon Corp.")</f>
        <v>0</v>
      </c>
      <c r="C299">
        <v>-0.038986354775828</v>
      </c>
      <c r="D299">
        <v>0.14584543869843</v>
      </c>
      <c r="E299">
        <v>0.017079403884191</v>
      </c>
      <c r="F299">
        <v>0.219429242803697</v>
      </c>
      <c r="G299">
        <v>0.223605914508913</v>
      </c>
      <c r="H299">
        <v>-0.115449138325453</v>
      </c>
      <c r="I299">
        <v>-0.007826198520292</v>
      </c>
    </row>
    <row r="300" spans="1:9">
      <c r="A300" s="1" t="s">
        <v>312</v>
      </c>
      <c r="B300">
        <f>HYPERLINK("https://www.suredividend.com/sure-analysis-research-database/","Cumulus Media Inc.")</f>
        <v>0</v>
      </c>
      <c r="C300">
        <v>0.279012345679012</v>
      </c>
      <c r="D300">
        <v>0.773972602739726</v>
      </c>
      <c r="E300">
        <v>-0.232592592592592</v>
      </c>
      <c r="F300">
        <v>-0.1658615136876</v>
      </c>
      <c r="G300">
        <v>-0.423804226918798</v>
      </c>
      <c r="H300">
        <v>-0.5859312549960031</v>
      </c>
      <c r="I300">
        <v>-0.7357816883448101</v>
      </c>
    </row>
    <row r="301" spans="1:9">
      <c r="A301" s="1" t="s">
        <v>313</v>
      </c>
      <c r="B301">
        <f>HYPERLINK("https://www.suredividend.com/sure-analysis-CMP/","Compass Minerals International Inc")</f>
        <v>0</v>
      </c>
      <c r="C301">
        <v>0.134576172443926</v>
      </c>
      <c r="D301">
        <v>0.221596700591196</v>
      </c>
      <c r="E301">
        <v>-0.167996377206304</v>
      </c>
      <c r="F301">
        <v>-0.042180925752422</v>
      </c>
      <c r="G301">
        <v>0.06294141405320401</v>
      </c>
      <c r="H301">
        <v>-0.4118659628184531</v>
      </c>
      <c r="I301">
        <v>-0.321884586323482</v>
      </c>
    </row>
    <row r="302" spans="1:9">
      <c r="A302" s="1" t="s">
        <v>314</v>
      </c>
      <c r="B302">
        <f>HYPERLINK("https://www.suredividend.com/sure-analysis-research-database/","CompoSecure Inc")</f>
        <v>0</v>
      </c>
      <c r="C302">
        <v>0.004291845493562</v>
      </c>
      <c r="D302">
        <v>-0.048780487804878</v>
      </c>
      <c r="E302">
        <v>0.126805778491171</v>
      </c>
      <c r="F302">
        <v>0.4297352342158851</v>
      </c>
      <c r="G302">
        <v>0.145187601957585</v>
      </c>
      <c r="H302">
        <v>-0.302186878727634</v>
      </c>
      <c r="I302">
        <v>-0.288753799392097</v>
      </c>
    </row>
    <row r="303" spans="1:9">
      <c r="A303" s="1" t="s">
        <v>315</v>
      </c>
      <c r="B303">
        <f>HYPERLINK("https://www.suredividend.com/sure-analysis-research-database/","Cimpress plc")</f>
        <v>0</v>
      </c>
      <c r="C303">
        <v>0.194378194207836</v>
      </c>
      <c r="D303">
        <v>0.431692873187665</v>
      </c>
      <c r="E303">
        <v>0.918194254445964</v>
      </c>
      <c r="F303">
        <v>1.539297356030423</v>
      </c>
      <c r="G303">
        <v>0.8329411764705881</v>
      </c>
      <c r="H303">
        <v>-0.314595757161012</v>
      </c>
      <c r="I303">
        <v>-0.5216946377404831</v>
      </c>
    </row>
    <row r="304" spans="1:9">
      <c r="A304" s="1" t="s">
        <v>316</v>
      </c>
      <c r="B304">
        <f>HYPERLINK("https://www.suredividend.com/sure-analysis-research-database/","Costamare Inc")</f>
        <v>0</v>
      </c>
      <c r="C304">
        <v>0.149691669017774</v>
      </c>
      <c r="D304">
        <v>0.375792799093254</v>
      </c>
      <c r="E304">
        <v>0.131304718561924</v>
      </c>
      <c r="F304">
        <v>0.273068082922366</v>
      </c>
      <c r="G304">
        <v>0.03586019064911401</v>
      </c>
      <c r="H304">
        <v>0.124093631778058</v>
      </c>
      <c r="I304">
        <v>1.089399183284807</v>
      </c>
    </row>
    <row r="305" spans="1:9">
      <c r="A305" s="1" t="s">
        <v>317</v>
      </c>
      <c r="B305">
        <f>HYPERLINK("https://www.suredividend.com/sure-analysis-research-database/","Chimerix Inc")</f>
        <v>0</v>
      </c>
      <c r="C305">
        <v>-0.025210084033613</v>
      </c>
      <c r="D305">
        <v>0.026548672566371</v>
      </c>
      <c r="E305">
        <v>-0.362637362637362</v>
      </c>
      <c r="F305">
        <v>-0.376344086021505</v>
      </c>
      <c r="G305">
        <v>-0.502145922746781</v>
      </c>
      <c r="H305">
        <v>-0.8258258258258251</v>
      </c>
      <c r="I305">
        <v>-0.7289719626168221</v>
      </c>
    </row>
    <row r="306" spans="1:9">
      <c r="A306" s="1" t="s">
        <v>318</v>
      </c>
      <c r="B306">
        <f>HYPERLINK("https://www.suredividend.com/sure-analysis-research-database/","Claros Mortgage Trust Inc")</f>
        <v>0</v>
      </c>
      <c r="C306">
        <v>-0.04166666666666601</v>
      </c>
      <c r="D306">
        <v>0.009516160663423002</v>
      </c>
      <c r="E306">
        <v>-0.320583003890463</v>
      </c>
      <c r="F306">
        <v>-0.216660990297031</v>
      </c>
      <c r="G306">
        <v>-0.3462550270629851</v>
      </c>
      <c r="H306">
        <v>-0.237535002151265</v>
      </c>
      <c r="I306">
        <v>-0.237535002151265</v>
      </c>
    </row>
    <row r="307" spans="1:9">
      <c r="A307" s="1" t="s">
        <v>319</v>
      </c>
      <c r="B307">
        <f>HYPERLINK("https://www.suredividend.com/sure-analysis-research-database/","Comtech Telecommunications Corp.")</f>
        <v>0</v>
      </c>
      <c r="C307">
        <v>0.08008658008658001</v>
      </c>
      <c r="D307">
        <v>-0.06466729147141501</v>
      </c>
      <c r="E307">
        <v>-0.40203714799281</v>
      </c>
      <c r="F307">
        <v>-0.177924217462932</v>
      </c>
      <c r="G307">
        <v>-0.132603839835907</v>
      </c>
      <c r="H307">
        <v>-0.5865320479092521</v>
      </c>
      <c r="I307">
        <v>-0.6804426413753131</v>
      </c>
    </row>
    <row r="308" spans="1:9">
      <c r="A308" s="1" t="s">
        <v>320</v>
      </c>
      <c r="B308">
        <f>HYPERLINK("https://www.suredividend.com/sure-analysis-research-database/","Conduent Inc")</f>
        <v>0</v>
      </c>
      <c r="C308">
        <v>0.019830028328611</v>
      </c>
      <c r="D308">
        <v>0.243523316062176</v>
      </c>
      <c r="E308">
        <v>-0.245283018867924</v>
      </c>
      <c r="F308">
        <v>-0.111111111111111</v>
      </c>
      <c r="G308">
        <v>-0.138755980861243</v>
      </c>
      <c r="H308">
        <v>-0.444444444444444</v>
      </c>
      <c r="I308">
        <v>-0.8086124401913871</v>
      </c>
    </row>
    <row r="309" spans="1:9">
      <c r="A309" s="1" t="s">
        <v>321</v>
      </c>
      <c r="B309">
        <f>HYPERLINK("https://www.suredividend.com/sure-analysis-research-database/","Cinemark Holdings Inc")</f>
        <v>0</v>
      </c>
      <c r="C309">
        <v>0.045262522631261</v>
      </c>
      <c r="D309">
        <v>0.050970873786407</v>
      </c>
      <c r="E309">
        <v>0.375694996028594</v>
      </c>
      <c r="F309">
        <v>1</v>
      </c>
      <c r="G309">
        <v>-0.106295149638802</v>
      </c>
      <c r="H309">
        <v>0.149303251493032</v>
      </c>
      <c r="I309">
        <v>-0.4771462813085831</v>
      </c>
    </row>
    <row r="310" spans="1:9">
      <c r="A310" s="1" t="s">
        <v>322</v>
      </c>
      <c r="B310">
        <f>HYPERLINK("https://www.suredividend.com/sure-analysis-research-database/","Conmed Corp.")</f>
        <v>0</v>
      </c>
      <c r="C310">
        <v>-0.157659336563548</v>
      </c>
      <c r="D310">
        <v>-0.105440111590408</v>
      </c>
      <c r="E310">
        <v>0.105369061209078</v>
      </c>
      <c r="F310">
        <v>0.27957893926303</v>
      </c>
      <c r="G310">
        <v>0.138276407760828</v>
      </c>
      <c r="H310">
        <v>-0.143470249234997</v>
      </c>
      <c r="I310">
        <v>0.4714921190528271</v>
      </c>
    </row>
    <row r="311" spans="1:9">
      <c r="A311" s="1" t="s">
        <v>323</v>
      </c>
      <c r="B311">
        <f>HYPERLINK("https://www.suredividend.com/sure-analysis-research-database/","Cannae Holdings Inc")</f>
        <v>0</v>
      </c>
      <c r="C311">
        <v>-0.05954724409448801</v>
      </c>
      <c r="D311">
        <v>0.07118834080717401</v>
      </c>
      <c r="E311">
        <v>-0.230056406124093</v>
      </c>
      <c r="F311">
        <v>-0.07457627118644</v>
      </c>
      <c r="G311">
        <v>-0.136856368563685</v>
      </c>
      <c r="H311">
        <v>-0.416131989000916</v>
      </c>
      <c r="I311">
        <v>0.031300593631948</v>
      </c>
    </row>
    <row r="312" spans="1:9">
      <c r="A312" s="1" t="s">
        <v>324</v>
      </c>
      <c r="B312">
        <f>HYPERLINK("https://www.suredividend.com/sure-analysis-research-database/","CNO Financial Group Inc")</f>
        <v>0</v>
      </c>
      <c r="C312">
        <v>0.03892842193386301</v>
      </c>
      <c r="D312">
        <v>0.163892145369284</v>
      </c>
      <c r="E312">
        <v>-0.005955456231201001</v>
      </c>
      <c r="F312">
        <v>0.09931967968251701</v>
      </c>
      <c r="G312">
        <v>0.388888888888888</v>
      </c>
      <c r="H312">
        <v>0.143984402726757</v>
      </c>
      <c r="I312">
        <v>0.256244527339261</v>
      </c>
    </row>
    <row r="313" spans="1:9">
      <c r="A313" s="1" t="s">
        <v>325</v>
      </c>
      <c r="B313">
        <f>HYPERLINK("https://www.suredividend.com/sure-analysis-research-database/","ConnectOne Bancorp Inc.")</f>
        <v>0</v>
      </c>
      <c r="C313">
        <v>0.224188790560472</v>
      </c>
      <c r="D313">
        <v>0.443227264823508</v>
      </c>
      <c r="E313">
        <v>-0.137805663474123</v>
      </c>
      <c r="F313">
        <v>-0.115723082823719</v>
      </c>
      <c r="G313">
        <v>-0.202159360497083</v>
      </c>
      <c r="H313">
        <v>-0.15973872936298</v>
      </c>
      <c r="I313">
        <v>-0.05315129501524</v>
      </c>
    </row>
    <row r="314" spans="1:9">
      <c r="A314" s="1" t="s">
        <v>326</v>
      </c>
      <c r="B314">
        <f>HYPERLINK("https://www.suredividend.com/sure-analysis-CNS/","Cohen &amp; Steers Inc.")</f>
        <v>0</v>
      </c>
      <c r="C314">
        <v>0.08920667347633601</v>
      </c>
      <c r="D314">
        <v>0.143104212226462</v>
      </c>
      <c r="E314">
        <v>-0.143107020549091</v>
      </c>
      <c r="F314">
        <v>0.009530421610704</v>
      </c>
      <c r="G314">
        <v>-0.10107244670433</v>
      </c>
      <c r="H314">
        <v>-0.187493650309864</v>
      </c>
      <c r="I314">
        <v>0.809680859188274</v>
      </c>
    </row>
    <row r="315" spans="1:9">
      <c r="A315" s="1" t="s">
        <v>327</v>
      </c>
      <c r="B315">
        <f>HYPERLINK("https://www.suredividend.com/sure-analysis-research-database/","Consolidated Communications Holdings Inc")</f>
        <v>0</v>
      </c>
      <c r="C315">
        <v>-0.08505154639175201</v>
      </c>
      <c r="D315">
        <v>-0.06578947368421001</v>
      </c>
      <c r="E315">
        <v>-0.226579520697167</v>
      </c>
      <c r="F315">
        <v>-0.008379888268156001</v>
      </c>
      <c r="G315">
        <v>-0.509668508287292</v>
      </c>
      <c r="H315">
        <v>-0.5847953216374271</v>
      </c>
      <c r="I315">
        <v>-0.6377551020408161</v>
      </c>
    </row>
    <row r="316" spans="1:9">
      <c r="A316" s="1" t="s">
        <v>328</v>
      </c>
      <c r="B316">
        <f>HYPERLINK("https://www.suredividend.com/sure-analysis-research-database/","Century Casinos Inc.")</f>
        <v>0</v>
      </c>
      <c r="C316">
        <v>0.08169014084507001</v>
      </c>
      <c r="D316">
        <v>0.09871244635193101</v>
      </c>
      <c r="E316">
        <v>-0.228915662650602</v>
      </c>
      <c r="F316">
        <v>0.092460881934566</v>
      </c>
      <c r="G316">
        <v>-0.161572052401746</v>
      </c>
      <c r="H316">
        <v>-0.308730873087308</v>
      </c>
      <c r="I316">
        <v>-0.04596273291925401</v>
      </c>
    </row>
    <row r="317" spans="1:9">
      <c r="A317" s="1" t="s">
        <v>329</v>
      </c>
      <c r="B317">
        <f>HYPERLINK("https://www.suredividend.com/sure-analysis-research-database/","CNX Resources Corp")</f>
        <v>0</v>
      </c>
      <c r="C317">
        <v>0.175182481751824</v>
      </c>
      <c r="D317">
        <v>0.4375</v>
      </c>
      <c r="E317">
        <v>0.285626535626535</v>
      </c>
      <c r="F317">
        <v>0.242874109263657</v>
      </c>
      <c r="G317">
        <v>0.266949152542372</v>
      </c>
      <c r="H317">
        <v>0.736929460580912</v>
      </c>
      <c r="I317">
        <v>0.312225705329153</v>
      </c>
    </row>
    <row r="318" spans="1:9">
      <c r="A318" s="1" t="s">
        <v>330</v>
      </c>
      <c r="B318">
        <f>HYPERLINK("https://www.suredividend.com/sure-analysis-research-database/","PC Connection, Inc.")</f>
        <v>0</v>
      </c>
      <c r="C318">
        <v>0.144429766622633</v>
      </c>
      <c r="D318">
        <v>0.314013276640494</v>
      </c>
      <c r="E318">
        <v>0.011721015691602</v>
      </c>
      <c r="F318">
        <v>0.114618267902939</v>
      </c>
      <c r="G318">
        <v>0.121479196107832</v>
      </c>
      <c r="H318">
        <v>0.142329710901359</v>
      </c>
      <c r="I318">
        <v>0.452953705618944</v>
      </c>
    </row>
    <row r="319" spans="1:9">
      <c r="A319" s="1" t="s">
        <v>331</v>
      </c>
      <c r="B319">
        <f>HYPERLINK("https://www.suredividend.com/sure-analysis-research-database/","Vita Coco Company Inc (The)")</f>
        <v>0</v>
      </c>
      <c r="C319">
        <v>-0.081050656660412</v>
      </c>
      <c r="D319">
        <v>0.036833192209991</v>
      </c>
      <c r="E319">
        <v>0.8007352941176471</v>
      </c>
      <c r="F319">
        <v>0.7720694645441381</v>
      </c>
      <c r="G319">
        <v>0.9268292682926821</v>
      </c>
      <c r="H319">
        <v>0.8113905325443781</v>
      </c>
      <c r="I319">
        <v>0.8113905325443781</v>
      </c>
    </row>
    <row r="320" spans="1:9">
      <c r="A320" s="1" t="s">
        <v>332</v>
      </c>
      <c r="B320">
        <f>HYPERLINK("https://www.suredividend.com/sure-analysis-CODI/","Compass Diversified Holdings")</f>
        <v>0</v>
      </c>
      <c r="C320">
        <v>0.04967787042554801</v>
      </c>
      <c r="D320">
        <v>0.246308986573068</v>
      </c>
      <c r="E320">
        <v>0.020757377333436</v>
      </c>
      <c r="F320">
        <v>0.271926083866382</v>
      </c>
      <c r="G320">
        <v>-0.044837554066805</v>
      </c>
      <c r="H320">
        <v>0.001903482252827</v>
      </c>
      <c r="I320">
        <v>0.802491418626013</v>
      </c>
    </row>
    <row r="321" spans="1:9">
      <c r="A321" s="1" t="s">
        <v>333</v>
      </c>
      <c r="B321">
        <f>HYPERLINK("https://www.suredividend.com/sure-analysis-research-database/","Cogent Biosciences Inc")</f>
        <v>0</v>
      </c>
      <c r="C321">
        <v>0.011705685618728</v>
      </c>
      <c r="D321">
        <v>0.063268892794376</v>
      </c>
      <c r="E321">
        <v>-0.202373104812129</v>
      </c>
      <c r="F321">
        <v>0.046712802768166</v>
      </c>
      <c r="G321">
        <v>0.136150234741784</v>
      </c>
      <c r="H321">
        <v>0.9360000000000001</v>
      </c>
      <c r="I321">
        <v>-0.215813350615683</v>
      </c>
    </row>
    <row r="322" spans="1:9">
      <c r="A322" s="1" t="s">
        <v>334</v>
      </c>
      <c r="B322">
        <f>HYPERLINK("https://www.suredividend.com/sure-analysis-research-database/","Cohu, Inc.")</f>
        <v>0</v>
      </c>
      <c r="C322">
        <v>-0.025970873786407</v>
      </c>
      <c r="D322">
        <v>0.17960023515579</v>
      </c>
      <c r="E322">
        <v>0.071276027762947</v>
      </c>
      <c r="F322">
        <v>0.25210608424337</v>
      </c>
      <c r="G322">
        <v>0.320065789473684</v>
      </c>
      <c r="H322">
        <v>0.130741053817976</v>
      </c>
      <c r="I322">
        <v>0.5622506063307541</v>
      </c>
    </row>
    <row r="323" spans="1:9">
      <c r="A323" s="1" t="s">
        <v>335</v>
      </c>
      <c r="B323">
        <f>HYPERLINK("https://www.suredividend.com/sure-analysis-research-database/","Coca-Cola Consolidated Inc")</f>
        <v>0</v>
      </c>
      <c r="C323">
        <v>0.107692105446015</v>
      </c>
      <c r="D323">
        <v>0.198739121348053</v>
      </c>
      <c r="E323">
        <v>0.374242243615158</v>
      </c>
      <c r="F323">
        <v>0.386324939335185</v>
      </c>
      <c r="G323">
        <v>0.4004016071408431</v>
      </c>
      <c r="H323">
        <v>0.815606846560841</v>
      </c>
      <c r="I323">
        <v>3.820328206469328</v>
      </c>
    </row>
    <row r="324" spans="1:9">
      <c r="A324" s="1" t="s">
        <v>336</v>
      </c>
      <c r="B324">
        <f>HYPERLINK("https://www.suredividend.com/sure-analysis-research-database/","Collegium Pharmaceutical Inc")</f>
        <v>0</v>
      </c>
      <c r="C324">
        <v>0.027531497900139</v>
      </c>
      <c r="D324">
        <v>-0.004070556309362</v>
      </c>
      <c r="E324">
        <v>-0.229800629590766</v>
      </c>
      <c r="F324">
        <v>-0.050862068965517</v>
      </c>
      <c r="G324">
        <v>0.21994459833795</v>
      </c>
      <c r="H324">
        <v>-0.127920792079207</v>
      </c>
      <c r="I324">
        <v>0.205254515599343</v>
      </c>
    </row>
    <row r="325" spans="1:9">
      <c r="A325" s="1" t="s">
        <v>337</v>
      </c>
      <c r="B325">
        <f>HYPERLINK("https://www.suredividend.com/sure-analysis-research-database/","CommScope Holding Company Inc")</f>
        <v>0</v>
      </c>
      <c r="C325">
        <v>-0.447457627118644</v>
      </c>
      <c r="D325">
        <v>-0.316561844863731</v>
      </c>
      <c r="E325">
        <v>-0.613285883748517</v>
      </c>
      <c r="F325">
        <v>-0.556462585034013</v>
      </c>
      <c r="G325">
        <v>-0.6632231404958671</v>
      </c>
      <c r="H325">
        <v>-0.8438697318007661</v>
      </c>
      <c r="I325">
        <v>-0.8969658659924141</v>
      </c>
    </row>
    <row r="326" spans="1:9">
      <c r="A326" s="1" t="s">
        <v>338</v>
      </c>
      <c r="B326">
        <f>HYPERLINK("https://www.suredividend.com/sure-analysis-research-database/","Compass Inc")</f>
        <v>0</v>
      </c>
      <c r="C326">
        <v>0.182065217391304</v>
      </c>
      <c r="D326">
        <v>1.013888888888888</v>
      </c>
      <c r="E326">
        <v>-0.029017857142857</v>
      </c>
      <c r="F326">
        <v>0.86695278969957</v>
      </c>
      <c r="G326">
        <v>0.09571788413098201</v>
      </c>
      <c r="H326">
        <v>-0.658823529411764</v>
      </c>
      <c r="I326">
        <v>-0.784119106699751</v>
      </c>
    </row>
    <row r="327" spans="1:9">
      <c r="A327" s="1" t="s">
        <v>339</v>
      </c>
      <c r="B327">
        <f>HYPERLINK("https://www.suredividend.com/sure-analysis-research-database/","Conns Inc")</f>
        <v>0</v>
      </c>
      <c r="C327">
        <v>0.19893899204244</v>
      </c>
      <c r="D327">
        <v>0.013452914798206</v>
      </c>
      <c r="E327">
        <v>-0.592425608656447</v>
      </c>
      <c r="F327">
        <v>-0.343023255813953</v>
      </c>
      <c r="G327">
        <v>-0.538304392236976</v>
      </c>
      <c r="H327">
        <v>-0.8037342596613111</v>
      </c>
      <c r="I327">
        <v>-0.8684133915574961</v>
      </c>
    </row>
    <row r="328" spans="1:9">
      <c r="A328" s="1" t="s">
        <v>340</v>
      </c>
      <c r="B328">
        <f>HYPERLINK("https://www.suredividend.com/sure-analysis-research-database/","Traeger Inc")</f>
        <v>0</v>
      </c>
      <c r="C328">
        <v>0.344827586206896</v>
      </c>
      <c r="D328">
        <v>0.9965870307167231</v>
      </c>
      <c r="E328">
        <v>0.338672768878718</v>
      </c>
      <c r="F328">
        <v>1.074468085106382</v>
      </c>
      <c r="G328">
        <v>0.805555555555555</v>
      </c>
      <c r="H328">
        <v>-0.783893609161433</v>
      </c>
      <c r="I328">
        <v>-0.734090909090909</v>
      </c>
    </row>
    <row r="329" spans="1:9">
      <c r="A329" s="1" t="s">
        <v>341</v>
      </c>
      <c r="B329">
        <f>HYPERLINK("https://www.suredividend.com/sure-analysis-research-database/","Mr. Cooper Group Inc")</f>
        <v>0</v>
      </c>
      <c r="C329">
        <v>0.164770498234601</v>
      </c>
      <c r="D329">
        <v>0.364743737071937</v>
      </c>
      <c r="E329">
        <v>0.267449306296691</v>
      </c>
      <c r="F329">
        <v>0.479691004236232</v>
      </c>
      <c r="G329">
        <v>0.334082228712649</v>
      </c>
      <c r="H329">
        <v>0.543139293139293</v>
      </c>
      <c r="I329">
        <v>43.64661654135338</v>
      </c>
    </row>
    <row r="330" spans="1:9">
      <c r="A330" s="1" t="s">
        <v>342</v>
      </c>
      <c r="B330">
        <f>HYPERLINK("https://www.suredividend.com/sure-analysis-research-database/","Corcept Therapeutics Inc")</f>
        <v>0</v>
      </c>
      <c r="C330">
        <v>0.412935323383084</v>
      </c>
      <c r="D330">
        <v>0.352380952380952</v>
      </c>
      <c r="E330">
        <v>0.28453947368421</v>
      </c>
      <c r="F330">
        <v>0.5381585425898571</v>
      </c>
      <c r="G330">
        <v>0.088122605363984</v>
      </c>
      <c r="H330">
        <v>0.4476367006487481</v>
      </c>
      <c r="I330">
        <v>1.255595667870036</v>
      </c>
    </row>
    <row r="331" spans="1:9">
      <c r="A331" s="1" t="s">
        <v>343</v>
      </c>
      <c r="B331">
        <f>HYPERLINK("https://www.suredividend.com/sure-analysis-research-database/","Coursera Inc")</f>
        <v>0</v>
      </c>
      <c r="C331">
        <v>0.224865694551036</v>
      </c>
      <c r="D331">
        <v>0.431390134529148</v>
      </c>
      <c r="E331">
        <v>-0.012987012987012</v>
      </c>
      <c r="F331">
        <v>0.349112426035502</v>
      </c>
      <c r="G331">
        <v>0.169230769230769</v>
      </c>
      <c r="H331">
        <v>-0.552690582959641</v>
      </c>
      <c r="I331">
        <v>-0.6453333333333331</v>
      </c>
    </row>
    <row r="332" spans="1:9">
      <c r="A332" s="1" t="s">
        <v>344</v>
      </c>
      <c r="B332">
        <f>HYPERLINK("https://www.suredividend.com/sure-analysis-research-database/","Callon Petroleum Co.")</f>
        <v>0</v>
      </c>
      <c r="C332">
        <v>0.021621621621621</v>
      </c>
      <c r="D332">
        <v>0.170469361147327</v>
      </c>
      <c r="E332">
        <v>-0.106938572494404</v>
      </c>
      <c r="F332">
        <v>-0.031814505257481</v>
      </c>
      <c r="G332">
        <v>-0.158227848101265</v>
      </c>
      <c r="H332">
        <v>-0.05275652862041601</v>
      </c>
      <c r="I332">
        <v>-0.6602649006622511</v>
      </c>
    </row>
    <row r="333" spans="1:9">
      <c r="A333" s="1" t="s">
        <v>345</v>
      </c>
      <c r="B333">
        <f>HYPERLINK("https://www.suredividend.com/sure-analysis-research-database/","Central Pacific Financial Corp.")</f>
        <v>0</v>
      </c>
      <c r="C333">
        <v>0.111935683364254</v>
      </c>
      <c r="D333">
        <v>0.256464011180992</v>
      </c>
      <c r="E333">
        <v>-0.257199750471996</v>
      </c>
      <c r="F333">
        <v>-0.103362639445062</v>
      </c>
      <c r="G333">
        <v>-0.201846672881431</v>
      </c>
      <c r="H333">
        <v>-0.244585425288322</v>
      </c>
      <c r="I333">
        <v>-0.228170489326173</v>
      </c>
    </row>
    <row r="334" spans="1:9">
      <c r="A334" s="1" t="s">
        <v>346</v>
      </c>
      <c r="B334">
        <f>HYPERLINK("https://www.suredividend.com/sure-analysis-CPK/","Chesapeake Utilities Corp")</f>
        <v>0</v>
      </c>
      <c r="C334">
        <v>-0.032241771192861</v>
      </c>
      <c r="D334">
        <v>-0.069511444944475</v>
      </c>
      <c r="E334">
        <v>-0.08318047691203401</v>
      </c>
      <c r="F334">
        <v>-0.018480335028111</v>
      </c>
      <c r="G334">
        <v>-0.142273899341037</v>
      </c>
      <c r="H334">
        <v>-0.07599640236595001</v>
      </c>
      <c r="I334">
        <v>0.5154650998775341</v>
      </c>
    </row>
    <row r="335" spans="1:9">
      <c r="A335" s="1" t="s">
        <v>347</v>
      </c>
      <c r="B335">
        <f>HYPERLINK("https://www.suredividend.com/sure-analysis-research-database/","Catalyst Pharmaceuticals Inc")</f>
        <v>0</v>
      </c>
      <c r="C335">
        <v>0.061912225705329</v>
      </c>
      <c r="D335">
        <v>-0.183734939759036</v>
      </c>
      <c r="E335">
        <v>-0.158385093167701</v>
      </c>
      <c r="F335">
        <v>-0.271505376344086</v>
      </c>
      <c r="G335">
        <v>0.29047619047619</v>
      </c>
      <c r="H335">
        <v>1.356521739130435</v>
      </c>
      <c r="I335">
        <v>3.688581314878893</v>
      </c>
    </row>
    <row r="336" spans="1:9">
      <c r="A336" s="1" t="s">
        <v>348</v>
      </c>
      <c r="B336">
        <f>HYPERLINK("https://www.suredividend.com/sure-analysis-research-database/","Computer Programs &amp; Systems Inc")</f>
        <v>0</v>
      </c>
      <c r="C336">
        <v>0.041155520379897</v>
      </c>
      <c r="D336">
        <v>0.018977536793183</v>
      </c>
      <c r="E336">
        <v>-0.11918312688316</v>
      </c>
      <c r="F336">
        <v>-0.033431300514327</v>
      </c>
      <c r="G336">
        <v>-0.122707569189729</v>
      </c>
      <c r="H336">
        <v>-0.164761904761904</v>
      </c>
      <c r="I336">
        <v>0.03114601827139</v>
      </c>
    </row>
    <row r="337" spans="1:9">
      <c r="A337" s="1" t="s">
        <v>349</v>
      </c>
      <c r="B337">
        <f>HYPERLINK("https://www.suredividend.com/sure-analysis-research-database/","Consumer Portfolio Service, Inc.")</f>
        <v>0</v>
      </c>
      <c r="C337">
        <v>-0.03302286198137101</v>
      </c>
      <c r="D337">
        <v>0.13069306930693</v>
      </c>
      <c r="E337">
        <v>-0.014667817083692</v>
      </c>
      <c r="F337">
        <v>0.290395480225988</v>
      </c>
      <c r="G337">
        <v>-0.05697770437654801</v>
      </c>
      <c r="H337">
        <v>1.307070707070706</v>
      </c>
      <c r="I337">
        <v>2.408955223880597</v>
      </c>
    </row>
    <row r="338" spans="1:9">
      <c r="A338" s="1" t="s">
        <v>350</v>
      </c>
      <c r="B338">
        <f>HYPERLINK("https://www.suredividend.com/sure-analysis-research-database/","Cepton Inc")</f>
        <v>0</v>
      </c>
      <c r="C338">
        <v>0.6152377315256821</v>
      </c>
      <c r="D338">
        <v>1.252729693741678</v>
      </c>
      <c r="E338">
        <v>-0.354274809160305</v>
      </c>
      <c r="F338">
        <v>-0.333937007874015</v>
      </c>
      <c r="G338">
        <v>-0.519375</v>
      </c>
      <c r="H338">
        <v>-0.8971912638704891</v>
      </c>
      <c r="I338">
        <v>-0.8971912638704891</v>
      </c>
    </row>
    <row r="339" spans="1:9">
      <c r="A339" s="1" t="s">
        <v>351</v>
      </c>
      <c r="B339">
        <f>HYPERLINK("https://www.suredividend.com/sure-analysis-research-database/","CRA International Inc.")</f>
        <v>0</v>
      </c>
      <c r="C339">
        <v>0.033929793683387</v>
      </c>
      <c r="D339">
        <v>0.027243220767916</v>
      </c>
      <c r="E339">
        <v>-0.121908118405383</v>
      </c>
      <c r="F339">
        <v>-0.1269288852449</v>
      </c>
      <c r="G339">
        <v>0.06342215969032601</v>
      </c>
      <c r="H339">
        <v>0.29637031025106</v>
      </c>
      <c r="I339">
        <v>1.086931121799489</v>
      </c>
    </row>
    <row r="340" spans="1:9">
      <c r="A340" s="1" t="s">
        <v>352</v>
      </c>
      <c r="B340">
        <f>HYPERLINK("https://www.suredividend.com/sure-analysis-research-database/","Caribou Biosciences Inc")</f>
        <v>0</v>
      </c>
      <c r="C340">
        <v>0.676470588235294</v>
      </c>
      <c r="D340">
        <v>0.579676674364896</v>
      </c>
      <c r="E340">
        <v>-0.09999999999999901</v>
      </c>
      <c r="F340">
        <v>0.089171974522292</v>
      </c>
      <c r="G340">
        <v>-0.200934579439252</v>
      </c>
      <c r="H340">
        <v>-0.6023255813953481</v>
      </c>
      <c r="I340">
        <v>-0.5808823529411761</v>
      </c>
    </row>
    <row r="341" spans="1:9">
      <c r="A341" s="1" t="s">
        <v>353</v>
      </c>
      <c r="B341">
        <f>HYPERLINK("https://www.suredividend.com/sure-analysis-research-database/","California Resources Corporation")</f>
        <v>0</v>
      </c>
      <c r="C341">
        <v>0.152486187845303</v>
      </c>
      <c r="D341">
        <v>0.349910178555712</v>
      </c>
      <c r="E341">
        <v>0.2970539589369871</v>
      </c>
      <c r="F341">
        <v>0.215374074194916</v>
      </c>
      <c r="G341">
        <v>0.23160271306845</v>
      </c>
      <c r="H341">
        <v>0.9272629170962811</v>
      </c>
      <c r="I341">
        <v>2.589842432419409</v>
      </c>
    </row>
    <row r="342" spans="1:9">
      <c r="A342" s="1" t="s">
        <v>354</v>
      </c>
      <c r="B342">
        <f>HYPERLINK("https://www.suredividend.com/sure-analysis-research-database/","Crawford &amp; Co.")</f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>
      <c r="A343" s="1" t="s">
        <v>355</v>
      </c>
      <c r="B343">
        <f>HYPERLINK("https://www.suredividend.com/sure-analysis-research-database/","Credo Technology Group Holding Ltd")</f>
        <v>0</v>
      </c>
      <c r="C343">
        <v>-0.052631578947368</v>
      </c>
      <c r="D343">
        <v>1.141711229946524</v>
      </c>
      <c r="E343">
        <v>-0.120263591433278</v>
      </c>
      <c r="F343">
        <v>0.203606311044327</v>
      </c>
      <c r="G343">
        <v>0.001249999999999</v>
      </c>
      <c r="H343">
        <v>0.375107296137338</v>
      </c>
      <c r="I343">
        <v>0.375107296137338</v>
      </c>
    </row>
    <row r="344" spans="1:9">
      <c r="A344" s="1" t="s">
        <v>356</v>
      </c>
      <c r="B344">
        <f>HYPERLINK("https://www.suredividend.com/sure-analysis-research-database/","Charge Enterprises Inc")</f>
        <v>0</v>
      </c>
      <c r="C344">
        <v>-0.069284994964753</v>
      </c>
      <c r="D344">
        <v>0.026546706653337</v>
      </c>
      <c r="E344">
        <v>-0.41506329113924</v>
      </c>
      <c r="F344">
        <v>-0.254677419354838</v>
      </c>
      <c r="G344">
        <v>-0.679097222222222</v>
      </c>
      <c r="H344">
        <v>9241</v>
      </c>
      <c r="I344">
        <v>9241</v>
      </c>
    </row>
    <row r="345" spans="1:9">
      <c r="A345" s="1" t="s">
        <v>357</v>
      </c>
      <c r="B345">
        <f>HYPERLINK("https://www.suredividend.com/sure-analysis-research-database/","Crescent Energy Company")</f>
        <v>0</v>
      </c>
      <c r="C345">
        <v>0.133843212237093</v>
      </c>
      <c r="D345">
        <v>0.131042638209404</v>
      </c>
      <c r="E345">
        <v>0.075580868082636</v>
      </c>
      <c r="F345">
        <v>0.017274801434134</v>
      </c>
      <c r="G345">
        <v>-0.050265461213834</v>
      </c>
      <c r="H345">
        <v>-0.244980328745496</v>
      </c>
      <c r="I345">
        <v>-0.244980328745496</v>
      </c>
    </row>
    <row r="346" spans="1:9">
      <c r="A346" s="1" t="s">
        <v>358</v>
      </c>
      <c r="B346">
        <f>HYPERLINK("https://www.suredividend.com/sure-analysis-research-database/","Comstock Resources, Inc.")</f>
        <v>0</v>
      </c>
      <c r="C346">
        <v>0.051348999129678</v>
      </c>
      <c r="D346">
        <v>0.250582328277861</v>
      </c>
      <c r="E346">
        <v>0.039390132677118</v>
      </c>
      <c r="F346">
        <v>-0.09782746697137401</v>
      </c>
      <c r="G346">
        <v>-0.253399258343634</v>
      </c>
      <c r="H346">
        <v>1.0965306582898</v>
      </c>
      <c r="I346">
        <v>0.443025575478121</v>
      </c>
    </row>
    <row r="347" spans="1:9">
      <c r="A347" s="1" t="s">
        <v>359</v>
      </c>
      <c r="B347">
        <f>HYPERLINK("https://www.suredividend.com/sure-analysis-research-database/","Americas Car Mart, Inc.")</f>
        <v>0</v>
      </c>
      <c r="C347">
        <v>0.167695063694267</v>
      </c>
      <c r="D347">
        <v>0.508679439372508</v>
      </c>
      <c r="E347">
        <v>0.225122689777592</v>
      </c>
      <c r="F347">
        <v>0.6237199003598111</v>
      </c>
      <c r="G347">
        <v>0.142453748782862</v>
      </c>
      <c r="H347">
        <v>-0.259280303030303</v>
      </c>
      <c r="I347">
        <v>0.8448113207547171</v>
      </c>
    </row>
    <row r="348" spans="1:9">
      <c r="A348" s="1" t="s">
        <v>360</v>
      </c>
      <c r="B348">
        <f>HYPERLINK("https://www.suredividend.com/sure-analysis-research-database/","Cerence Inc")</f>
        <v>0</v>
      </c>
      <c r="C348">
        <v>-0.089470061940812</v>
      </c>
      <c r="D348">
        <v>0.039685658153241</v>
      </c>
      <c r="E348">
        <v>-0.069293000351741</v>
      </c>
      <c r="F348">
        <v>0.427954668105774</v>
      </c>
      <c r="G348">
        <v>-0.132459016393442</v>
      </c>
      <c r="H348">
        <v>-0.7520614692653671</v>
      </c>
      <c r="I348">
        <v>0.7237785016286641</v>
      </c>
    </row>
    <row r="349" spans="1:9">
      <c r="A349" s="1" t="s">
        <v>361</v>
      </c>
      <c r="B349">
        <f>HYPERLINK("https://www.suredividend.com/sure-analysis-research-database/","Crinetics Pharmaceuticals Inc")</f>
        <v>0</v>
      </c>
      <c r="C349">
        <v>0.06430155210643</v>
      </c>
      <c r="D349">
        <v>-0.109874826147427</v>
      </c>
      <c r="E349">
        <v>-0.036144578313253</v>
      </c>
      <c r="F349">
        <v>0.04918032786885201</v>
      </c>
      <c r="G349">
        <v>-0.035175879396984</v>
      </c>
      <c r="H349">
        <v>0.08413325804630101</v>
      </c>
      <c r="I349">
        <v>-0.256965944272445</v>
      </c>
    </row>
    <row r="350" spans="1:9">
      <c r="A350" s="1" t="s">
        <v>362</v>
      </c>
      <c r="B350">
        <f>HYPERLINK("https://www.suredividend.com/sure-analysis-research-database/","Crocs Inc")</f>
        <v>0</v>
      </c>
      <c r="C350">
        <v>-0.113531522296258</v>
      </c>
      <c r="D350">
        <v>-0.136185798718055</v>
      </c>
      <c r="E350">
        <v>-0.149286768322675</v>
      </c>
      <c r="F350">
        <v>-0.04297703587568</v>
      </c>
      <c r="G350">
        <v>0.341044197467045</v>
      </c>
      <c r="H350">
        <v>-0.243052009628711</v>
      </c>
      <c r="I350">
        <v>4.771412680756396</v>
      </c>
    </row>
    <row r="351" spans="1:9">
      <c r="A351" s="1" t="s">
        <v>363</v>
      </c>
      <c r="B351">
        <f>HYPERLINK("https://www.suredividend.com/sure-analysis-research-database/","Carpenter Technology Corp.")</f>
        <v>0</v>
      </c>
      <c r="C351">
        <v>0.024693551252442</v>
      </c>
      <c r="D351">
        <v>0.10646460771149</v>
      </c>
      <c r="E351">
        <v>0.136399457806638</v>
      </c>
      <c r="F351">
        <v>0.573801981440705</v>
      </c>
      <c r="G351">
        <v>0.774348846580963</v>
      </c>
      <c r="H351">
        <v>0.5722019003799671</v>
      </c>
      <c r="I351">
        <v>0.09988177415049</v>
      </c>
    </row>
    <row r="352" spans="1:9">
      <c r="A352" s="1" t="s">
        <v>364</v>
      </c>
      <c r="B352">
        <f>HYPERLINK("https://www.suredividend.com/sure-analysis-research-database/","Corsair Gaming Inc")</f>
        <v>0</v>
      </c>
      <c r="C352">
        <v>0.021799888205701</v>
      </c>
      <c r="D352">
        <v>0.06094022054556</v>
      </c>
      <c r="E352">
        <v>0.133995037220843</v>
      </c>
      <c r="F352">
        <v>0.3470891672807661</v>
      </c>
      <c r="G352">
        <v>0.174807197943444</v>
      </c>
      <c r="H352">
        <v>-0.326207150755621</v>
      </c>
      <c r="I352">
        <v>0.282807017543859</v>
      </c>
    </row>
    <row r="353" spans="1:9">
      <c r="A353" s="1" t="s">
        <v>365</v>
      </c>
      <c r="B353">
        <f>HYPERLINK("https://www.suredividend.com/sure-analysis-research-database/","Corvel Corp.")</f>
        <v>0</v>
      </c>
      <c r="C353">
        <v>0.07630665577786801</v>
      </c>
      <c r="D353">
        <v>0.007404930250334001</v>
      </c>
      <c r="E353">
        <v>0.139468280557657</v>
      </c>
      <c r="F353">
        <v>0.4509736461845451</v>
      </c>
      <c r="G353">
        <v>0.25458115183246</v>
      </c>
      <c r="H353">
        <v>0.366712035776784</v>
      </c>
      <c r="I353">
        <v>2.728912466843501</v>
      </c>
    </row>
    <row r="354" spans="1:9">
      <c r="A354" s="1" t="s">
        <v>366</v>
      </c>
      <c r="B354">
        <f>HYPERLINK("https://www.suredividend.com/sure-analysis-research-database/","CSG Systems International Inc.")</f>
        <v>0</v>
      </c>
      <c r="C354">
        <v>0.132294240638661</v>
      </c>
      <c r="D354">
        <v>0.180410379368083</v>
      </c>
      <c r="E354">
        <v>-0.017116721720449</v>
      </c>
      <c r="F354">
        <v>0.05917662663712701</v>
      </c>
      <c r="G354">
        <v>-0.069510981707307</v>
      </c>
      <c r="H354">
        <v>0.387746734473753</v>
      </c>
      <c r="I354">
        <v>0.762180998500208</v>
      </c>
    </row>
    <row r="355" spans="1:9">
      <c r="A355" s="1" t="s">
        <v>367</v>
      </c>
      <c r="B355">
        <f>HYPERLINK("https://www.suredividend.com/sure-analysis-research-database/","Centerspace")</f>
        <v>0</v>
      </c>
      <c r="C355">
        <v>0.026336919865103</v>
      </c>
      <c r="D355">
        <v>0.137016643390234</v>
      </c>
      <c r="E355">
        <v>-0.063886008237686</v>
      </c>
      <c r="F355">
        <v>0.118167821401077</v>
      </c>
      <c r="G355">
        <v>-0.216071575326923</v>
      </c>
      <c r="H355">
        <v>-0.254392156359483</v>
      </c>
      <c r="I355">
        <v>0.299876744592829</v>
      </c>
    </row>
    <row r="356" spans="1:9">
      <c r="A356" s="1" t="s">
        <v>368</v>
      </c>
      <c r="B356">
        <f>HYPERLINK("https://www.suredividend.com/sure-analysis-research-database/","Caesarstone Ltd")</f>
        <v>0</v>
      </c>
      <c r="C356">
        <v>-0.007532956685499001</v>
      </c>
      <c r="D356">
        <v>0.102510460251045</v>
      </c>
      <c r="E356">
        <v>-0.186728395061728</v>
      </c>
      <c r="F356">
        <v>-0.07705779334500801</v>
      </c>
      <c r="G356">
        <v>-0.4400527009222661</v>
      </c>
      <c r="H356">
        <v>-0.6159479962979421</v>
      </c>
      <c r="I356">
        <v>-0.624038694765077</v>
      </c>
    </row>
    <row r="357" spans="1:9">
      <c r="A357" s="1" t="s">
        <v>369</v>
      </c>
      <c r="B357">
        <f>HYPERLINK("https://www.suredividend.com/sure-analysis-research-database/","Castle Biosciences Inc")</f>
        <v>0</v>
      </c>
      <c r="C357">
        <v>0.385239852398523</v>
      </c>
      <c r="D357">
        <v>-0.180707114797031</v>
      </c>
      <c r="E357">
        <v>-0.336749116607773</v>
      </c>
      <c r="F357">
        <v>-0.202633814783347</v>
      </c>
      <c r="G357">
        <v>-0.368651194080053</v>
      </c>
      <c r="H357">
        <v>-0.733267017194827</v>
      </c>
      <c r="I357">
        <v>-0.122897196261682</v>
      </c>
    </row>
    <row r="358" spans="1:9">
      <c r="A358" s="1" t="s">
        <v>370</v>
      </c>
      <c r="B358">
        <f>HYPERLINK("https://www.suredividend.com/sure-analysis-research-database/","Constellium SE")</f>
        <v>0</v>
      </c>
      <c r="C358">
        <v>0.06755969714618401</v>
      </c>
      <c r="D358">
        <v>0.3036984352773821</v>
      </c>
      <c r="E358">
        <v>0.157196969696969</v>
      </c>
      <c r="F358">
        <v>0.5494505494505491</v>
      </c>
      <c r="G358">
        <v>0.244399185336048</v>
      </c>
      <c r="H358">
        <v>-0.019786096256684</v>
      </c>
      <c r="I358">
        <v>0.4782258064516121</v>
      </c>
    </row>
    <row r="359" spans="1:9">
      <c r="A359" s="1" t="s">
        <v>371</v>
      </c>
      <c r="B359">
        <f>HYPERLINK("https://www.suredividend.com/sure-analysis-research-database/","CapStar Financial Holdings Inc")</f>
        <v>0</v>
      </c>
      <c r="C359">
        <v>0.195652173913043</v>
      </c>
      <c r="D359">
        <v>0.210653753026634</v>
      </c>
      <c r="E359">
        <v>-0.141370338248048</v>
      </c>
      <c r="F359">
        <v>-0.138935759389079</v>
      </c>
      <c r="G359">
        <v>-0.270986745213549</v>
      </c>
      <c r="H359">
        <v>-0.25985735432647</v>
      </c>
      <c r="I359">
        <v>-0.103011706150259</v>
      </c>
    </row>
    <row r="360" spans="1:9">
      <c r="A360" s="1" t="s">
        <v>372</v>
      </c>
      <c r="B360">
        <f>HYPERLINK("https://www.suredividend.com/sure-analysis-research-database/","Carriage Services, Inc.")</f>
        <v>0</v>
      </c>
      <c r="C360">
        <v>-0.05399698340874801</v>
      </c>
      <c r="D360">
        <v>0.121129137202468</v>
      </c>
      <c r="E360">
        <v>-0.035747449465909</v>
      </c>
      <c r="F360">
        <v>0.147465404064427</v>
      </c>
      <c r="G360">
        <v>-0.115054236790717</v>
      </c>
      <c r="H360">
        <v>-0.130036757056661</v>
      </c>
      <c r="I360">
        <v>0.429646007613229</v>
      </c>
    </row>
    <row r="361" spans="1:9">
      <c r="A361" s="1" t="s">
        <v>373</v>
      </c>
      <c r="B361">
        <f>HYPERLINK("https://www.suredividend.com/sure-analysis-research-database/","CSW Industrials Inc")</f>
        <v>0</v>
      </c>
      <c r="C361">
        <v>0.124390191943077</v>
      </c>
      <c r="D361">
        <v>0.3630594867405511</v>
      </c>
      <c r="E361">
        <v>0.314057922973286</v>
      </c>
      <c r="F361">
        <v>0.6035075262339661</v>
      </c>
      <c r="G361">
        <v>0.5847320805088161</v>
      </c>
      <c r="H361">
        <v>0.565286946677885</v>
      </c>
      <c r="I361">
        <v>2.629351518402166</v>
      </c>
    </row>
    <row r="362" spans="1:9">
      <c r="A362" s="1" t="s">
        <v>374</v>
      </c>
      <c r="B362">
        <f>HYPERLINK("https://www.suredividend.com/sure-analysis-CTBI/","Community Trust Bancorp, Inc.")</f>
        <v>0</v>
      </c>
      <c r="C362">
        <v>0.07292239955971301</v>
      </c>
      <c r="D362">
        <v>0.154503273412076</v>
      </c>
      <c r="E362">
        <v>-0.09763960665511001</v>
      </c>
      <c r="F362">
        <v>-0.121805310611537</v>
      </c>
      <c r="G362">
        <v>-0.05104497010024901</v>
      </c>
      <c r="H362">
        <v>0.078149973177597</v>
      </c>
      <c r="I362">
        <v>-0.014958781873624</v>
      </c>
    </row>
    <row r="363" spans="1:9">
      <c r="A363" s="1" t="s">
        <v>375</v>
      </c>
      <c r="B363">
        <f>HYPERLINK("https://www.suredividend.com/sure-analysis-research-database/","CTI BioPharma Corp")</f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>
      <c r="A364" s="1" t="s">
        <v>376</v>
      </c>
      <c r="B364">
        <f>HYPERLINK("https://www.suredividend.com/sure-analysis-research-database/","Cytek BioSciences Inc")</f>
        <v>0</v>
      </c>
      <c r="C364">
        <v>0.07496977025393001</v>
      </c>
      <c r="D364">
        <v>-0.251683501683501</v>
      </c>
      <c r="E364">
        <v>-0.336071695294996</v>
      </c>
      <c r="F364">
        <v>-0.129285014691478</v>
      </c>
      <c r="G364">
        <v>-0.368607954545454</v>
      </c>
      <c r="H364">
        <v>-0.665033911077618</v>
      </c>
      <c r="I364">
        <v>-0.5261194029850741</v>
      </c>
    </row>
    <row r="365" spans="1:9">
      <c r="A365" s="1" t="s">
        <v>377</v>
      </c>
      <c r="B365">
        <f>HYPERLINK("https://www.suredividend.com/sure-analysis-research-database/","Cantaloupe Inc")</f>
        <v>0</v>
      </c>
      <c r="C365">
        <v>-0.066582914572864</v>
      </c>
      <c r="D365">
        <v>0.341155234657039</v>
      </c>
      <c r="E365">
        <v>0.448343079922027</v>
      </c>
      <c r="F365">
        <v>0.7080459770114941</v>
      </c>
      <c r="G365">
        <v>0.177496038034865</v>
      </c>
      <c r="H365">
        <v>-0.257742257742257</v>
      </c>
      <c r="I365">
        <v>-0.4945578231292511</v>
      </c>
    </row>
    <row r="366" spans="1:9">
      <c r="A366" s="1" t="s">
        <v>378</v>
      </c>
      <c r="B366">
        <f>HYPERLINK("https://www.suredividend.com/sure-analysis-CTO/","CTO Realty Growth Inc")</f>
        <v>0</v>
      </c>
      <c r="C366">
        <v>0.008041355542791001</v>
      </c>
      <c r="D366">
        <v>0.102567002148592</v>
      </c>
      <c r="E366">
        <v>-0.08081977258800201</v>
      </c>
      <c r="F366">
        <v>0.003654331154459</v>
      </c>
      <c r="G366">
        <v>-0.1081954550998</v>
      </c>
      <c r="H366">
        <v>0.128428687164847</v>
      </c>
      <c r="I366">
        <v>0.360180427352414</v>
      </c>
    </row>
    <row r="367" spans="1:9">
      <c r="A367" s="1" t="s">
        <v>379</v>
      </c>
      <c r="B367">
        <f>HYPERLINK("https://www.suredividend.com/sure-analysis-research-database/","Custom Truck One Source Inc")</f>
        <v>0</v>
      </c>
      <c r="C367">
        <v>0.013333333333333</v>
      </c>
      <c r="D367">
        <v>0.089171974522292</v>
      </c>
      <c r="E367">
        <v>-0.066848567530695</v>
      </c>
      <c r="F367">
        <v>0.082278481012658</v>
      </c>
      <c r="G367">
        <v>0.04587155963302701</v>
      </c>
      <c r="H367">
        <v>-0.09999999999999901</v>
      </c>
      <c r="I367">
        <v>-0.218285714285714</v>
      </c>
    </row>
    <row r="368" spans="1:9">
      <c r="A368" s="1" t="s">
        <v>380</v>
      </c>
      <c r="B368">
        <f>HYPERLINK("https://www.suredividend.com/sure-analysis-CTRE/","CareTrust REIT Inc")</f>
        <v>0</v>
      </c>
      <c r="C368">
        <v>0.04547751389590701</v>
      </c>
      <c r="D368">
        <v>0.07571046803023801</v>
      </c>
      <c r="E368">
        <v>0.038503430725446</v>
      </c>
      <c r="F368">
        <v>0.146374707727086</v>
      </c>
      <c r="G368">
        <v>0.029102358131599</v>
      </c>
      <c r="H368">
        <v>0.001636312584115</v>
      </c>
      <c r="I368">
        <v>0.572307926134204</v>
      </c>
    </row>
    <row r="369" spans="1:9">
      <c r="A369" s="1" t="s">
        <v>381</v>
      </c>
      <c r="B369">
        <f>HYPERLINK("https://www.suredividend.com/sure-analysis-research-database/","Citi Trends Inc")</f>
        <v>0</v>
      </c>
      <c r="C369">
        <v>0.079329608938547</v>
      </c>
      <c r="D369">
        <v>0.184549356223176</v>
      </c>
      <c r="E369">
        <v>-0.432599118942731</v>
      </c>
      <c r="F369">
        <v>-0.270392749244713</v>
      </c>
      <c r="G369">
        <v>-0.245901639344262</v>
      </c>
      <c r="H369">
        <v>-0.758650843222985</v>
      </c>
      <c r="I369">
        <v>-0.301088883261585</v>
      </c>
    </row>
    <row r="370" spans="1:9">
      <c r="A370" s="1" t="s">
        <v>382</v>
      </c>
      <c r="B370">
        <f>HYPERLINK("https://www.suredividend.com/sure-analysis-research-database/","CTS Corp.")</f>
        <v>0</v>
      </c>
      <c r="C370">
        <v>0.068502824858757</v>
      </c>
      <c r="D370">
        <v>0.115222454816168</v>
      </c>
      <c r="E370">
        <v>-0.036749523043523</v>
      </c>
      <c r="F370">
        <v>0.153605684920017</v>
      </c>
      <c r="G370">
        <v>0.115661039612234</v>
      </c>
      <c r="H370">
        <v>0.308914111703232</v>
      </c>
      <c r="I370">
        <v>0.324706253173866</v>
      </c>
    </row>
    <row r="371" spans="1:9">
      <c r="A371" s="1" t="s">
        <v>383</v>
      </c>
      <c r="B371">
        <f>HYPERLINK("https://www.suredividend.com/sure-analysis-research-database/","Innovid Corp")</f>
        <v>0</v>
      </c>
      <c r="C371">
        <v>-0.08620689655172301</v>
      </c>
      <c r="D371">
        <v>0.183960683569753</v>
      </c>
      <c r="E371">
        <v>-0.56734693877551</v>
      </c>
      <c r="F371">
        <v>-0.380116959064327</v>
      </c>
      <c r="G371">
        <v>-0.6102941176470581</v>
      </c>
      <c r="H371">
        <v>-0.890721649484536</v>
      </c>
      <c r="I371">
        <v>-0.890721649484536</v>
      </c>
    </row>
    <row r="372" spans="1:9">
      <c r="A372" s="1" t="s">
        <v>384</v>
      </c>
      <c r="B372">
        <f>HYPERLINK("https://www.suredividend.com/sure-analysis-research-database/","Customers Bancorp Inc")</f>
        <v>0</v>
      </c>
      <c r="C372">
        <v>0.313288069835111</v>
      </c>
      <c r="D372">
        <v>1.314529914529914</v>
      </c>
      <c r="E372">
        <v>0.25797460514091</v>
      </c>
      <c r="F372">
        <v>0.433309809456598</v>
      </c>
      <c r="G372">
        <v>0.093405114401076</v>
      </c>
      <c r="H372">
        <v>0.08319999999999901</v>
      </c>
      <c r="I372">
        <v>0.8009230728305351</v>
      </c>
    </row>
    <row r="373" spans="1:9">
      <c r="A373" s="1" t="s">
        <v>385</v>
      </c>
      <c r="B373">
        <f>HYPERLINK("https://www.suredividend.com/sure-analysis-research-database/","CURO Group Holdings Corp")</f>
        <v>0</v>
      </c>
      <c r="C373">
        <v>0.065693430656934</v>
      </c>
      <c r="D373">
        <v>-0.093167701863354</v>
      </c>
      <c r="E373">
        <v>-0.673378076062639</v>
      </c>
      <c r="F373">
        <v>-0.5887323943661971</v>
      </c>
      <c r="G373">
        <v>-0.8080841275057501</v>
      </c>
      <c r="H373">
        <v>-0.9093117006540741</v>
      </c>
      <c r="I373">
        <v>-0.9381903314437631</v>
      </c>
    </row>
    <row r="374" spans="1:9">
      <c r="A374" s="1" t="s">
        <v>386</v>
      </c>
      <c r="B374">
        <f>HYPERLINK("https://www.suredividend.com/sure-analysis-research-database/","Torrid Holdings Inc")</f>
        <v>0</v>
      </c>
      <c r="C374">
        <v>0</v>
      </c>
      <c r="D374">
        <v>-0.233062330623306</v>
      </c>
      <c r="E374">
        <v>-0.264935064935064</v>
      </c>
      <c r="F374">
        <v>-0.04391891891891801</v>
      </c>
      <c r="G374">
        <v>-0.349425287356321</v>
      </c>
      <c r="H374">
        <v>-0.8857949959644871</v>
      </c>
      <c r="I374">
        <v>-0.882815734989648</v>
      </c>
    </row>
    <row r="375" spans="1:9">
      <c r="A375" s="1" t="s">
        <v>387</v>
      </c>
      <c r="B375">
        <f>HYPERLINK("https://www.suredividend.com/sure-analysis-research-database/","Cutera Inc")</f>
        <v>0</v>
      </c>
      <c r="C375">
        <v>0.196078431372549</v>
      </c>
      <c r="D375">
        <v>-0.150812064965197</v>
      </c>
      <c r="E375">
        <v>-0.494893734474192</v>
      </c>
      <c r="F375">
        <v>-0.586160108548168</v>
      </c>
      <c r="G375">
        <v>-0.6225247524752471</v>
      </c>
      <c r="H375">
        <v>-0.6582633053221281</v>
      </c>
      <c r="I375">
        <v>-0.5378787878787871</v>
      </c>
    </row>
    <row r="376" spans="1:9">
      <c r="A376" s="1" t="s">
        <v>388</v>
      </c>
      <c r="B376">
        <f>HYPERLINK("https://www.suredividend.com/sure-analysis-research-database/","CVB Financial Corp.")</f>
        <v>0</v>
      </c>
      <c r="C376">
        <v>0.381123919308357</v>
      </c>
      <c r="D376">
        <v>0.461128048780488</v>
      </c>
      <c r="E376">
        <v>-0.228915856498706</v>
      </c>
      <c r="F376">
        <v>-0.237300273728435</v>
      </c>
      <c r="G376">
        <v>-0.239626675340026</v>
      </c>
      <c r="H376">
        <v>0.07033980636732101</v>
      </c>
      <c r="I376">
        <v>-0.039588781675534</v>
      </c>
    </row>
    <row r="377" spans="1:9">
      <c r="A377" s="1" t="s">
        <v>389</v>
      </c>
      <c r="B377">
        <f>HYPERLINK("https://www.suredividend.com/sure-analysis-research-database/","Cavco Industries Inc")</f>
        <v>0</v>
      </c>
      <c r="C377">
        <v>-0.04615911035072701</v>
      </c>
      <c r="D377">
        <v>-0.057606490872211</v>
      </c>
      <c r="E377">
        <v>0.017298007444711</v>
      </c>
      <c r="F377">
        <v>0.232088397790055</v>
      </c>
      <c r="G377">
        <v>0.109757554042756</v>
      </c>
      <c r="H377">
        <v>0.178689217758985</v>
      </c>
      <c r="I377">
        <v>0.30505617977528</v>
      </c>
    </row>
    <row r="378" spans="1:9">
      <c r="A378" s="1" t="s">
        <v>390</v>
      </c>
      <c r="B378">
        <f>HYPERLINK("https://www.suredividend.com/sure-analysis-research-database/","Calavo Growers, Inc")</f>
        <v>0</v>
      </c>
      <c r="C378">
        <v>0.300680272108843</v>
      </c>
      <c r="D378">
        <v>0.223911074410848</v>
      </c>
      <c r="E378">
        <v>0.180782639036847</v>
      </c>
      <c r="F378">
        <v>0.3141254742398411</v>
      </c>
      <c r="G378">
        <v>-0.059131517371866</v>
      </c>
      <c r="H378">
        <v>-0.287627748240492</v>
      </c>
      <c r="I378">
        <v>-0.560469874255764</v>
      </c>
    </row>
    <row r="379" spans="1:9">
      <c r="A379" s="1" t="s">
        <v>391</v>
      </c>
      <c r="B379">
        <f>HYPERLINK("https://www.suredividend.com/sure-analysis-research-database/","CVR Energy Inc")</f>
        <v>0</v>
      </c>
      <c r="C379">
        <v>0.237356709372892</v>
      </c>
      <c r="D379">
        <v>0.5072487576491841</v>
      </c>
      <c r="E379">
        <v>0.184738502064415</v>
      </c>
      <c r="F379">
        <v>0.213467839795793</v>
      </c>
      <c r="G379">
        <v>0.156062080848744</v>
      </c>
      <c r="H379">
        <v>1.844387952815712</v>
      </c>
      <c r="I379">
        <v>0.438493618889342</v>
      </c>
    </row>
    <row r="380" spans="1:9">
      <c r="A380" s="1" t="s">
        <v>392</v>
      </c>
      <c r="B380">
        <f>HYPERLINK("https://www.suredividend.com/sure-analysis-research-database/","Covenant Logistics Group Inc")</f>
        <v>0</v>
      </c>
      <c r="C380">
        <v>0.234094435823542</v>
      </c>
      <c r="D380">
        <v>0.386281120977742</v>
      </c>
      <c r="E380">
        <v>0.625230632692622</v>
      </c>
      <c r="F380">
        <v>0.624761043092503</v>
      </c>
      <c r="G380">
        <v>0.7214349104649761</v>
      </c>
      <c r="H380">
        <v>1.68859267845069</v>
      </c>
      <c r="I380">
        <v>0.8993128765702501</v>
      </c>
    </row>
    <row r="381" spans="1:9">
      <c r="A381" s="1" t="s">
        <v>393</v>
      </c>
      <c r="B381">
        <f>HYPERLINK("https://www.suredividend.com/sure-analysis-research-database/","Commvault Systems Inc")</f>
        <v>0</v>
      </c>
      <c r="C381">
        <v>-0.0142186637217</v>
      </c>
      <c r="D381">
        <v>0.16606792945787</v>
      </c>
      <c r="E381">
        <v>0.104733910891088</v>
      </c>
      <c r="F381">
        <v>0.136378103119032</v>
      </c>
      <c r="G381">
        <v>0.256112576956904</v>
      </c>
      <c r="H381">
        <v>-0.069091383131273</v>
      </c>
      <c r="I381">
        <v>0.087738004569687</v>
      </c>
    </row>
    <row r="382" spans="1:9">
      <c r="A382" s="1" t="s">
        <v>394</v>
      </c>
      <c r="B382">
        <f>HYPERLINK("https://www.suredividend.com/sure-analysis-research-database/","Cvent Holding Corp")</f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>
      <c r="A383" s="1" t="s">
        <v>395</v>
      </c>
      <c r="B383">
        <f>HYPERLINK("https://www.suredividend.com/sure-analysis-CWEN/","Clearway Energy Inc")</f>
        <v>0</v>
      </c>
      <c r="C383">
        <v>-0.135901926444833</v>
      </c>
      <c r="D383">
        <v>-0.16205007319749</v>
      </c>
      <c r="E383">
        <v>-0.247808521991005</v>
      </c>
      <c r="F383">
        <v>-0.206267494610855</v>
      </c>
      <c r="G383">
        <v>-0.316472811299948</v>
      </c>
      <c r="H383">
        <v>-0.108607519927156</v>
      </c>
      <c r="I383">
        <v>0.369574027502512</v>
      </c>
    </row>
    <row r="384" spans="1:9">
      <c r="A384" s="1" t="s">
        <v>396</v>
      </c>
      <c r="B384">
        <f>HYPERLINK("https://www.suredividend.com/sure-analysis-research-database/","Clearway Energy Inc")</f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>
      <c r="A385" s="1" t="s">
        <v>397</v>
      </c>
      <c r="B385">
        <f>HYPERLINK("https://www.suredividend.com/sure-analysis-CWH/","Camping World Holdings Inc")</f>
        <v>0</v>
      </c>
      <c r="C385">
        <v>-0.108308106289942</v>
      </c>
      <c r="D385">
        <v>0.109581071409138</v>
      </c>
      <c r="E385">
        <v>0.050774901898608</v>
      </c>
      <c r="F385">
        <v>0.249440320490161</v>
      </c>
      <c r="G385">
        <v>-0.022737661648259</v>
      </c>
      <c r="H385">
        <v>-0.220108319923275</v>
      </c>
      <c r="I385">
        <v>0.52803315445758</v>
      </c>
    </row>
    <row r="386" spans="1:9">
      <c r="A386" s="1" t="s">
        <v>398</v>
      </c>
      <c r="B386">
        <f>HYPERLINK("https://www.suredividend.com/sure-analysis-research-database/","Cushman &amp; Wakefield plc")</f>
        <v>0</v>
      </c>
      <c r="C386">
        <v>0.218072289156626</v>
      </c>
      <c r="D386">
        <v>0.09061488673139101</v>
      </c>
      <c r="E386">
        <v>-0.327345309381237</v>
      </c>
      <c r="F386">
        <v>-0.18860353130016</v>
      </c>
      <c r="G386">
        <v>-0.389861194930597</v>
      </c>
      <c r="H386">
        <v>-0.449046321525885</v>
      </c>
      <c r="I386">
        <v>-0.454986522911051</v>
      </c>
    </row>
    <row r="387" spans="1:9">
      <c r="A387" s="1" t="s">
        <v>399</v>
      </c>
      <c r="B387">
        <f>HYPERLINK("https://www.suredividend.com/sure-analysis-research-database/","Casella Waste Systems, Inc.")</f>
        <v>0</v>
      </c>
      <c r="C387">
        <v>-0.079560887279311</v>
      </c>
      <c r="D387">
        <v>-0.090064891474602</v>
      </c>
      <c r="E387">
        <v>0.014089775561097</v>
      </c>
      <c r="F387">
        <v>0.025469675955112</v>
      </c>
      <c r="G387">
        <v>-0.040580394007313</v>
      </c>
      <c r="H387">
        <v>0.168031021111589</v>
      </c>
      <c r="I387">
        <v>1.866760662671836</v>
      </c>
    </row>
    <row r="388" spans="1:9">
      <c r="A388" s="1" t="s">
        <v>400</v>
      </c>
      <c r="B388">
        <f>HYPERLINK("https://www.suredividend.com/sure-analysis-CWT/","California Water Service Group")</f>
        <v>0</v>
      </c>
      <c r="C388">
        <v>-0.016769468003084</v>
      </c>
      <c r="D388">
        <v>-0.08476303598149701</v>
      </c>
      <c r="E388">
        <v>-0.182318458186994</v>
      </c>
      <c r="F388">
        <v>-0.151494988979914</v>
      </c>
      <c r="G388">
        <v>-0.154144377489395</v>
      </c>
      <c r="H388">
        <v>-0.179209427908488</v>
      </c>
      <c r="I388">
        <v>0.381347877067892</v>
      </c>
    </row>
    <row r="389" spans="1:9">
      <c r="A389" s="1" t="s">
        <v>401</v>
      </c>
      <c r="B389">
        <f>HYPERLINK("https://www.suredividend.com/sure-analysis-research-database/","CoreCivic Inc")</f>
        <v>0</v>
      </c>
      <c r="C389">
        <v>-0.0062893081761</v>
      </c>
      <c r="D389">
        <v>0.11137162954279</v>
      </c>
      <c r="E389">
        <v>-0.092822966507176</v>
      </c>
      <c r="F389">
        <v>-0.17993079584775</v>
      </c>
      <c r="G389">
        <v>-0.086705202312138</v>
      </c>
      <c r="H389">
        <v>-0.055776892430278</v>
      </c>
      <c r="I389">
        <v>-0.555713857228554</v>
      </c>
    </row>
    <row r="390" spans="1:9">
      <c r="A390" s="1" t="s">
        <v>402</v>
      </c>
      <c r="B390">
        <f>HYPERLINK("https://www.suredividend.com/sure-analysis-research-database/","Community Health Systems, Inc.")</f>
        <v>0</v>
      </c>
      <c r="C390">
        <v>0.093333333333333</v>
      </c>
      <c r="D390">
        <v>0.359116022099447</v>
      </c>
      <c r="E390">
        <v>-0.07692307692307601</v>
      </c>
      <c r="F390">
        <v>0.138888888888888</v>
      </c>
      <c r="G390">
        <v>0.405714285714285</v>
      </c>
      <c r="H390">
        <v>-0.6311844077961021</v>
      </c>
      <c r="I390">
        <v>0.527950310559006</v>
      </c>
    </row>
    <row r="391" spans="1:9">
      <c r="A391" s="1" t="s">
        <v>403</v>
      </c>
      <c r="B391">
        <f>HYPERLINK("https://www.suredividend.com/sure-analysis-research-database/","CryoPort Inc")</f>
        <v>0</v>
      </c>
      <c r="C391">
        <v>-0.185270425776754</v>
      </c>
      <c r="D391">
        <v>-0.324749642346208</v>
      </c>
      <c r="E391">
        <v>-0.438985736925515</v>
      </c>
      <c r="F391">
        <v>-0.18386167146974</v>
      </c>
      <c r="G391">
        <v>-0.616156139875305</v>
      </c>
      <c r="H391">
        <v>-0.770279039584685</v>
      </c>
      <c r="I391">
        <v>-0.075114304376224</v>
      </c>
    </row>
    <row r="392" spans="1:9">
      <c r="A392" s="1" t="s">
        <v>404</v>
      </c>
      <c r="B392">
        <f>HYPERLINK("https://www.suredividend.com/sure-analysis-research-database/","Cytokinetics Inc")</f>
        <v>0</v>
      </c>
      <c r="C392">
        <v>-0.049760191846522</v>
      </c>
      <c r="D392">
        <v>-0.194204372140315</v>
      </c>
      <c r="E392">
        <v>-0.29571206398578</v>
      </c>
      <c r="F392">
        <v>-0.308162374508948</v>
      </c>
      <c r="G392">
        <v>-0.260037348272642</v>
      </c>
      <c r="H392">
        <v>0.09954908081859101</v>
      </c>
      <c r="I392">
        <v>3.953125</v>
      </c>
    </row>
    <row r="393" spans="1:9">
      <c r="A393" s="1" t="s">
        <v>405</v>
      </c>
      <c r="B393">
        <f>HYPERLINK("https://www.suredividend.com/sure-analysis-research-database/","Citizens &amp; Northern Corp")</f>
        <v>0</v>
      </c>
      <c r="C393">
        <v>0.100766095135375</v>
      </c>
      <c r="D393">
        <v>0.258203705718118</v>
      </c>
      <c r="E393">
        <v>-0.057752273025556</v>
      </c>
      <c r="F393">
        <v>-0.025436026100714</v>
      </c>
      <c r="G393">
        <v>-0.07004582771281301</v>
      </c>
      <c r="H393">
        <v>-0.05710365066641201</v>
      </c>
      <c r="I393">
        <v>0.01619468767388</v>
      </c>
    </row>
    <row r="394" spans="1:9">
      <c r="A394" s="1" t="s">
        <v>406</v>
      </c>
      <c r="B394">
        <f>HYPERLINK("https://www.suredividend.com/sure-analysis-research-database/","Dana Inc")</f>
        <v>0</v>
      </c>
      <c r="C394">
        <v>0.06235431235431201</v>
      </c>
      <c r="D394">
        <v>0.290464156526294</v>
      </c>
      <c r="E394">
        <v>-0.019133092286501</v>
      </c>
      <c r="F394">
        <v>0.221383251706787</v>
      </c>
      <c r="G394">
        <v>0.17169925314617</v>
      </c>
      <c r="H394">
        <v>-0.195637114530156</v>
      </c>
      <c r="I394">
        <v>-0.040839305068872</v>
      </c>
    </row>
    <row r="395" spans="1:9">
      <c r="A395" s="1" t="s">
        <v>407</v>
      </c>
      <c r="B395">
        <f>HYPERLINK("https://www.suredividend.com/sure-analysis-research-database/","Day One Biopharmaceuticals Inc")</f>
        <v>0</v>
      </c>
      <c r="C395">
        <v>0.076150627615062</v>
      </c>
      <c r="D395">
        <v>-0.09500351864883801</v>
      </c>
      <c r="E395">
        <v>-0.390810042633822</v>
      </c>
      <c r="F395">
        <v>-0.402416356877323</v>
      </c>
      <c r="G395">
        <v>-0.327757449032932</v>
      </c>
      <c r="H395">
        <v>-0.482494969818913</v>
      </c>
      <c r="I395">
        <v>-0.5032831208960981</v>
      </c>
    </row>
    <row r="396" spans="1:9">
      <c r="A396" s="1" t="s">
        <v>408</v>
      </c>
      <c r="B396">
        <f>HYPERLINK("https://www.suredividend.com/sure-analysis-research-database/","Designer Brands Inc")</f>
        <v>0</v>
      </c>
      <c r="C396">
        <v>-0.023076923076923</v>
      </c>
      <c r="D396">
        <v>0.304420393123547</v>
      </c>
      <c r="E396">
        <v>-0.061006829881424</v>
      </c>
      <c r="F396">
        <v>0.050357183471347</v>
      </c>
      <c r="G396">
        <v>-0.32317654033961</v>
      </c>
      <c r="H396">
        <v>-0.295154185022026</v>
      </c>
      <c r="I396">
        <v>-0.6234317377365131</v>
      </c>
    </row>
    <row r="397" spans="1:9">
      <c r="A397" s="1" t="s">
        <v>409</v>
      </c>
      <c r="B397">
        <f>HYPERLINK("https://www.suredividend.com/sure-analysis-research-database/","DigitalBridge Group Inc")</f>
        <v>0</v>
      </c>
      <c r="C397">
        <v>0.07452574525745201</v>
      </c>
      <c r="D397">
        <v>0.475046967132307</v>
      </c>
      <c r="E397">
        <v>0.04302305699141101</v>
      </c>
      <c r="F397">
        <v>0.452035229707212</v>
      </c>
      <c r="G397">
        <v>-0.274078752843496</v>
      </c>
      <c r="H397">
        <v>-0.411531169182933</v>
      </c>
      <c r="I397">
        <v>1.595744680851063</v>
      </c>
    </row>
    <row r="398" spans="1:9">
      <c r="A398" s="1" t="s">
        <v>410</v>
      </c>
      <c r="B398">
        <f>HYPERLINK("https://www.suredividend.com/sure-analysis-research-database/","Dakota Gold Corp")</f>
        <v>0</v>
      </c>
      <c r="C398">
        <v>-0.010273972602739</v>
      </c>
      <c r="D398">
        <v>-0.11076923076923</v>
      </c>
      <c r="E398">
        <v>-0.1671469740634</v>
      </c>
      <c r="F398">
        <v>-0.05245901639344201</v>
      </c>
      <c r="G398">
        <v>-0.326340326340326</v>
      </c>
      <c r="H398">
        <v>-0.581159420289855</v>
      </c>
      <c r="I398">
        <v>-0.581159420289855</v>
      </c>
    </row>
    <row r="399" spans="1:9">
      <c r="A399" s="1" t="s">
        <v>411</v>
      </c>
      <c r="B399">
        <f>HYPERLINK("https://www.suredividend.com/sure-analysis-research-database/","DocGo Inc")</f>
        <v>0</v>
      </c>
      <c r="C399">
        <v>-0.055374592833876</v>
      </c>
      <c r="D399">
        <v>0.011627906976744</v>
      </c>
      <c r="E399">
        <v>-0.136904761904761</v>
      </c>
      <c r="F399">
        <v>0.23055162659123</v>
      </c>
      <c r="G399">
        <v>0.048192771084337</v>
      </c>
      <c r="H399">
        <v>-0.138613861386138</v>
      </c>
      <c r="I399">
        <v>-0.138613861386138</v>
      </c>
    </row>
    <row r="400" spans="1:9">
      <c r="A400" s="1" t="s">
        <v>412</v>
      </c>
      <c r="B400">
        <f>HYPERLINK("https://www.suredividend.com/sure-analysis-research-database/","Ducommun Inc.")</f>
        <v>0</v>
      </c>
      <c r="C400">
        <v>0.009117848187827</v>
      </c>
      <c r="D400">
        <v>-0.158524995248051</v>
      </c>
      <c r="E400">
        <v>-0.214235001774937</v>
      </c>
      <c r="F400">
        <v>-0.113891112890312</v>
      </c>
      <c r="G400">
        <v>-0.086651537033216</v>
      </c>
      <c r="H400">
        <v>-0.180640384971312</v>
      </c>
      <c r="I400">
        <v>0.390826264530317</v>
      </c>
    </row>
    <row r="401" spans="1:9">
      <c r="A401" s="1" t="s">
        <v>413</v>
      </c>
      <c r="B401">
        <f>HYPERLINK("https://www.suredividend.com/sure-analysis-research-database/","Dime Community Bancshares Inc")</f>
        <v>0</v>
      </c>
      <c r="C401">
        <v>0.286266268980477</v>
      </c>
      <c r="D401">
        <v>0.286971462806694</v>
      </c>
      <c r="E401">
        <v>-0.254000288309067</v>
      </c>
      <c r="F401">
        <v>-0.251644115201451</v>
      </c>
      <c r="G401">
        <v>-0.286305337194869</v>
      </c>
      <c r="H401">
        <v>-0.258042757852136</v>
      </c>
      <c r="I401">
        <v>-0.310228878599373</v>
      </c>
    </row>
    <row r="402" spans="1:9">
      <c r="A402" s="1" t="s">
        <v>414</v>
      </c>
      <c r="B402">
        <f>HYPERLINK("https://www.suredividend.com/sure-analysis-research-database/","Deciphera Pharmaceuticals Inc")</f>
        <v>0</v>
      </c>
      <c r="C402">
        <v>-0.061965811965811</v>
      </c>
      <c r="D402">
        <v>-0.054558506819813</v>
      </c>
      <c r="E402">
        <v>-0.22665883734586</v>
      </c>
      <c r="F402">
        <v>-0.196461256863941</v>
      </c>
      <c r="G402">
        <v>-0.029476787030213</v>
      </c>
      <c r="H402">
        <v>-0.553861788617886</v>
      </c>
      <c r="I402">
        <v>-0.630989072569347</v>
      </c>
    </row>
    <row r="403" spans="1:9">
      <c r="A403" s="1" t="s">
        <v>415</v>
      </c>
      <c r="B403">
        <f>HYPERLINK("https://www.suredividend.com/sure-analysis-research-database/","3D Systems Corp.")</f>
        <v>0</v>
      </c>
      <c r="C403">
        <v>-0.169525731584258</v>
      </c>
      <c r="D403">
        <v>-0.07005649717514101</v>
      </c>
      <c r="E403">
        <v>-0.3153078202995</v>
      </c>
      <c r="F403">
        <v>0.112162162162162</v>
      </c>
      <c r="G403">
        <v>-0.334142394822006</v>
      </c>
      <c r="H403">
        <v>-0.6906015037593981</v>
      </c>
      <c r="I403">
        <v>-0.359533073929961</v>
      </c>
    </row>
    <row r="404" spans="1:9">
      <c r="A404" s="1" t="s">
        <v>416</v>
      </c>
      <c r="B404">
        <f>HYPERLINK("https://www.suredividend.com/sure-analysis-DDS/","Dillard`s Inc.")</f>
        <v>0</v>
      </c>
      <c r="C404">
        <v>0.020498113207547</v>
      </c>
      <c r="D404">
        <v>0.17414872133662</v>
      </c>
      <c r="E404">
        <v>-0.158715017076313</v>
      </c>
      <c r="F404">
        <v>0.047259262655622</v>
      </c>
      <c r="G404">
        <v>0.46680933821749</v>
      </c>
      <c r="H404">
        <v>1.021597435147592</v>
      </c>
      <c r="I404">
        <v>3.566417299540441</v>
      </c>
    </row>
    <row r="405" spans="1:9">
      <c r="A405" s="1" t="s">
        <v>417</v>
      </c>
      <c r="B405">
        <f>HYPERLINK("https://www.suredividend.com/sure-analysis-DEA/","Easterly Government Properties Inc")</f>
        <v>0</v>
      </c>
      <c r="C405">
        <v>-0.014344262295082</v>
      </c>
      <c r="D405">
        <v>0.052431971176637</v>
      </c>
      <c r="E405">
        <v>-0.09020408935292801</v>
      </c>
      <c r="F405">
        <v>0.048783324127104</v>
      </c>
      <c r="G405">
        <v>-0.179493594591367</v>
      </c>
      <c r="H405">
        <v>-0.268344623372409</v>
      </c>
      <c r="I405">
        <v>-0.007401496808276</v>
      </c>
    </row>
    <row r="406" spans="1:9">
      <c r="A406" s="1" t="s">
        <v>418</v>
      </c>
      <c r="B406">
        <f>HYPERLINK("https://www.suredividend.com/sure-analysis-research-database/","Denbury Inc.")</f>
        <v>0</v>
      </c>
      <c r="C406">
        <v>0.023712658374985</v>
      </c>
      <c r="D406">
        <v>0.012298850574712</v>
      </c>
      <c r="E406">
        <v>0.05599520383693</v>
      </c>
      <c r="F406">
        <v>0.012066191680073</v>
      </c>
      <c r="G406">
        <v>0.231576003356173</v>
      </c>
      <c r="H406">
        <v>0.333585705632949</v>
      </c>
      <c r="I406">
        <v>3.86574585635359</v>
      </c>
    </row>
    <row r="407" spans="1:9">
      <c r="A407" s="1" t="s">
        <v>419</v>
      </c>
      <c r="B407">
        <f>HYPERLINK("https://www.suredividend.com/sure-analysis-research-database/","Denny`s Corp.")</f>
        <v>0</v>
      </c>
      <c r="C407">
        <v>-0.169599999999999</v>
      </c>
      <c r="D407">
        <v>-0.017045454545454</v>
      </c>
      <c r="E407">
        <v>-0.169599999999999</v>
      </c>
      <c r="F407">
        <v>0.127035830618892</v>
      </c>
      <c r="G407">
        <v>0.026706231454006</v>
      </c>
      <c r="H407">
        <v>-0.261735419630156</v>
      </c>
      <c r="I407">
        <v>-0.301950235373234</v>
      </c>
    </row>
    <row r="408" spans="1:9">
      <c r="A408" s="1" t="s">
        <v>420</v>
      </c>
      <c r="B408">
        <f>HYPERLINK("https://www.suredividend.com/sure-analysis-research-database/","Dream Finders Homes Inc")</f>
        <v>0</v>
      </c>
      <c r="C408">
        <v>-0.023654159869494</v>
      </c>
      <c r="D408">
        <v>0.519035532994923</v>
      </c>
      <c r="E408">
        <v>0.8429561200923781</v>
      </c>
      <c r="F408">
        <v>1.764434180138568</v>
      </c>
      <c r="G408">
        <v>0.8486486486486481</v>
      </c>
      <c r="H408">
        <v>-0.000417536534446</v>
      </c>
      <c r="I408">
        <v>0.14272076372315</v>
      </c>
    </row>
    <row r="409" spans="1:9">
      <c r="A409" s="1" t="s">
        <v>421</v>
      </c>
      <c r="B409">
        <f>HYPERLINK("https://www.suredividend.com/sure-analysis-research-database/","Donnelley Financial Solutions Inc")</f>
        <v>0</v>
      </c>
      <c r="C409">
        <v>0.040735873850197</v>
      </c>
      <c r="D409">
        <v>0.076818490822569</v>
      </c>
      <c r="E409">
        <v>-0.027226202661207</v>
      </c>
      <c r="F409">
        <v>0.229495472186287</v>
      </c>
      <c r="G409">
        <v>0.200909780136467</v>
      </c>
      <c r="H409">
        <v>0.499053627760252</v>
      </c>
      <c r="I409">
        <v>1.560344827586207</v>
      </c>
    </row>
    <row r="410" spans="1:9">
      <c r="A410" s="1" t="s">
        <v>422</v>
      </c>
      <c r="B410">
        <f>HYPERLINK("https://www.suredividend.com/sure-analysis-DGICA/","Donegal Group Inc.")</f>
        <v>0</v>
      </c>
      <c r="C410">
        <v>0.05699598778707701</v>
      </c>
      <c r="D410">
        <v>0.056273517764279</v>
      </c>
      <c r="E410">
        <v>0.020026266186707</v>
      </c>
      <c r="F410">
        <v>0.117664163914136</v>
      </c>
      <c r="G410">
        <v>0.112314861535721</v>
      </c>
      <c r="H410">
        <v>0.09747704742799401</v>
      </c>
      <c r="I410">
        <v>0.311266040921297</v>
      </c>
    </row>
    <row r="411" spans="1:9">
      <c r="A411" s="1" t="s">
        <v>423</v>
      </c>
      <c r="B411">
        <f>HYPERLINK("https://www.suredividend.com/sure-analysis-research-database/","Digi International, Inc.")</f>
        <v>0</v>
      </c>
      <c r="C411">
        <v>-0.09581749049429601</v>
      </c>
      <c r="D411">
        <v>0.232976149325959</v>
      </c>
      <c r="E411">
        <v>0.013064470320931</v>
      </c>
      <c r="F411">
        <v>-0.02407660738714</v>
      </c>
      <c r="G411">
        <v>0.186232125041569</v>
      </c>
      <c r="H411">
        <v>0.7223563495895701</v>
      </c>
      <c r="I411">
        <v>1.754440154440154</v>
      </c>
    </row>
    <row r="412" spans="1:9">
      <c r="A412" s="1" t="s">
        <v>424</v>
      </c>
      <c r="B412">
        <f>HYPERLINK("https://www.suredividend.com/sure-analysis-research-database/","Diversified Healthcare Trust")</f>
        <v>0</v>
      </c>
      <c r="C412">
        <v>0.08168916580131501</v>
      </c>
      <c r="D412">
        <v>2.023340186237756</v>
      </c>
      <c r="E412">
        <v>2.437843784378438</v>
      </c>
      <c r="F412">
        <v>3.014774369680424</v>
      </c>
      <c r="G412">
        <v>0.5064778547755341</v>
      </c>
      <c r="H412">
        <v>-0.30678793256433</v>
      </c>
      <c r="I412">
        <v>-0.8472741490115581</v>
      </c>
    </row>
    <row r="413" spans="1:9">
      <c r="A413" s="1" t="s">
        <v>425</v>
      </c>
      <c r="B413">
        <f>HYPERLINK("https://www.suredividend.com/sure-analysis-research-database/","Diamond Hill Investment Group, Inc.")</f>
        <v>0</v>
      </c>
      <c r="C413">
        <v>0.044706224549156</v>
      </c>
      <c r="D413">
        <v>0.14966480246648</v>
      </c>
      <c r="E413">
        <v>-0.023779159966818</v>
      </c>
      <c r="F413">
        <v>-0.002779789166929</v>
      </c>
      <c r="G413">
        <v>0.008766780714767001</v>
      </c>
      <c r="H413">
        <v>0.111472830698522</v>
      </c>
      <c r="I413">
        <v>0.246103000819471</v>
      </c>
    </row>
    <row r="414" spans="1:9">
      <c r="A414" s="1" t="s">
        <v>426</v>
      </c>
      <c r="B414">
        <f>HYPERLINK("https://www.suredividend.com/sure-analysis-research-database/","DHT Holdings Inc")</f>
        <v>0</v>
      </c>
      <c r="C414">
        <v>0.1725768321513</v>
      </c>
      <c r="D414">
        <v>0.130110846557832</v>
      </c>
      <c r="E414">
        <v>0.246450380720227</v>
      </c>
      <c r="F414">
        <v>0.188892484329869</v>
      </c>
      <c r="G414">
        <v>0.491886363978163</v>
      </c>
      <c r="H414">
        <v>0.888408749119567</v>
      </c>
      <c r="I414">
        <v>2.220151918457443</v>
      </c>
    </row>
    <row r="415" spans="1:9">
      <c r="A415" s="1" t="s">
        <v>427</v>
      </c>
      <c r="B415">
        <f>HYPERLINK("https://www.suredividend.com/sure-analysis-research-database/","DHI Group Inc")</f>
        <v>0</v>
      </c>
      <c r="C415">
        <v>0.03157894736842101</v>
      </c>
      <c r="D415">
        <v>0.113636363636363</v>
      </c>
      <c r="E415">
        <v>-0.347753743760399</v>
      </c>
      <c r="F415">
        <v>-0.258979206049149</v>
      </c>
      <c r="G415">
        <v>-0.251908396946564</v>
      </c>
      <c r="H415">
        <v>0.028871391076115</v>
      </c>
      <c r="I415">
        <v>0.9121951219512191</v>
      </c>
    </row>
    <row r="416" spans="1:9">
      <c r="A416" s="1" t="s">
        <v>428</v>
      </c>
      <c r="B416">
        <f>HYPERLINK("https://www.suredividend.com/sure-analysis-research-database/","1stdibs.com Inc")</f>
        <v>0</v>
      </c>
      <c r="C416">
        <v>0.018229166666666</v>
      </c>
      <c r="D416">
        <v>0.0625</v>
      </c>
      <c r="E416">
        <v>-0.375399361022364</v>
      </c>
      <c r="F416">
        <v>-0.230314960629921</v>
      </c>
      <c r="G416">
        <v>-0.4584487534626031</v>
      </c>
      <c r="H416">
        <v>-0.791688865210442</v>
      </c>
      <c r="I416">
        <v>-0.862807017543859</v>
      </c>
    </row>
    <row r="417" spans="1:9">
      <c r="A417" s="1" t="s">
        <v>429</v>
      </c>
      <c r="B417">
        <f>HYPERLINK("https://www.suredividend.com/sure-analysis-research-database/","DICE Therapeutics Inc")</f>
        <v>0</v>
      </c>
      <c r="C417">
        <v>0.02130865260439</v>
      </c>
      <c r="D417">
        <v>0.298932384341637</v>
      </c>
      <c r="E417">
        <v>0.520833333333333</v>
      </c>
      <c r="F417">
        <v>0.520833333333333</v>
      </c>
      <c r="G417">
        <v>1.761932479627474</v>
      </c>
      <c r="H417">
        <v>0.286256438059094</v>
      </c>
      <c r="I417">
        <v>0.286256438059094</v>
      </c>
    </row>
    <row r="418" spans="1:9">
      <c r="A418" s="1" t="s">
        <v>430</v>
      </c>
      <c r="B418">
        <f>HYPERLINK("https://www.suredividend.com/sure-analysis-research-database/","Dine Brands Global Inc")</f>
        <v>0</v>
      </c>
      <c r="C418">
        <v>-0.019391052900153</v>
      </c>
      <c r="D418">
        <v>-0.101402062177054</v>
      </c>
      <c r="E418">
        <v>-0.272027022760993</v>
      </c>
      <c r="F418">
        <v>-0.09307718204214101</v>
      </c>
      <c r="G418">
        <v>-0.20758192214647</v>
      </c>
      <c r="H418">
        <v>-0.224209507840664</v>
      </c>
      <c r="I418">
        <v>-0.109042943666477</v>
      </c>
    </row>
    <row r="419" spans="1:9">
      <c r="A419" s="1" t="s">
        <v>431</v>
      </c>
      <c r="B419">
        <f>HYPERLINK("https://www.suredividend.com/sure-analysis-research-database/","Diodes, Inc.")</f>
        <v>0</v>
      </c>
      <c r="C419">
        <v>-0.042095115681233</v>
      </c>
      <c r="D419">
        <v>0.07191657677094501</v>
      </c>
      <c r="E419">
        <v>-0.050435336589509</v>
      </c>
      <c r="F419">
        <v>0.174546887312844</v>
      </c>
      <c r="G419">
        <v>0.06249257455150301</v>
      </c>
      <c r="H419">
        <v>0.06211401425178101</v>
      </c>
      <c r="I419">
        <v>1.459570957095709</v>
      </c>
    </row>
    <row r="420" spans="1:9">
      <c r="A420" s="1" t="s">
        <v>432</v>
      </c>
      <c r="B420">
        <f>HYPERLINK("https://www.suredividend.com/sure-analysis-research-database/","Daily Journal Corporation")</f>
        <v>0</v>
      </c>
      <c r="C420">
        <v>0.011995298672566</v>
      </c>
      <c r="D420">
        <v>0.07383904335705301</v>
      </c>
      <c r="E420">
        <v>-0.052588996763754</v>
      </c>
      <c r="F420">
        <v>0.168616023312442</v>
      </c>
      <c r="G420">
        <v>0.08425925925925901</v>
      </c>
      <c r="H420">
        <v>-0.124813153961136</v>
      </c>
      <c r="I420">
        <v>0.230042016806722</v>
      </c>
    </row>
    <row r="421" spans="1:9">
      <c r="A421" s="1" t="s">
        <v>433</v>
      </c>
      <c r="B421">
        <f>HYPERLINK("https://www.suredividend.com/sure-analysis-research-database/","Delek US Holdings Inc")</f>
        <v>0</v>
      </c>
      <c r="C421">
        <v>0.156289176765566</v>
      </c>
      <c r="D421">
        <v>0.411396246818364</v>
      </c>
      <c r="E421">
        <v>0.09734527312674</v>
      </c>
      <c r="F421">
        <v>0.044915900697114</v>
      </c>
      <c r="G421">
        <v>0.06649090958145901</v>
      </c>
      <c r="H421">
        <v>0.6424386682416351</v>
      </c>
      <c r="I421">
        <v>-0.3700812497296601</v>
      </c>
    </row>
    <row r="422" spans="1:9">
      <c r="A422" s="1" t="s">
        <v>434</v>
      </c>
      <c r="B422">
        <f>HYPERLINK("https://www.suredividend.com/sure-analysis-research-database/","Duluth Holdings Inc")</f>
        <v>0</v>
      </c>
      <c r="C422">
        <v>0.161904761904762</v>
      </c>
      <c r="D422">
        <v>0.304812834224598</v>
      </c>
      <c r="E422">
        <v>0.05780346820809201</v>
      </c>
      <c r="F422">
        <v>0.184466019417475</v>
      </c>
      <c r="G422">
        <v>-0.273088381330685</v>
      </c>
      <c r="H422">
        <v>-0.5358275206087501</v>
      </c>
      <c r="I422">
        <v>-0.690224291155311</v>
      </c>
    </row>
    <row r="423" spans="1:9">
      <c r="A423" s="1" t="s">
        <v>435</v>
      </c>
      <c r="B423">
        <f>HYPERLINK("https://www.suredividend.com/sure-analysis-research-database/","Deluxe Corp.")</f>
        <v>0</v>
      </c>
      <c r="C423">
        <v>0.129545454545454</v>
      </c>
      <c r="D423">
        <v>0.429341769421576</v>
      </c>
      <c r="E423">
        <v>0.007587314941992</v>
      </c>
      <c r="F423">
        <v>0.212313396428919</v>
      </c>
      <c r="G423">
        <v>-0.165522828491434</v>
      </c>
      <c r="H423">
        <v>-0.500496237389917</v>
      </c>
      <c r="I423">
        <v>-0.5840560394519081</v>
      </c>
    </row>
    <row r="424" spans="1:9">
      <c r="A424" s="1" t="s">
        <v>436</v>
      </c>
      <c r="B424">
        <f>HYPERLINK("https://www.suredividend.com/sure-analysis-research-database/","Desktop Metal Inc")</f>
        <v>0</v>
      </c>
      <c r="C424">
        <v>0.034285714285714</v>
      </c>
      <c r="D424">
        <v>-0.05729166666666601</v>
      </c>
      <c r="E424">
        <v>-0.150234741784037</v>
      </c>
      <c r="F424">
        <v>0.330882352941176</v>
      </c>
      <c r="G424">
        <v>-0.226495726495726</v>
      </c>
      <c r="H424">
        <v>-0.794784580498866</v>
      </c>
      <c r="I424">
        <v>-0.8134020618556701</v>
      </c>
    </row>
    <row r="425" spans="1:9">
      <c r="A425" s="1" t="s">
        <v>437</v>
      </c>
      <c r="B425">
        <f>HYPERLINK("https://www.suredividend.com/sure-analysis-research-database/","Digimarc Corporation")</f>
        <v>0</v>
      </c>
      <c r="C425">
        <v>0.178794863351992</v>
      </c>
      <c r="D425">
        <v>0.968114348543155</v>
      </c>
      <c r="E425">
        <v>0.6558741905642921</v>
      </c>
      <c r="F425">
        <v>0.936181719848566</v>
      </c>
      <c r="G425">
        <v>1.142429682824655</v>
      </c>
      <c r="H425">
        <v>0.356574460022735</v>
      </c>
      <c r="I425">
        <v>0.265017667844522</v>
      </c>
    </row>
    <row r="426" spans="1:9">
      <c r="A426" s="1" t="s">
        <v>438</v>
      </c>
      <c r="B426">
        <f>HYPERLINK("https://www.suredividend.com/sure-analysis-research-database/","Denali Therapeutics Inc")</f>
        <v>0</v>
      </c>
      <c r="C426">
        <v>-0.08322102425876</v>
      </c>
      <c r="D426">
        <v>0.052204176334106</v>
      </c>
      <c r="E426">
        <v>-0.141640378548895</v>
      </c>
      <c r="F426">
        <v>-0.021574973031283</v>
      </c>
      <c r="G426">
        <v>-0.1806684733514</v>
      </c>
      <c r="H426">
        <v>-0.467827107373362</v>
      </c>
      <c r="I426">
        <v>0.9632034632034631</v>
      </c>
    </row>
    <row r="427" spans="1:9">
      <c r="A427" s="1" t="s">
        <v>439</v>
      </c>
      <c r="B427">
        <f>HYPERLINK("https://www.suredividend.com/sure-analysis-research-database/","Danimer Scientific Inc")</f>
        <v>0</v>
      </c>
      <c r="C427">
        <v>0.065306122448979</v>
      </c>
      <c r="D427">
        <v>-0.141447368421052</v>
      </c>
      <c r="E427">
        <v>-0.03690036900369</v>
      </c>
      <c r="F427">
        <v>0.4581005586592171</v>
      </c>
      <c r="G427">
        <v>-0.459627329192546</v>
      </c>
      <c r="H427">
        <v>-0.8404645476772611</v>
      </c>
      <c r="I427">
        <v>-0.729533678756476</v>
      </c>
    </row>
    <row r="428" spans="1:9">
      <c r="A428" s="1" t="s">
        <v>440</v>
      </c>
      <c r="B428">
        <f>HYPERLINK("https://www.suredividend.com/sure-analysis-research-database/","NOW Inc")</f>
        <v>0</v>
      </c>
      <c r="C428">
        <v>-0.003813155386082001</v>
      </c>
      <c r="D428">
        <v>0.016536964980544</v>
      </c>
      <c r="E428">
        <v>-0.247660187185025</v>
      </c>
      <c r="F428">
        <v>-0.177165354330708</v>
      </c>
      <c r="G428">
        <v>-0.0897212543554</v>
      </c>
      <c r="H428">
        <v>0.08740894901144601</v>
      </c>
      <c r="I428">
        <v>-0.3963027151935291</v>
      </c>
    </row>
    <row r="429" spans="1:9">
      <c r="A429" s="1" t="s">
        <v>441</v>
      </c>
      <c r="B429">
        <f>HYPERLINK("https://www.suredividend.com/sure-analysis-research-database/","Krispy Kreme Inc")</f>
        <v>0</v>
      </c>
      <c r="C429">
        <v>0.009909182780675001</v>
      </c>
      <c r="D429">
        <v>0.01677785896219</v>
      </c>
      <c r="E429">
        <v>0.17028467233601</v>
      </c>
      <c r="F429">
        <v>0.456904396152754</v>
      </c>
      <c r="G429">
        <v>0.039470561132597</v>
      </c>
      <c r="H429">
        <v>-0.030447465749856</v>
      </c>
      <c r="I429">
        <v>-0.27514360821731</v>
      </c>
    </row>
    <row r="430" spans="1:9">
      <c r="A430" s="1" t="s">
        <v>442</v>
      </c>
      <c r="B430">
        <f>HYPERLINK("https://www.suredividend.com/sure-analysis-research-database/","Diamond Offshore Drilling, Inc.")</f>
        <v>0</v>
      </c>
      <c r="C430">
        <v>0.06703524533517601</v>
      </c>
      <c r="D430">
        <v>0.459357277882797</v>
      </c>
      <c r="E430">
        <v>0.254264825345247</v>
      </c>
      <c r="F430">
        <v>0.4846153846153841</v>
      </c>
      <c r="G430">
        <v>1.297619047619047</v>
      </c>
      <c r="H430">
        <v>15.4535379369139</v>
      </c>
      <c r="I430">
        <v>-0.169445938676707</v>
      </c>
    </row>
    <row r="431" spans="1:9">
      <c r="A431" s="1" t="s">
        <v>443</v>
      </c>
      <c r="B431">
        <f>HYPERLINK("https://www.suredividend.com/sure-analysis-DOC/","Physicians Realty Trust")</f>
        <v>0</v>
      </c>
      <c r="C431">
        <v>0.042385057471264</v>
      </c>
      <c r="D431">
        <v>0.007687873716083001</v>
      </c>
      <c r="E431">
        <v>-0.052284380000653</v>
      </c>
      <c r="F431">
        <v>0.035474455680123</v>
      </c>
      <c r="G431">
        <v>-0.122488721167918</v>
      </c>
      <c r="H431">
        <v>-0.144250673806757</v>
      </c>
      <c r="I431">
        <v>0.134019007127673</v>
      </c>
    </row>
    <row r="432" spans="1:9">
      <c r="A432" s="1" t="s">
        <v>444</v>
      </c>
      <c r="B432">
        <f>HYPERLINK("https://www.suredividend.com/sure-analysis-research-database/","DigitalOcean Holdings Inc")</f>
        <v>0</v>
      </c>
      <c r="C432">
        <v>0.180278128950695</v>
      </c>
      <c r="D432">
        <v>0.489945738908394</v>
      </c>
      <c r="E432">
        <v>0.5058064516129031</v>
      </c>
      <c r="F432">
        <v>0.8327444051825671</v>
      </c>
      <c r="G432">
        <v>0.031374281926646</v>
      </c>
      <c r="H432">
        <v>-0.231098665788173</v>
      </c>
      <c r="I432">
        <v>0.09835294117647</v>
      </c>
    </row>
    <row r="433" spans="1:9">
      <c r="A433" s="1" t="s">
        <v>445</v>
      </c>
      <c r="B433">
        <f>HYPERLINK("https://www.suredividend.com/sure-analysis-research-database/","Doma Holdings Inc")</f>
        <v>0</v>
      </c>
      <c r="C433">
        <v>0.5176715176715171</v>
      </c>
      <c r="D433">
        <v>-0.239781306951314</v>
      </c>
      <c r="E433">
        <v>-0.6685960730904551</v>
      </c>
      <c r="F433">
        <v>-0.355266063148597</v>
      </c>
      <c r="G433">
        <v>-0.61850013065064</v>
      </c>
      <c r="H433">
        <v>-0.9595006934812761</v>
      </c>
      <c r="I433">
        <v>-0.9573099415204681</v>
      </c>
    </row>
    <row r="434" spans="1:9">
      <c r="A434" s="1" t="s">
        <v>446</v>
      </c>
      <c r="B434">
        <f>HYPERLINK("https://www.suredividend.com/sure-analysis-research-database/","Domo Inc.")</f>
        <v>0</v>
      </c>
      <c r="C434">
        <v>0.107569721115537</v>
      </c>
      <c r="D434">
        <v>0.170526315789473</v>
      </c>
      <c r="E434">
        <v>-0.007733491969065</v>
      </c>
      <c r="F434">
        <v>0.171348314606741</v>
      </c>
      <c r="G434">
        <v>-0.472819216182048</v>
      </c>
      <c r="H434">
        <v>-0.8137353433835841</v>
      </c>
      <c r="I434">
        <v>-0.020551967116852</v>
      </c>
    </row>
    <row r="435" spans="1:9">
      <c r="A435" s="1" t="s">
        <v>447</v>
      </c>
      <c r="B435">
        <f>HYPERLINK("https://www.suredividend.com/sure-analysis-research-database/","Masonite International Corp")</f>
        <v>0</v>
      </c>
      <c r="C435">
        <v>0.000197374913648</v>
      </c>
      <c r="D435">
        <v>0.126111111111111</v>
      </c>
      <c r="E435">
        <v>0.08593164041572901</v>
      </c>
      <c r="F435">
        <v>0.257288177645453</v>
      </c>
      <c r="G435">
        <v>0.147661646472653</v>
      </c>
      <c r="H435">
        <v>-0.109010989010989</v>
      </c>
      <c r="I435">
        <v>0.53444360333081</v>
      </c>
    </row>
    <row r="436" spans="1:9">
      <c r="A436" s="1" t="s">
        <v>448</v>
      </c>
      <c r="B436">
        <f>HYPERLINK("https://www.suredividend.com/sure-analysis-research-database/","Dorman Products Inc")</f>
        <v>0</v>
      </c>
      <c r="C436">
        <v>0.12177867609904</v>
      </c>
      <c r="D436">
        <v>0.03195816385822201</v>
      </c>
      <c r="E436">
        <v>-0.110844097326524</v>
      </c>
      <c r="F436">
        <v>0.09805861258810401</v>
      </c>
      <c r="G436">
        <v>-0.10672970526104</v>
      </c>
      <c r="H436">
        <v>-0.117997616209773</v>
      </c>
      <c r="I436">
        <v>0.211459754433833</v>
      </c>
    </row>
    <row r="437" spans="1:9">
      <c r="A437" s="1" t="s">
        <v>449</v>
      </c>
      <c r="B437">
        <f>HYPERLINK("https://www.suredividend.com/sure-analysis-research-database/","Douglas Elliman Inc")</f>
        <v>0</v>
      </c>
      <c r="C437">
        <v>-0.045045045045045</v>
      </c>
      <c r="D437">
        <v>-0.19348702731492</v>
      </c>
      <c r="E437">
        <v>-0.553627826672842</v>
      </c>
      <c r="F437">
        <v>-0.443949011173477</v>
      </c>
      <c r="G437">
        <v>-0.613237494070857</v>
      </c>
      <c r="H437">
        <v>-0.795206677035133</v>
      </c>
      <c r="I437">
        <v>-0.795206677035133</v>
      </c>
    </row>
    <row r="438" spans="1:9">
      <c r="A438" s="1" t="s">
        <v>450</v>
      </c>
      <c r="B438">
        <f>HYPERLINK("https://www.suredividend.com/sure-analysis-research-database/","Diamondrock Hospitality Co.")</f>
        <v>0</v>
      </c>
      <c r="C438">
        <v>-0.04252733900364501</v>
      </c>
      <c r="D438">
        <v>-0.03762777689573901</v>
      </c>
      <c r="E438">
        <v>-0.193754668140008</v>
      </c>
      <c r="F438">
        <v>-0.030344793640636</v>
      </c>
      <c r="G438">
        <v>-0.131105965376557</v>
      </c>
      <c r="H438">
        <v>-0.049583288104111</v>
      </c>
      <c r="I438">
        <v>-0.270991377715279</v>
      </c>
    </row>
    <row r="439" spans="1:9">
      <c r="A439" s="1" t="s">
        <v>451</v>
      </c>
      <c r="B439">
        <f>HYPERLINK("https://www.suredividend.com/sure-analysis-research-database/","Dril-Quip, Inc.")</f>
        <v>0</v>
      </c>
      <c r="C439">
        <v>0.201795639162035</v>
      </c>
      <c r="D439">
        <v>0.08911274699728701</v>
      </c>
      <c r="E439">
        <v>-0.100767754318618</v>
      </c>
      <c r="F439">
        <v>0.034596981965402</v>
      </c>
      <c r="G439">
        <v>0.231274638633377</v>
      </c>
      <c r="H439">
        <v>-0.05257836198179901</v>
      </c>
      <c r="I439">
        <v>-0.438922155688622</v>
      </c>
    </row>
    <row r="440" spans="1:9">
      <c r="A440" s="1" t="s">
        <v>452</v>
      </c>
      <c r="B440">
        <f>HYPERLINK("https://www.suredividend.com/sure-analysis-research-database/","Diversey Holdings Ltd")</f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>
      <c r="A441" s="1" t="s">
        <v>453</v>
      </c>
      <c r="B441">
        <f>HYPERLINK("https://www.suredividend.com/sure-analysis-research-database/","Design Therapeutics Inc")</f>
        <v>0</v>
      </c>
      <c r="C441">
        <v>0.178018575851393</v>
      </c>
      <c r="D441">
        <v>0.05841446453407501</v>
      </c>
      <c r="E441">
        <v>-0.04993757802746501</v>
      </c>
      <c r="F441">
        <v>-0.258284600389863</v>
      </c>
      <c r="G441">
        <v>-0.622332506203473</v>
      </c>
      <c r="H441">
        <v>-0.5198738170347</v>
      </c>
      <c r="I441">
        <v>-0.8165823089901181</v>
      </c>
    </row>
    <row r="442" spans="1:9">
      <c r="A442" s="1" t="s">
        <v>454</v>
      </c>
      <c r="B442">
        <f>HYPERLINK("https://www.suredividend.com/sure-analysis-research-database/","Distribution Solutions Group Inc")</f>
        <v>0</v>
      </c>
      <c r="C442">
        <v>0.02573320719016</v>
      </c>
      <c r="D442">
        <v>0.204666666666666</v>
      </c>
      <c r="E442">
        <v>0.21060941376669</v>
      </c>
      <c r="F442">
        <v>0.47959517882877</v>
      </c>
      <c r="G442">
        <v>0.09491925955100401</v>
      </c>
      <c r="H442">
        <v>0.032571428571428</v>
      </c>
      <c r="I442">
        <v>0.9121693121693121</v>
      </c>
    </row>
    <row r="443" spans="1:9">
      <c r="A443" s="1" t="s">
        <v>455</v>
      </c>
      <c r="B443">
        <f>HYPERLINK("https://www.suredividend.com/sure-analysis-research-database/","Daseke Inc")</f>
        <v>0</v>
      </c>
      <c r="C443">
        <v>-0.136798905608755</v>
      </c>
      <c r="D443">
        <v>-0.215174129353233</v>
      </c>
      <c r="E443">
        <v>-0.160904255319148</v>
      </c>
      <c r="F443">
        <v>0.108963093145869</v>
      </c>
      <c r="G443">
        <v>-0.059612518628912</v>
      </c>
      <c r="H443">
        <v>-0.208281053952321</v>
      </c>
      <c r="I443">
        <v>-0.252369668246445</v>
      </c>
    </row>
    <row r="444" spans="1:9">
      <c r="A444" s="1" t="s">
        <v>456</v>
      </c>
      <c r="B444">
        <f>HYPERLINK("https://www.suredividend.com/sure-analysis-research-database/","Viant Technology Inc")</f>
        <v>0</v>
      </c>
      <c r="C444">
        <v>0.017505470459518</v>
      </c>
      <c r="D444">
        <v>0.171284634760705</v>
      </c>
      <c r="E444">
        <v>0.024229074889867</v>
      </c>
      <c r="F444">
        <v>0.156716417910447</v>
      </c>
      <c r="G444">
        <v>-0.107485604606525</v>
      </c>
      <c r="H444">
        <v>-0.7095565271705181</v>
      </c>
      <c r="I444">
        <v>-0.902556580050293</v>
      </c>
    </row>
    <row r="445" spans="1:9">
      <c r="A445" s="1" t="s">
        <v>457</v>
      </c>
      <c r="B445">
        <f>HYPERLINK("https://www.suredividend.com/sure-analysis-research-database/","Solo Brands Inc")</f>
        <v>0</v>
      </c>
      <c r="C445">
        <v>0.026595744680851</v>
      </c>
      <c r="D445">
        <v>-0.230053191489361</v>
      </c>
      <c r="E445">
        <v>0.172064777327935</v>
      </c>
      <c r="F445">
        <v>0.5564516129032251</v>
      </c>
      <c r="G445">
        <v>0.07620817843866101</v>
      </c>
      <c r="H445">
        <v>-0.6712095400340711</v>
      </c>
      <c r="I445">
        <v>-0.6712095400340711</v>
      </c>
    </row>
    <row r="446" spans="1:9">
      <c r="A446" s="1" t="s">
        <v>458</v>
      </c>
      <c r="B446">
        <f>HYPERLINK("https://www.suredividend.com/sure-analysis-research-database/","Duolingo Inc")</f>
        <v>0</v>
      </c>
      <c r="C446">
        <v>-0.007867378477100001</v>
      </c>
      <c r="D446">
        <v>0.171047176851007</v>
      </c>
      <c r="E446">
        <v>0.413955350885974</v>
      </c>
      <c r="F446">
        <v>0.9856600590468161</v>
      </c>
      <c r="G446">
        <v>0.350674189538108</v>
      </c>
      <c r="H446">
        <v>0.009867009867009001</v>
      </c>
      <c r="I446">
        <v>0.016042011366088</v>
      </c>
    </row>
    <row r="447" spans="1:9">
      <c r="A447" s="1" t="s">
        <v>459</v>
      </c>
      <c r="B447">
        <f>HYPERLINK("https://www.suredividend.com/sure-analysis-research-database/","Dynavax Technologies Corp.")</f>
        <v>0</v>
      </c>
      <c r="C447">
        <v>0.04773082942097</v>
      </c>
      <c r="D447">
        <v>0.215063520871143</v>
      </c>
      <c r="E447">
        <v>0.145423438836612</v>
      </c>
      <c r="F447">
        <v>0.258458646616541</v>
      </c>
      <c r="G447">
        <v>-0.05237084217975901</v>
      </c>
      <c r="H447">
        <v>0.374743326488706</v>
      </c>
      <c r="I447">
        <v>0.033976833976834</v>
      </c>
    </row>
    <row r="448" spans="1:9">
      <c r="A448" s="1" t="s">
        <v>460</v>
      </c>
      <c r="B448">
        <f>HYPERLINK("https://www.suredividend.com/sure-analysis-DX/","Dynex Capital, Inc.")</f>
        <v>0</v>
      </c>
      <c r="C448">
        <v>0.017515807834871</v>
      </c>
      <c r="D448">
        <v>0.193984591913123</v>
      </c>
      <c r="E448">
        <v>-0.081304547542489</v>
      </c>
      <c r="F448">
        <v>0.065503069663605</v>
      </c>
      <c r="G448">
        <v>-0.141443737309039</v>
      </c>
      <c r="H448">
        <v>-0.09917638984214101</v>
      </c>
      <c r="I448">
        <v>0.13617919168966</v>
      </c>
    </row>
    <row r="449" spans="1:9">
      <c r="A449" s="1" t="s">
        <v>461</v>
      </c>
      <c r="B449">
        <f>HYPERLINK("https://www.suredividend.com/sure-analysis-research-database/","Destination XL Group Inc")</f>
        <v>0</v>
      </c>
      <c r="C449">
        <v>-0.007905138339920001</v>
      </c>
      <c r="D449">
        <v>0.154022988505747</v>
      </c>
      <c r="E449">
        <v>-0.320703653585927</v>
      </c>
      <c r="F449">
        <v>-0.256296296296296</v>
      </c>
      <c r="G449">
        <v>0.148741418764301</v>
      </c>
      <c r="H449">
        <v>22.61241768579492</v>
      </c>
      <c r="I449">
        <v>1.419277108433734</v>
      </c>
    </row>
    <row r="450" spans="1:9">
      <c r="A450" s="1" t="s">
        <v>462</v>
      </c>
      <c r="B450">
        <f>HYPERLINK("https://www.suredividend.com/sure-analysis-research-database/","DXP Enterprises, Inc.")</f>
        <v>0</v>
      </c>
      <c r="C450">
        <v>-0.003212851405622</v>
      </c>
      <c r="D450">
        <v>0.462868369351669</v>
      </c>
      <c r="E450">
        <v>0.196336760925449</v>
      </c>
      <c r="F450">
        <v>0.3513611615245</v>
      </c>
      <c r="G450">
        <v>0.132988435788192</v>
      </c>
      <c r="H450">
        <v>0.1336784409257</v>
      </c>
      <c r="I450">
        <v>-0.103755416466056</v>
      </c>
    </row>
    <row r="451" spans="1:9">
      <c r="A451" s="1" t="s">
        <v>463</v>
      </c>
      <c r="B451">
        <f>HYPERLINK("https://www.suredividend.com/sure-analysis-research-database/","Dycom Industries, Inc.")</f>
        <v>0</v>
      </c>
      <c r="C451">
        <v>-0.13808680248007</v>
      </c>
      <c r="D451">
        <v>0.05120449389651</v>
      </c>
      <c r="E451">
        <v>0.070163862311668</v>
      </c>
      <c r="F451">
        <v>0.039636752136752</v>
      </c>
      <c r="G451">
        <v>-0.0702274030193</v>
      </c>
      <c r="H451">
        <v>0.375406360424028</v>
      </c>
      <c r="I451">
        <v>0.105669810248835</v>
      </c>
    </row>
    <row r="452" spans="1:9">
      <c r="A452" s="1" t="s">
        <v>464</v>
      </c>
      <c r="B452">
        <f>HYPERLINK("https://www.suredividend.com/sure-analysis-research-database/","Dyne Therapeutics Inc")</f>
        <v>0</v>
      </c>
      <c r="C452">
        <v>0.024955436720142</v>
      </c>
      <c r="D452">
        <v>-0.047224523612261</v>
      </c>
      <c r="E452">
        <v>-0.178571428571428</v>
      </c>
      <c r="F452">
        <v>-0.00776531492666</v>
      </c>
      <c r="G452">
        <v>0.048313582497721</v>
      </c>
      <c r="H452">
        <v>-0.346219442865264</v>
      </c>
      <c r="I452">
        <v>-0.518828451882845</v>
      </c>
    </row>
    <row r="453" spans="1:9">
      <c r="A453" s="1" t="s">
        <v>465</v>
      </c>
      <c r="B453">
        <f>HYPERLINK("https://www.suredividend.com/sure-analysis-research-database/","DZS Inc")</f>
        <v>0</v>
      </c>
      <c r="C453">
        <v>-0.183622828784119</v>
      </c>
      <c r="D453">
        <v>-0.5096870342771981</v>
      </c>
      <c r="E453">
        <v>-0.746141975308642</v>
      </c>
      <c r="F453">
        <v>-0.7405362776025231</v>
      </c>
      <c r="G453">
        <v>-0.7683098591549291</v>
      </c>
      <c r="H453">
        <v>-0.7980356046654381</v>
      </c>
      <c r="I453">
        <v>-0.6427795874049941</v>
      </c>
    </row>
    <row r="454" spans="1:9">
      <c r="A454" s="1" t="s">
        <v>466</v>
      </c>
      <c r="B454">
        <f>HYPERLINK("https://www.suredividend.com/sure-analysis-research-database/","GrafTech International Ltd.")</f>
        <v>0</v>
      </c>
      <c r="C454">
        <v>0.025490196078431</v>
      </c>
      <c r="D454">
        <v>0.285012285012284</v>
      </c>
      <c r="E454">
        <v>-0.061041292639138</v>
      </c>
      <c r="F454">
        <v>0.100705040513522</v>
      </c>
      <c r="G454">
        <v>-0.322415982172932</v>
      </c>
      <c r="H454">
        <v>-0.5433710219583531</v>
      </c>
      <c r="I454">
        <v>-0.735715765590495</v>
      </c>
    </row>
    <row r="455" spans="1:9">
      <c r="A455" s="1" t="s">
        <v>467</v>
      </c>
      <c r="B455">
        <f>HYPERLINK("https://www.suredividend.com/sure-analysis-research-database/","Brinker International, Inc.")</f>
        <v>0</v>
      </c>
      <c r="C455">
        <v>0.05315704263356701</v>
      </c>
      <c r="D455">
        <v>0.006965944272445001</v>
      </c>
      <c r="E455">
        <v>-0.050133852518861</v>
      </c>
      <c r="F455">
        <v>0.223127546223754</v>
      </c>
      <c r="G455">
        <v>0.323050847457627</v>
      </c>
      <c r="H455">
        <v>-0.270057976435384</v>
      </c>
      <c r="I455">
        <v>-0.06110627324381401</v>
      </c>
    </row>
    <row r="456" spans="1:9">
      <c r="A456" s="1" t="s">
        <v>468</v>
      </c>
      <c r="B456">
        <f>HYPERLINK("https://www.suredividend.com/sure-analysis-research-database/","Eventbrite Inc")</f>
        <v>0</v>
      </c>
      <c r="C456">
        <v>0.114906832298136</v>
      </c>
      <c r="D456">
        <v>0.6594761171032351</v>
      </c>
      <c r="E456">
        <v>0.188741721854304</v>
      </c>
      <c r="F456">
        <v>0.8378839590443681</v>
      </c>
      <c r="G456">
        <v>0.297590361445782</v>
      </c>
      <c r="H456">
        <v>-0.3817451205510901</v>
      </c>
      <c r="I456">
        <v>-0.704931506849315</v>
      </c>
    </row>
    <row r="457" spans="1:9">
      <c r="A457" s="1" t="s">
        <v>469</v>
      </c>
      <c r="B457">
        <f>HYPERLINK("https://www.suredividend.com/sure-analysis-research-database/","Eastern Bankshares Inc.")</f>
        <v>0</v>
      </c>
      <c r="C457">
        <v>0.144588045234248</v>
      </c>
      <c r="D457">
        <v>0.365612019698736</v>
      </c>
      <c r="E457">
        <v>-0.09879542592569</v>
      </c>
      <c r="F457">
        <v>-0.157830924305819</v>
      </c>
      <c r="G457">
        <v>-0.282622452854069</v>
      </c>
      <c r="H457">
        <v>-0.182342758222735</v>
      </c>
      <c r="I457">
        <v>0.238809623723597</v>
      </c>
    </row>
    <row r="458" spans="1:9">
      <c r="A458" s="1" t="s">
        <v>470</v>
      </c>
      <c r="B458">
        <f>HYPERLINK("https://www.suredividend.com/sure-analysis-EBF/","Ennis Inc.")</f>
        <v>0</v>
      </c>
      <c r="C458">
        <v>0.079789069045389</v>
      </c>
      <c r="D458">
        <v>0.137963092808135</v>
      </c>
      <c r="E458">
        <v>0.049495370436898</v>
      </c>
      <c r="F458">
        <v>0.02428169382813</v>
      </c>
      <c r="G458">
        <v>0.05333499995192401</v>
      </c>
      <c r="H458">
        <v>0.231244731666198</v>
      </c>
      <c r="I458">
        <v>0.311002608841339</v>
      </c>
    </row>
    <row r="459" spans="1:9">
      <c r="A459" s="1" t="s">
        <v>471</v>
      </c>
      <c r="B459">
        <f>HYPERLINK("https://www.suredividend.com/sure-analysis-research-database/","Ebix Inc.")</f>
        <v>0</v>
      </c>
      <c r="C459">
        <v>0.03084539223153</v>
      </c>
      <c r="D459">
        <v>0.7176395939086291</v>
      </c>
      <c r="E459">
        <v>0.333497536945812</v>
      </c>
      <c r="F459">
        <v>0.356212424849699</v>
      </c>
      <c r="G459">
        <v>0.108758248104625</v>
      </c>
      <c r="H459">
        <v>-0.09339960078770701</v>
      </c>
      <c r="I459">
        <v>-0.652387635940575</v>
      </c>
    </row>
    <row r="460" spans="1:9">
      <c r="A460" s="1" t="s">
        <v>472</v>
      </c>
      <c r="B460">
        <f>HYPERLINK("https://www.suredividend.com/sure-analysis-research-database/","Emergent Biosolutions Inc")</f>
        <v>0</v>
      </c>
      <c r="C460">
        <v>-0.048877146631439</v>
      </c>
      <c r="D460">
        <v>-0.14691943127962</v>
      </c>
      <c r="E460">
        <v>-0.484609878310665</v>
      </c>
      <c r="F460">
        <v>-0.390347163420829</v>
      </c>
      <c r="G460">
        <v>-0.765625</v>
      </c>
      <c r="H460">
        <v>-0.8863994951088671</v>
      </c>
      <c r="I460">
        <v>-0.872813990461049</v>
      </c>
    </row>
    <row r="461" spans="1:9">
      <c r="A461" s="1" t="s">
        <v>473</v>
      </c>
      <c r="B461">
        <f>HYPERLINK("https://www.suredividend.com/sure-analysis-EBTC/","Enterprise Bancorp, Inc.")</f>
        <v>0</v>
      </c>
      <c r="C461">
        <v>0.09243409791167401</v>
      </c>
      <c r="D461">
        <v>0.172743543662737</v>
      </c>
      <c r="E461">
        <v>-0.09655865573816901</v>
      </c>
      <c r="F461">
        <v>-0.07480429109886901</v>
      </c>
      <c r="G461">
        <v>0.020639890995275</v>
      </c>
      <c r="H461">
        <v>0.031491023345121</v>
      </c>
      <c r="I461">
        <v>-0.027632188391311</v>
      </c>
    </row>
    <row r="462" spans="1:9">
      <c r="A462" s="1" t="s">
        <v>474</v>
      </c>
      <c r="B462">
        <f>HYPERLINK("https://www.suredividend.com/sure-analysis-research-database/","Encore Capital Group, Inc.")</f>
        <v>0</v>
      </c>
      <c r="C462">
        <v>0.010323886639675</v>
      </c>
      <c r="D462">
        <v>0.022326915198688</v>
      </c>
      <c r="E462">
        <v>-0.130639261452708</v>
      </c>
      <c r="F462">
        <v>0.041093032957864</v>
      </c>
      <c r="G462">
        <v>-0.284957020057306</v>
      </c>
      <c r="H462">
        <v>0.04305120167189101</v>
      </c>
      <c r="I462">
        <v>0.40393811533052</v>
      </c>
    </row>
    <row r="463" spans="1:9">
      <c r="A463" s="1" t="s">
        <v>475</v>
      </c>
      <c r="B463">
        <f>HYPERLINK("https://www.suredividend.com/sure-analysis-research-database/","Ecovyst Inc")</f>
        <v>0</v>
      </c>
      <c r="C463">
        <v>-0.107266435986159</v>
      </c>
      <c r="D463">
        <v>-0.095530236634531</v>
      </c>
      <c r="E463">
        <v>-0.061818181818181</v>
      </c>
      <c r="F463">
        <v>0.164785553047404</v>
      </c>
      <c r="G463">
        <v>-0.03641456582633</v>
      </c>
      <c r="H463">
        <v>-0.213840071302877</v>
      </c>
      <c r="I463">
        <v>-0.301352613834843</v>
      </c>
    </row>
    <row r="464" spans="1:9">
      <c r="A464" s="1" t="s">
        <v>476</v>
      </c>
      <c r="B464">
        <f>HYPERLINK("https://www.suredividend.com/sure-analysis-research-database/","Editas Medicine Inc")</f>
        <v>0</v>
      </c>
      <c r="C464">
        <v>0.129854368932038</v>
      </c>
      <c r="D464">
        <v>0.113636363636363</v>
      </c>
      <c r="E464">
        <v>-0.173179396092362</v>
      </c>
      <c r="F464">
        <v>0.049605411499436</v>
      </c>
      <c r="G464">
        <v>-0.50187265917603</v>
      </c>
      <c r="H464">
        <v>-0.7789123723581091</v>
      </c>
      <c r="I464">
        <v>-0.6753835425383541</v>
      </c>
    </row>
    <row r="465" spans="1:9">
      <c r="A465" s="1" t="s">
        <v>477</v>
      </c>
      <c r="B465">
        <f>HYPERLINK("https://www.suredividend.com/sure-analysis-research-database/","Excelerate Energy Inc")</f>
        <v>0</v>
      </c>
      <c r="C465">
        <v>0.030067895247332</v>
      </c>
      <c r="D465">
        <v>0.035875226780593</v>
      </c>
      <c r="E465">
        <v>-0.072760371419715</v>
      </c>
      <c r="F465">
        <v>-0.150121239766643</v>
      </c>
      <c r="G465">
        <v>-0.096562343153184</v>
      </c>
      <c r="H465">
        <v>-0.205583357644577</v>
      </c>
      <c r="I465">
        <v>-0.205583357644577</v>
      </c>
    </row>
    <row r="466" spans="1:9">
      <c r="A466" s="1" t="s">
        <v>478</v>
      </c>
      <c r="B466">
        <f>HYPERLINK("https://www.suredividend.com/sure-analysis-EFC/","Ellington Financial Inc")</f>
        <v>0</v>
      </c>
      <c r="C466">
        <v>-0.023261023783743</v>
      </c>
      <c r="D466">
        <v>0.130089940644358</v>
      </c>
      <c r="E466">
        <v>0.008216812863243</v>
      </c>
      <c r="F466">
        <v>0.146151891413499</v>
      </c>
      <c r="G466">
        <v>-0.05812546805691501</v>
      </c>
      <c r="H466">
        <v>-0.08342384639641201</v>
      </c>
      <c r="I466">
        <v>0.352916839056681</v>
      </c>
    </row>
    <row r="467" spans="1:9">
      <c r="A467" s="1" t="s">
        <v>479</v>
      </c>
      <c r="B467">
        <f>HYPERLINK("https://www.suredividend.com/sure-analysis-research-database/","Enterprise Financial Services Corp.")</f>
        <v>0</v>
      </c>
      <c r="C467">
        <v>0.02430468554247</v>
      </c>
      <c r="D467">
        <v>0.05749207786328601</v>
      </c>
      <c r="E467">
        <v>-0.254362925348742</v>
      </c>
      <c r="F467">
        <v>-0.15064958270051</v>
      </c>
      <c r="G467">
        <v>-0.09501861764536501</v>
      </c>
      <c r="H467">
        <v>-0.055066420416852</v>
      </c>
      <c r="I467">
        <v>-0.20255152301345</v>
      </c>
    </row>
    <row r="468" spans="1:9">
      <c r="A468" s="1" t="s">
        <v>480</v>
      </c>
      <c r="B468">
        <f>HYPERLINK("https://www.suredividend.com/sure-analysis-research-database/","eGain Corp")</f>
        <v>0</v>
      </c>
      <c r="C468">
        <v>-0.053947368421052</v>
      </c>
      <c r="D468">
        <v>0.004189944134078001</v>
      </c>
      <c r="E468">
        <v>-0.271529888551165</v>
      </c>
      <c r="F468">
        <v>-0.20376522702104</v>
      </c>
      <c r="G468">
        <v>-0.263319672131147</v>
      </c>
      <c r="H468">
        <v>-0.3726003490401391</v>
      </c>
      <c r="I468">
        <v>-0.459398496240601</v>
      </c>
    </row>
    <row r="469" spans="1:9">
      <c r="A469" s="1" t="s">
        <v>481</v>
      </c>
      <c r="B469">
        <f>HYPERLINK("https://www.suredividend.com/sure-analysis-research-database/","Eagle Bancorp Inc (MD)")</f>
        <v>0</v>
      </c>
      <c r="C469">
        <v>0.259094366742735</v>
      </c>
      <c r="D469">
        <v>0.334150900477683</v>
      </c>
      <c r="E469">
        <v>-0.415946521656304</v>
      </c>
      <c r="F469">
        <v>-0.349707151293113</v>
      </c>
      <c r="G469">
        <v>-0.3966014662271261</v>
      </c>
      <c r="H469">
        <v>-0.465422886557902</v>
      </c>
      <c r="I469">
        <v>-0.414458406580289</v>
      </c>
    </row>
    <row r="470" spans="1:9">
      <c r="A470" s="1" t="s">
        <v>482</v>
      </c>
      <c r="B470">
        <f>HYPERLINK("https://www.suredividend.com/sure-analysis-research-database/","8X8 Inc.")</f>
        <v>0</v>
      </c>
      <c r="C470">
        <v>0.047727272727272</v>
      </c>
      <c r="D470">
        <v>0.7137546468401481</v>
      </c>
      <c r="E470">
        <v>-0.27172195892575</v>
      </c>
      <c r="F470">
        <v>0.06712962962962901</v>
      </c>
      <c r="G470">
        <v>-0.17825311942959</v>
      </c>
      <c r="H470">
        <v>-0.8212485459480411</v>
      </c>
      <c r="I470">
        <v>-0.776213592233009</v>
      </c>
    </row>
    <row r="471" spans="1:9">
      <c r="A471" s="1" t="s">
        <v>483</v>
      </c>
      <c r="B471">
        <f>HYPERLINK("https://www.suredividend.com/sure-analysis-research-database/","Edgio Inc")</f>
        <v>0</v>
      </c>
      <c r="C471">
        <v>0.187235329703569</v>
      </c>
      <c r="D471">
        <v>0.354382332643202</v>
      </c>
      <c r="E471">
        <v>-0.5213414634146341</v>
      </c>
      <c r="F471">
        <v>-0.305309734513274</v>
      </c>
      <c r="G471">
        <v>-0.7113970588235291</v>
      </c>
      <c r="H471">
        <v>-0.719642857142857</v>
      </c>
      <c r="I471">
        <v>-0.8203661327231121</v>
      </c>
    </row>
    <row r="472" spans="1:9">
      <c r="A472" s="1" t="s">
        <v>484</v>
      </c>
      <c r="B472">
        <f>HYPERLINK("https://www.suredividend.com/sure-analysis-research-database/","Eagle Bulk Shipping Inc")</f>
        <v>0</v>
      </c>
      <c r="C472">
        <v>-0.035699016673792</v>
      </c>
      <c r="D472">
        <v>0.047644483667568</v>
      </c>
      <c r="E472">
        <v>-0.186694311728116</v>
      </c>
      <c r="F472">
        <v>-0.08360504210216201</v>
      </c>
      <c r="G472">
        <v>-0.025718778077268</v>
      </c>
      <c r="H472">
        <v>0.320299123410358</v>
      </c>
      <c r="I472">
        <v>0.451948269313712</v>
      </c>
    </row>
    <row r="473" spans="1:9">
      <c r="A473" s="1" t="s">
        <v>485</v>
      </c>
      <c r="B473">
        <f>HYPERLINK("https://www.suredividend.com/sure-analysis-research-database/","Eagle Pharmaceuticals Inc")</f>
        <v>0</v>
      </c>
      <c r="C473">
        <v>0.069191919191919</v>
      </c>
      <c r="D473">
        <v>-0.254052149400986</v>
      </c>
      <c r="E473">
        <v>-0.3682482840943</v>
      </c>
      <c r="F473">
        <v>-0.275744098528908</v>
      </c>
      <c r="G473">
        <v>-0.497865275142314</v>
      </c>
      <c r="H473">
        <v>-0.558498435870698</v>
      </c>
      <c r="I473">
        <v>-0.7275418275418271</v>
      </c>
    </row>
    <row r="474" spans="1:9">
      <c r="A474" s="1" t="s">
        <v>486</v>
      </c>
      <c r="B474">
        <f>HYPERLINK("https://www.suredividend.com/sure-analysis-research-database/","VAALCO Energy, Inc.")</f>
        <v>0</v>
      </c>
      <c r="C474">
        <v>0.117493472584856</v>
      </c>
      <c r="D474">
        <v>0.07613396359247701</v>
      </c>
      <c r="E474">
        <v>-0.027803016536434</v>
      </c>
      <c r="F474">
        <v>-0.03206838843909701</v>
      </c>
      <c r="G474">
        <v>-0.07277020732684801</v>
      </c>
      <c r="H474">
        <v>0.6194331983805671</v>
      </c>
      <c r="I474">
        <v>0.496085011185682</v>
      </c>
    </row>
    <row r="475" spans="1:9">
      <c r="A475" s="1" t="s">
        <v>487</v>
      </c>
      <c r="B475">
        <f>HYPERLINK("https://www.suredividend.com/sure-analysis-research-database/","eHealth Inc")</f>
        <v>0</v>
      </c>
      <c r="C475">
        <v>0.09720534629404601</v>
      </c>
      <c r="D475">
        <v>0.559585492227979</v>
      </c>
      <c r="E475">
        <v>0.218623481781376</v>
      </c>
      <c r="F475">
        <v>0.865702479338842</v>
      </c>
      <c r="G475">
        <v>0.135849056603773</v>
      </c>
      <c r="H475">
        <v>-0.8198683423099941</v>
      </c>
      <c r="I475">
        <v>-0.64945652173913</v>
      </c>
    </row>
    <row r="476" spans="1:9">
      <c r="A476" s="1" t="s">
        <v>488</v>
      </c>
      <c r="B476">
        <f>HYPERLINK("https://www.suredividend.com/sure-analysis-research-database/","Employers Holdings Inc")</f>
        <v>0</v>
      </c>
      <c r="C476">
        <v>0.037174721189591</v>
      </c>
      <c r="D476">
        <v>-0.007914334190126</v>
      </c>
      <c r="E476">
        <v>-0.08758569943587201</v>
      </c>
      <c r="F476">
        <v>-0.08229506116858101</v>
      </c>
      <c r="G476">
        <v>0.07191666163548201</v>
      </c>
      <c r="H476">
        <v>0.01295892407476</v>
      </c>
      <c r="I476">
        <v>0.028696036912963</v>
      </c>
    </row>
    <row r="477" spans="1:9">
      <c r="A477" s="1" t="s">
        <v>489</v>
      </c>
      <c r="B477">
        <f>HYPERLINK("https://www.suredividend.com/sure-analysis-research-database/","Eiger BioPharmaceuticals Inc")</f>
        <v>0</v>
      </c>
      <c r="C477">
        <v>-0.024279835390946</v>
      </c>
      <c r="D477">
        <v>-0.4072499999999991</v>
      </c>
      <c r="E477">
        <v>-0.661285714285714</v>
      </c>
      <c r="F477">
        <v>-0.397203389830508</v>
      </c>
      <c r="G477">
        <v>-0.923680257510729</v>
      </c>
      <c r="H477">
        <v>-0.9096188055908511</v>
      </c>
      <c r="I477">
        <v>-0.927786802030456</v>
      </c>
    </row>
    <row r="478" spans="1:9">
      <c r="A478" s="1" t="s">
        <v>490</v>
      </c>
      <c r="B478">
        <f>HYPERLINK("https://www.suredividend.com/sure-analysis-research-database/","e.l.f. Beauty Inc")</f>
        <v>0</v>
      </c>
      <c r="C478">
        <v>0.166092715231788</v>
      </c>
      <c r="D478">
        <v>0.4281388558451391</v>
      </c>
      <c r="E478">
        <v>0.8936048178950381</v>
      </c>
      <c r="F478">
        <v>1.388065099457504</v>
      </c>
      <c r="G478">
        <v>2.899025686448184</v>
      </c>
      <c r="H478">
        <v>3.615868577420483</v>
      </c>
      <c r="I478">
        <v>8.177206393328701</v>
      </c>
    </row>
    <row r="479" spans="1:9">
      <c r="A479" s="1" t="s">
        <v>491</v>
      </c>
      <c r="B479">
        <f>HYPERLINK("https://www.suredividend.com/sure-analysis-research-database/","Elme Communities")</f>
        <v>0</v>
      </c>
      <c r="C479">
        <v>-0.051651651651651</v>
      </c>
      <c r="D479">
        <v>-0.026030101159634</v>
      </c>
      <c r="E479">
        <v>-0.15641344823349</v>
      </c>
      <c r="F479">
        <v>-0.093383247973174</v>
      </c>
      <c r="G479">
        <v>-0.23659693381745</v>
      </c>
      <c r="H479">
        <v>-0.310748224489172</v>
      </c>
      <c r="I479">
        <v>-0.390829652205783</v>
      </c>
    </row>
    <row r="480" spans="1:9">
      <c r="A480" s="1" t="s">
        <v>492</v>
      </c>
      <c r="B480">
        <f>HYPERLINK("https://www.suredividend.com/sure-analysis-research-database/","Embecta Corp")</f>
        <v>0</v>
      </c>
      <c r="C480">
        <v>0.013809523809523</v>
      </c>
      <c r="D480">
        <v>-0.25920255538583</v>
      </c>
      <c r="E480">
        <v>-0.232206226017714</v>
      </c>
      <c r="F480">
        <v>-0.145072622647343</v>
      </c>
      <c r="G480">
        <v>-0.268533183993623</v>
      </c>
      <c r="H480">
        <v>-0.283642554795119</v>
      </c>
      <c r="I480">
        <v>-0.283642554795119</v>
      </c>
    </row>
    <row r="481" spans="1:9">
      <c r="A481" s="1" t="s">
        <v>493</v>
      </c>
      <c r="B481">
        <f>HYPERLINK("https://www.suredividend.com/sure-analysis-research-database/","Emcor Group, Inc.")</f>
        <v>0</v>
      </c>
      <c r="C481">
        <v>0.169170700334553</v>
      </c>
      <c r="D481">
        <v>0.298162404193877</v>
      </c>
      <c r="E481">
        <v>0.451103462921825</v>
      </c>
      <c r="F481">
        <v>0.457736215033023</v>
      </c>
      <c r="G481">
        <v>0.8627417890594641</v>
      </c>
      <c r="H481">
        <v>0.7987376077725791</v>
      </c>
      <c r="I481">
        <v>1.892653059030335</v>
      </c>
    </row>
    <row r="482" spans="1:9">
      <c r="A482" s="1" t="s">
        <v>494</v>
      </c>
      <c r="B482">
        <f>HYPERLINK("https://www.suredividend.com/sure-analysis-research-database/","Enfusion Inc")</f>
        <v>0</v>
      </c>
      <c r="C482">
        <v>-0.07913669064748101</v>
      </c>
      <c r="D482">
        <v>0.219047619047618</v>
      </c>
      <c r="E482">
        <v>-0.146666666666666</v>
      </c>
      <c r="F482">
        <v>0.05894519131334001</v>
      </c>
      <c r="G482">
        <v>-0.207430340557275</v>
      </c>
      <c r="H482">
        <v>-0.4830893488137301</v>
      </c>
      <c r="I482">
        <v>-0.4830893488137301</v>
      </c>
    </row>
    <row r="483" spans="1:9">
      <c r="A483" s="1" t="s">
        <v>495</v>
      </c>
      <c r="B483">
        <f>HYPERLINK("https://www.suredividend.com/sure-analysis-research-database/","Enochian Biosciences Inc")</f>
        <v>0</v>
      </c>
      <c r="C483">
        <v>0.390544298768375</v>
      </c>
      <c r="D483">
        <v>-0.416666666666666</v>
      </c>
      <c r="E483">
        <v>-0.363636363636363</v>
      </c>
      <c r="F483">
        <v>-0.320388349514563</v>
      </c>
      <c r="G483">
        <v>-0.741697416974169</v>
      </c>
      <c r="H483">
        <v>-0.864864864864864</v>
      </c>
      <c r="I483">
        <v>-0.9166666666666661</v>
      </c>
    </row>
    <row r="484" spans="1:9">
      <c r="A484" s="1" t="s">
        <v>496</v>
      </c>
      <c r="B484">
        <f>HYPERLINK("https://www.suredividend.com/sure-analysis-research-database/","Energizer Holdings Inc")</f>
        <v>0</v>
      </c>
      <c r="C484">
        <v>0.08626760563380201</v>
      </c>
      <c r="D484">
        <v>0.117250995174272</v>
      </c>
      <c r="E484">
        <v>0.010873304971355</v>
      </c>
      <c r="F484">
        <v>0.122355552052194</v>
      </c>
      <c r="G484">
        <v>0.245609076593854</v>
      </c>
      <c r="H484">
        <v>-0.07539455576729501</v>
      </c>
      <c r="I484">
        <v>-0.351002247474658</v>
      </c>
    </row>
    <row r="485" spans="1:9">
      <c r="A485" s="1" t="s">
        <v>497</v>
      </c>
      <c r="B485">
        <f>HYPERLINK("https://www.suredividend.com/sure-analysis-research-database/","Enersys")</f>
        <v>0</v>
      </c>
      <c r="C485">
        <v>-0.03020535960954</v>
      </c>
      <c r="D485">
        <v>0.280003695006393</v>
      </c>
      <c r="E485">
        <v>0.232822028074767</v>
      </c>
      <c r="F485">
        <v>0.431669102402882</v>
      </c>
      <c r="G485">
        <v>0.5857050145982431</v>
      </c>
      <c r="H485">
        <v>0.092862717098927</v>
      </c>
      <c r="I485">
        <v>0.381576789614887</v>
      </c>
    </row>
    <row r="486" spans="1:9">
      <c r="A486" s="1" t="s">
        <v>498</v>
      </c>
      <c r="B486">
        <f>HYPERLINK("https://www.suredividend.com/sure-analysis-ENSG/","Ensign Group Inc")</f>
        <v>0</v>
      </c>
      <c r="C486">
        <v>0.04910001065076101</v>
      </c>
      <c r="D486">
        <v>0.05217843664443701</v>
      </c>
      <c r="E486">
        <v>0.06799379804616701</v>
      </c>
      <c r="F486">
        <v>0.04304658553140801</v>
      </c>
      <c r="G486">
        <v>0.149359567514081</v>
      </c>
      <c r="H486">
        <v>0.162071862052042</v>
      </c>
      <c r="I486">
        <v>2.058930212913965</v>
      </c>
    </row>
    <row r="487" spans="1:9">
      <c r="A487" s="1" t="s">
        <v>499</v>
      </c>
      <c r="B487">
        <f>HYPERLINK("https://www.suredividend.com/sure-analysis-research-database/","Enanta Pharmaceuticals Inc")</f>
        <v>0</v>
      </c>
      <c r="C487">
        <v>-0.120650700406687</v>
      </c>
      <c r="D487">
        <v>-0.4516765285996051</v>
      </c>
      <c r="E487">
        <v>-0.6293333333333331</v>
      </c>
      <c r="F487">
        <v>-0.5816852966466031</v>
      </c>
      <c r="G487">
        <v>-0.698714971357795</v>
      </c>
      <c r="H487">
        <v>-0.548491879350348</v>
      </c>
      <c r="I487">
        <v>-0.805283169901941</v>
      </c>
    </row>
    <row r="488" spans="1:9">
      <c r="A488" s="1" t="s">
        <v>500</v>
      </c>
      <c r="B488">
        <f>HYPERLINK("https://www.suredividend.com/sure-analysis-research-database/","Envestnet Inc.")</f>
        <v>0</v>
      </c>
      <c r="C488">
        <v>0.011500084559445</v>
      </c>
      <c r="D488">
        <v>-0.022552704690308</v>
      </c>
      <c r="E488">
        <v>-0.11927551170667</v>
      </c>
      <c r="F488">
        <v>-0.03063209076175</v>
      </c>
      <c r="G488">
        <v>0.028900739721314</v>
      </c>
      <c r="H488">
        <v>-0.195669714900484</v>
      </c>
      <c r="I488">
        <v>-0.003996669442131001</v>
      </c>
    </row>
    <row r="489" spans="1:9">
      <c r="A489" s="1" t="s">
        <v>501</v>
      </c>
      <c r="B489">
        <f>HYPERLINK("https://www.suredividend.com/sure-analysis-research-database/","Enova International Inc.")</f>
        <v>0</v>
      </c>
      <c r="C489">
        <v>-0.004422332780541</v>
      </c>
      <c r="D489">
        <v>0.258267349790405</v>
      </c>
      <c r="E489">
        <v>0.013696060037523</v>
      </c>
      <c r="F489">
        <v>0.4081313526192331</v>
      </c>
      <c r="G489">
        <v>0.575678040244969</v>
      </c>
      <c r="H489">
        <v>0.678471575023299</v>
      </c>
      <c r="I489">
        <v>0.7207006369426751</v>
      </c>
    </row>
    <row r="490" spans="1:9">
      <c r="A490" s="1" t="s">
        <v>502</v>
      </c>
      <c r="B490">
        <f>HYPERLINK("https://www.suredividend.com/sure-analysis-research-database/","Enovix Corporation")</f>
        <v>0</v>
      </c>
      <c r="C490">
        <v>-0.053134962805525</v>
      </c>
      <c r="D490">
        <v>0.546875</v>
      </c>
      <c r="E490">
        <v>0.96039603960396</v>
      </c>
      <c r="F490">
        <v>0.4324758842443731</v>
      </c>
      <c r="G490">
        <v>0.319022945965951</v>
      </c>
      <c r="H490">
        <v>0.152652005174644</v>
      </c>
      <c r="I490">
        <v>0.4199203187250991</v>
      </c>
    </row>
    <row r="491" spans="1:9">
      <c r="A491" s="1" t="s">
        <v>503</v>
      </c>
      <c r="B491">
        <f>HYPERLINK("https://www.suredividend.com/sure-analysis-research-database/","Evolus Inc")</f>
        <v>0</v>
      </c>
      <c r="C491">
        <v>0.388121546961326</v>
      </c>
      <c r="D491">
        <v>0.209386281588447</v>
      </c>
      <c r="E491">
        <v>0.053459119496855</v>
      </c>
      <c r="F491">
        <v>0.338215712383488</v>
      </c>
      <c r="G491">
        <v>0.04906054279749401</v>
      </c>
      <c r="H491">
        <v>-0.11297440423654</v>
      </c>
      <c r="I491">
        <v>-0.500745156482861</v>
      </c>
    </row>
    <row r="492" spans="1:9">
      <c r="A492" s="1" t="s">
        <v>504</v>
      </c>
      <c r="B492">
        <f>HYPERLINK("https://www.suredividend.com/sure-analysis-research-database/","Empire Petroleum Corporation")</f>
        <v>0</v>
      </c>
      <c r="C492">
        <v>0.059428571428571</v>
      </c>
      <c r="D492">
        <v>-0.068341708542713</v>
      </c>
      <c r="E492">
        <v>-0.2966616084977231</v>
      </c>
      <c r="F492">
        <v>-0.246341463414634</v>
      </c>
      <c r="G492">
        <v>-0.270653029110936</v>
      </c>
      <c r="H492">
        <v>36.08</v>
      </c>
      <c r="I492">
        <v>36.08</v>
      </c>
    </row>
    <row r="493" spans="1:9">
      <c r="A493" s="1" t="s">
        <v>505</v>
      </c>
      <c r="B493">
        <f>HYPERLINK("https://www.suredividend.com/sure-analysis-research-database/","Enerpac Tool Group Corp")</f>
        <v>0</v>
      </c>
      <c r="C493">
        <v>0.007457121551081001</v>
      </c>
      <c r="D493">
        <v>0.142011834319526</v>
      </c>
      <c r="E493">
        <v>-0.021014492753623</v>
      </c>
      <c r="F493">
        <v>0.06168958742632601</v>
      </c>
      <c r="G493">
        <v>0.323828421645721</v>
      </c>
      <c r="H493">
        <v>0.053292220372745</v>
      </c>
      <c r="I493">
        <v>-0.04902015992791901</v>
      </c>
    </row>
    <row r="494" spans="1:9">
      <c r="A494" s="1" t="s">
        <v>506</v>
      </c>
      <c r="B494">
        <f>HYPERLINK("https://www.suredividend.com/sure-analysis-research-database/","Edgewell Personal Care Co")</f>
        <v>0</v>
      </c>
      <c r="C494">
        <v>-0.009352517985611</v>
      </c>
      <c r="D494">
        <v>-0.066586227232363</v>
      </c>
      <c r="E494">
        <v>-0.04807552717627901</v>
      </c>
      <c r="F494">
        <v>0.07962177955957901</v>
      </c>
      <c r="G494">
        <v>0.04801166994355301</v>
      </c>
      <c r="H494">
        <v>0.035543378262864</v>
      </c>
      <c r="I494">
        <v>-0.219259402055893</v>
      </c>
    </row>
    <row r="495" spans="1:9">
      <c r="A495" s="1" t="s">
        <v>507</v>
      </c>
      <c r="B495">
        <f>HYPERLINK("https://www.suredividend.com/sure-analysis-EPRT/","Essential Properties Realty Trust Inc")</f>
        <v>0</v>
      </c>
      <c r="C495">
        <v>-0.015031315240083</v>
      </c>
      <c r="D495">
        <v>-0.03846153846153801</v>
      </c>
      <c r="E495">
        <v>-0.048855522000508</v>
      </c>
      <c r="F495">
        <v>0.028958261544702</v>
      </c>
      <c r="G495">
        <v>0.020580333386691</v>
      </c>
      <c r="H495">
        <v>-0.12693008038609</v>
      </c>
      <c r="I495">
        <v>1.209277278814726</v>
      </c>
    </row>
    <row r="496" spans="1:9">
      <c r="A496" s="1" t="s">
        <v>508</v>
      </c>
      <c r="B496">
        <f>HYPERLINK("https://www.suredividend.com/sure-analysis-research-database/","Equity Bancshares Inc")</f>
        <v>0</v>
      </c>
      <c r="C496">
        <v>0.187608318890814</v>
      </c>
      <c r="D496">
        <v>0.264246410434991</v>
      </c>
      <c r="E496">
        <v>-0.114735567218409</v>
      </c>
      <c r="F496">
        <v>-0.150232980633</v>
      </c>
      <c r="G496">
        <v>-0.121615125781124</v>
      </c>
      <c r="H496">
        <v>-0.074252326190114</v>
      </c>
      <c r="I496">
        <v>-0.313959338137203</v>
      </c>
    </row>
    <row r="497" spans="1:9">
      <c r="A497" s="1" t="s">
        <v>509</v>
      </c>
      <c r="B497">
        <f>HYPERLINK("https://www.suredividend.com/sure-analysis-research-database/","Equity Commonwealth")</f>
        <v>0</v>
      </c>
      <c r="C497">
        <v>-0.045965770171149</v>
      </c>
      <c r="D497">
        <v>-0.043627450980392</v>
      </c>
      <c r="E497">
        <v>-0.082840514850368</v>
      </c>
      <c r="F497">
        <v>-0.065210100138948</v>
      </c>
      <c r="G497">
        <v>-0.09141289718668601</v>
      </c>
      <c r="H497">
        <v>-0.06377016061308401</v>
      </c>
      <c r="I497">
        <v>0.048936010064624</v>
      </c>
    </row>
    <row r="498" spans="1:9">
      <c r="A498" s="1" t="s">
        <v>510</v>
      </c>
      <c r="B498">
        <f>HYPERLINK("https://www.suredividend.com/sure-analysis-research-database/","EQRx Inc")</f>
        <v>0</v>
      </c>
      <c r="C498">
        <v>0.181818181818181</v>
      </c>
      <c r="D498">
        <v>0.277456647398844</v>
      </c>
      <c r="E498">
        <v>-0.123015873015873</v>
      </c>
      <c r="F498">
        <v>-0.101626016260162</v>
      </c>
      <c r="G498">
        <v>-0.5774378585086041</v>
      </c>
      <c r="H498">
        <v>-0.729498164014687</v>
      </c>
      <c r="I498">
        <v>-0.729498164014687</v>
      </c>
    </row>
    <row r="499" spans="1:9">
      <c r="A499" s="1" t="s">
        <v>511</v>
      </c>
      <c r="B499">
        <f>HYPERLINK("https://www.suredividend.com/sure-analysis-research-database/","Erasca Inc")</f>
        <v>0</v>
      </c>
      <c r="C499">
        <v>-0.06159420289855001</v>
      </c>
      <c r="D499">
        <v>-0.07499999999999901</v>
      </c>
      <c r="E499">
        <v>-0.404597701149425</v>
      </c>
      <c r="F499">
        <v>-0.39907192575406</v>
      </c>
      <c r="G499">
        <v>-0.665374677002584</v>
      </c>
      <c r="H499">
        <v>-0.871080139372822</v>
      </c>
      <c r="I499">
        <v>-0.8514056224899591</v>
      </c>
    </row>
    <row r="500" spans="1:9">
      <c r="A500" s="1" t="s">
        <v>512</v>
      </c>
      <c r="B500">
        <f>HYPERLINK("https://www.suredividend.com/sure-analysis-research-database/","Energy Recovery Inc")</f>
        <v>0</v>
      </c>
      <c r="C500">
        <v>-0.09195804195804201</v>
      </c>
      <c r="D500">
        <v>0.181528662420382</v>
      </c>
      <c r="E500">
        <v>0.131590413943355</v>
      </c>
      <c r="F500">
        <v>0.267447535383113</v>
      </c>
      <c r="G500">
        <v>0.16509645580978</v>
      </c>
      <c r="H500">
        <v>0.268685881778212</v>
      </c>
      <c r="I500">
        <v>1.83206106870229</v>
      </c>
    </row>
    <row r="501" spans="1:9">
      <c r="A501" s="1" t="s">
        <v>513</v>
      </c>
      <c r="B501">
        <f>HYPERLINK("https://www.suredividend.com/sure-analysis-research-database/","Esco Technologies, Inc.")</f>
        <v>0</v>
      </c>
      <c r="C501">
        <v>-0.029230175573991</v>
      </c>
      <c r="D501">
        <v>0.043062746500406</v>
      </c>
      <c r="E501">
        <v>0.010670137675308</v>
      </c>
      <c r="F501">
        <v>0.152466126337223</v>
      </c>
      <c r="G501">
        <v>0.285438004409551</v>
      </c>
      <c r="H501">
        <v>0.08825189738443201</v>
      </c>
      <c r="I501">
        <v>0.6796693740339771</v>
      </c>
    </row>
    <row r="502" spans="1:9">
      <c r="A502" s="1" t="s">
        <v>514</v>
      </c>
      <c r="B502">
        <f>HYPERLINK("https://www.suredividend.com/sure-analysis-research-database/","Enstar Group Limited")</f>
        <v>0</v>
      </c>
      <c r="C502">
        <v>0.027108371642375</v>
      </c>
      <c r="D502">
        <v>0.034594459902819</v>
      </c>
      <c r="E502">
        <v>0.059003570821288</v>
      </c>
      <c r="F502">
        <v>0.078254847645429</v>
      </c>
      <c r="G502">
        <v>0.281151967086654</v>
      </c>
      <c r="H502">
        <v>-0.031641141257871</v>
      </c>
      <c r="I502">
        <v>0.190253225035833</v>
      </c>
    </row>
    <row r="503" spans="1:9">
      <c r="A503" s="1" t="s">
        <v>515</v>
      </c>
      <c r="B503">
        <f>HYPERLINK("https://www.suredividend.com/sure-analysis-research-database/","Engagesmart Inc")</f>
        <v>0</v>
      </c>
      <c r="C503">
        <v>-0.07235421166306601</v>
      </c>
      <c r="D503">
        <v>0.03869407496977</v>
      </c>
      <c r="E503">
        <v>-0.135814889336016</v>
      </c>
      <c r="F503">
        <v>-0.023863636363636</v>
      </c>
      <c r="G503">
        <v>-0.179952267303102</v>
      </c>
      <c r="H503">
        <v>-0.496483001172332</v>
      </c>
      <c r="I503">
        <v>-0.496483001172332</v>
      </c>
    </row>
    <row r="504" spans="1:9">
      <c r="A504" s="1" t="s">
        <v>516</v>
      </c>
      <c r="B504">
        <f>HYPERLINK("https://www.suredividend.com/sure-analysis-research-database/","Essent Group Ltd")</f>
        <v>0</v>
      </c>
      <c r="C504">
        <v>0.08120109959822301</v>
      </c>
      <c r="D504">
        <v>0.230900341127671</v>
      </c>
      <c r="E504">
        <v>0.170491615635552</v>
      </c>
      <c r="F504">
        <v>0.330052208386118</v>
      </c>
      <c r="G504">
        <v>0.238230393676379</v>
      </c>
      <c r="H504">
        <v>0.174872930817378</v>
      </c>
      <c r="I504">
        <v>0.363234008062624</v>
      </c>
    </row>
    <row r="505" spans="1:9">
      <c r="A505" s="1" t="s">
        <v>517</v>
      </c>
      <c r="B505">
        <f>HYPERLINK("https://www.suredividend.com/sure-analysis-research-database/","Esperion Therapeutics Inc.")</f>
        <v>0</v>
      </c>
      <c r="C505">
        <v>0.154929577464788</v>
      </c>
      <c r="D505">
        <v>0.205882352941176</v>
      </c>
      <c r="E505">
        <v>-0.722033898305084</v>
      </c>
      <c r="F505">
        <v>-0.736757624398073</v>
      </c>
      <c r="G505">
        <v>-0.7157712305025991</v>
      </c>
      <c r="H505">
        <v>-0.8850735809390321</v>
      </c>
      <c r="I505">
        <v>-0.9645021645021641</v>
      </c>
    </row>
    <row r="506" spans="1:9">
      <c r="A506" s="1" t="s">
        <v>518</v>
      </c>
      <c r="B506">
        <f>HYPERLINK("https://www.suredividend.com/sure-analysis-research-database/","Esquire Financial Holdings Inc")</f>
        <v>0</v>
      </c>
      <c r="C506">
        <v>0.09596178897090701</v>
      </c>
      <c r="D506">
        <v>0.342521056676834</v>
      </c>
      <c r="E506">
        <v>0.108028376764767</v>
      </c>
      <c r="F506">
        <v>0.176928654529006</v>
      </c>
      <c r="G506">
        <v>0.399085937911404</v>
      </c>
      <c r="H506">
        <v>1.119102991427875</v>
      </c>
      <c r="I506">
        <v>1.030979682156507</v>
      </c>
    </row>
    <row r="507" spans="1:9">
      <c r="A507" s="1" t="s">
        <v>519</v>
      </c>
      <c r="B507">
        <f>HYPERLINK("https://www.suredividend.com/sure-analysis-ESRT/","Empire State Realty Trust Inc")</f>
        <v>0</v>
      </c>
      <c r="C507">
        <v>0.138421733505821</v>
      </c>
      <c r="D507">
        <v>0.548914000070405</v>
      </c>
      <c r="E507">
        <v>0.06195544614196401</v>
      </c>
      <c r="F507">
        <v>0.318766952899039</v>
      </c>
      <c r="G507">
        <v>0.142145156266223</v>
      </c>
      <c r="H507">
        <v>-0.152648455027779</v>
      </c>
      <c r="I507">
        <v>-0.428701269192066</v>
      </c>
    </row>
    <row r="508" spans="1:9">
      <c r="A508" s="1" t="s">
        <v>520</v>
      </c>
      <c r="B508">
        <f>HYPERLINK("https://www.suredividend.com/sure-analysis-research-database/","Earthstone Energy Inc")</f>
        <v>0</v>
      </c>
      <c r="C508">
        <v>0.124560168895144</v>
      </c>
      <c r="D508">
        <v>0.24551831644583</v>
      </c>
      <c r="E508">
        <v>0.18810408921933</v>
      </c>
      <c r="F508">
        <v>0.122979620520028</v>
      </c>
      <c r="G508">
        <v>0.175</v>
      </c>
      <c r="H508">
        <v>0.6910052910052911</v>
      </c>
      <c r="I508">
        <v>0.6645833333333331</v>
      </c>
    </row>
    <row r="509" spans="1:9">
      <c r="A509" s="1" t="s">
        <v>521</v>
      </c>
      <c r="B509">
        <f>HYPERLINK("https://www.suredividend.com/sure-analysis-ETD/","Ethan Allen Interiors, Inc.")</f>
        <v>0</v>
      </c>
      <c r="C509">
        <v>0.238012508686587</v>
      </c>
      <c r="D509">
        <v>0.348844604621581</v>
      </c>
      <c r="E509">
        <v>0.196440564137004</v>
      </c>
      <c r="F509">
        <v>0.381205831844101</v>
      </c>
      <c r="G509">
        <v>0.602111567758123</v>
      </c>
      <c r="H509">
        <v>0.523587164750958</v>
      </c>
      <c r="I509">
        <v>0.8430772095717931</v>
      </c>
    </row>
    <row r="510" spans="1:9">
      <c r="A510" s="1" t="s">
        <v>522</v>
      </c>
      <c r="B510">
        <f>HYPERLINK("https://www.suredividend.com/sure-analysis-research-database/","Equitrans Midstream Corporation")</f>
        <v>0</v>
      </c>
      <c r="C510">
        <v>0.042097340160502</v>
      </c>
      <c r="D510">
        <v>1.054164751117984</v>
      </c>
      <c r="E510">
        <v>0.4786401925391091</v>
      </c>
      <c r="F510">
        <v>0.568608677613416</v>
      </c>
      <c r="G510">
        <v>0.234180393732422</v>
      </c>
      <c r="H510">
        <v>0.392390719283832</v>
      </c>
      <c r="I510">
        <v>-0.495897435897435</v>
      </c>
    </row>
    <row r="511" spans="1:9">
      <c r="A511" s="1" t="s">
        <v>523</v>
      </c>
      <c r="B511">
        <f>HYPERLINK("https://www.suredividend.com/sure-analysis-research-database/","E2open Parent Holdings Inc")</f>
        <v>0</v>
      </c>
      <c r="C511">
        <v>-0.110714285714285</v>
      </c>
      <c r="D511">
        <v>0.121621621621621</v>
      </c>
      <c r="E511">
        <v>-0.267647058823529</v>
      </c>
      <c r="F511">
        <v>-0.151618398637137</v>
      </c>
      <c r="G511">
        <v>-0.309292649098474</v>
      </c>
      <c r="H511">
        <v>-0.5229885057471261</v>
      </c>
      <c r="I511">
        <v>-0.4969696969696961</v>
      </c>
    </row>
    <row r="512" spans="1:9">
      <c r="A512" s="1" t="s">
        <v>524</v>
      </c>
      <c r="B512">
        <f>HYPERLINK("https://www.suredividend.com/sure-analysis-research-database/","Everbridge Inc")</f>
        <v>0</v>
      </c>
      <c r="C512">
        <v>0.05733186328555601</v>
      </c>
      <c r="D512">
        <v>0.19576059850374</v>
      </c>
      <c r="E512">
        <v>-0.143240023823704</v>
      </c>
      <c r="F512">
        <v>-0.027383367139959</v>
      </c>
      <c r="G512">
        <v>-0.119375573921028</v>
      </c>
      <c r="H512">
        <v>-0.7943678078764921</v>
      </c>
      <c r="I512">
        <v>-0.393421884882985</v>
      </c>
    </row>
    <row r="513" spans="1:9">
      <c r="A513" s="1" t="s">
        <v>525</v>
      </c>
      <c r="B513">
        <f>HYPERLINK("https://www.suredividend.com/sure-analysis-research-database/","Entravision Communications Corp.")</f>
        <v>0</v>
      </c>
      <c r="C513">
        <v>-0.006637168141592001</v>
      </c>
      <c r="D513">
        <v>-0.266555588225685</v>
      </c>
      <c r="E513">
        <v>-0.34714649218466</v>
      </c>
      <c r="F513">
        <v>-0.046567430403669</v>
      </c>
      <c r="G513">
        <v>-0.129591935640205</v>
      </c>
      <c r="H513">
        <v>-0.200655142333232</v>
      </c>
      <c r="I513">
        <v>0.19739719451704</v>
      </c>
    </row>
    <row r="514" spans="1:9">
      <c r="A514" s="1" t="s">
        <v>526</v>
      </c>
      <c r="B514">
        <f>HYPERLINK("https://www.suredividend.com/sure-analysis-research-database/","EverCommerce Inc")</f>
        <v>0</v>
      </c>
      <c r="C514">
        <v>-0.07504215851602</v>
      </c>
      <c r="D514">
        <v>-0.08962655601659701</v>
      </c>
      <c r="E514">
        <v>0.024276377217553</v>
      </c>
      <c r="F514">
        <v>0.474462365591397</v>
      </c>
      <c r="G514">
        <v>-0.09113504556752201</v>
      </c>
      <c r="H514">
        <v>-0.392580287929125</v>
      </c>
      <c r="I514">
        <v>-0.376704545454545</v>
      </c>
    </row>
    <row r="515" spans="1:9">
      <c r="A515" s="1" t="s">
        <v>527</v>
      </c>
      <c r="B515">
        <f>HYPERLINK("https://www.suredividend.com/sure-analysis-research-database/","EverQuote Inc")</f>
        <v>0</v>
      </c>
      <c r="C515">
        <v>0.001466275659824</v>
      </c>
      <c r="D515">
        <v>0.025525525525525</v>
      </c>
      <c r="E515">
        <v>-0.577873918417799</v>
      </c>
      <c r="F515">
        <v>-0.53663500678426</v>
      </c>
      <c r="G515">
        <v>-0.344529750479846</v>
      </c>
      <c r="H515">
        <v>-0.7282132908873851</v>
      </c>
      <c r="I515">
        <v>-0.5240418118466891</v>
      </c>
    </row>
    <row r="516" spans="1:9">
      <c r="A516" s="1" t="s">
        <v>528</v>
      </c>
      <c r="B516">
        <f>HYPERLINK("https://www.suredividend.com/sure-analysis-research-database/","EVgo Inc")</f>
        <v>0</v>
      </c>
      <c r="C516">
        <v>0.214117647058823</v>
      </c>
      <c r="D516">
        <v>-0.125423728813559</v>
      </c>
      <c r="E516">
        <v>-0.229850746268656</v>
      </c>
      <c r="F516">
        <v>0.154362416107382</v>
      </c>
      <c r="G516">
        <v>-0.42087542087542</v>
      </c>
      <c r="H516">
        <v>-0.433900164563905</v>
      </c>
      <c r="I516">
        <v>-0.47408117088285</v>
      </c>
    </row>
    <row r="517" spans="1:9">
      <c r="A517" s="1" t="s">
        <v>529</v>
      </c>
      <c r="B517">
        <f>HYPERLINK("https://www.suredividend.com/sure-analysis-research-database/","Evolent Health Inc")</f>
        <v>0</v>
      </c>
      <c r="C517">
        <v>-0.065159574468085</v>
      </c>
      <c r="D517">
        <v>-0.201136363636363</v>
      </c>
      <c r="E517">
        <v>-0.120150187734668</v>
      </c>
      <c r="F517">
        <v>0.001424501424501</v>
      </c>
      <c r="G517">
        <v>-0.22958904109589</v>
      </c>
      <c r="H517">
        <v>0.218370883882149</v>
      </c>
      <c r="I517">
        <v>0.388641975308642</v>
      </c>
    </row>
    <row r="518" spans="1:9">
      <c r="A518" s="1" t="s">
        <v>530</v>
      </c>
      <c r="B518">
        <f>HYPERLINK("https://www.suredividend.com/sure-analysis-research-database/","Evolv Technologies Holdings Inc")</f>
        <v>0</v>
      </c>
      <c r="C518">
        <v>0.061872909698996</v>
      </c>
      <c r="D518">
        <v>0.8091168091168091</v>
      </c>
      <c r="E518">
        <v>0.9720496894409931</v>
      </c>
      <c r="F518">
        <v>1.451737451737452</v>
      </c>
      <c r="G518">
        <v>0.978193146417445</v>
      </c>
      <c r="H518">
        <v>-0.158940397350993</v>
      </c>
      <c r="I518">
        <v>-0.34737923946557</v>
      </c>
    </row>
    <row r="519" spans="1:9">
      <c r="A519" s="1" t="s">
        <v>531</v>
      </c>
      <c r="B519">
        <f>HYPERLINK("https://www.suredividend.com/sure-analysis-research-database/","Everi Holdings Inc")</f>
        <v>0</v>
      </c>
      <c r="C519">
        <v>-0.004781420765027001</v>
      </c>
      <c r="D519">
        <v>-0.03701255783212101</v>
      </c>
      <c r="E519">
        <v>-0.222518676627534</v>
      </c>
      <c r="F519">
        <v>0.015331010452961</v>
      </c>
      <c r="G519">
        <v>-0.263397371081901</v>
      </c>
      <c r="H519">
        <v>-0.382627118644067</v>
      </c>
      <c r="I519">
        <v>0.90956749672346</v>
      </c>
    </row>
    <row r="520" spans="1:9">
      <c r="A520" s="1" t="s">
        <v>532</v>
      </c>
      <c r="B520">
        <f>HYPERLINK("https://www.suredividend.com/sure-analysis-research-database/","Evertec Inc")</f>
        <v>0</v>
      </c>
      <c r="C520">
        <v>0.072151152602316</v>
      </c>
      <c r="D520">
        <v>0.18046013973748</v>
      </c>
      <c r="E520">
        <v>0.08554223345341101</v>
      </c>
      <c r="F520">
        <v>0.252162911418312</v>
      </c>
      <c r="G520">
        <v>0.019377770597085</v>
      </c>
      <c r="H520">
        <v>-0.040449406162225</v>
      </c>
      <c r="I520">
        <v>0.761265249687046</v>
      </c>
    </row>
    <row r="521" spans="1:9">
      <c r="A521" s="1" t="s">
        <v>533</v>
      </c>
      <c r="B521">
        <f>HYPERLINK("https://www.suredividend.com/sure-analysis-research-database/","European Wax Center Inc")</f>
        <v>0</v>
      </c>
      <c r="C521">
        <v>-0.016922263352723</v>
      </c>
      <c r="D521">
        <v>-0.007474639615590001</v>
      </c>
      <c r="E521">
        <v>-0.031266284523189</v>
      </c>
      <c r="F521">
        <v>0.493172690763052</v>
      </c>
      <c r="G521">
        <v>-0.154231119199272</v>
      </c>
      <c r="H521">
        <v>-0.028324421515897</v>
      </c>
      <c r="I521">
        <v>-0.028324421515897</v>
      </c>
    </row>
    <row r="522" spans="1:9">
      <c r="A522" s="1" t="s">
        <v>534</v>
      </c>
      <c r="B522">
        <f>HYPERLINK("https://www.suredividend.com/sure-analysis-research-database/","Edgewise Therapeutics Inc")</f>
        <v>0</v>
      </c>
      <c r="C522">
        <v>-0.13129973474801</v>
      </c>
      <c r="D522">
        <v>-0.291891891891891</v>
      </c>
      <c r="E522">
        <v>-0.390697674418604</v>
      </c>
      <c r="F522">
        <v>-0.267337807606263</v>
      </c>
      <c r="G522">
        <v>-0.288043478260869</v>
      </c>
      <c r="H522">
        <v>-0.6344866071428571</v>
      </c>
      <c r="I522">
        <v>-0.7816666666666661</v>
      </c>
    </row>
    <row r="523" spans="1:9">
      <c r="A523" s="1" t="s">
        <v>535</v>
      </c>
      <c r="B523">
        <f>HYPERLINK("https://www.suredividend.com/sure-analysis-research-database/","ExlService Holdings Inc")</f>
        <v>0</v>
      </c>
      <c r="C523">
        <v>-0.080672936812822</v>
      </c>
      <c r="D523">
        <v>-0.194147700882489</v>
      </c>
      <c r="E523">
        <v>-0.192976335833478</v>
      </c>
      <c r="F523">
        <v>-0.180782624092545</v>
      </c>
      <c r="G523">
        <v>-0.183433345099423</v>
      </c>
      <c r="H523">
        <v>0.179971095808892</v>
      </c>
      <c r="I523">
        <v>1.385699553111035</v>
      </c>
    </row>
    <row r="524" spans="1:9">
      <c r="A524" s="1" t="s">
        <v>536</v>
      </c>
      <c r="B524">
        <f>HYPERLINK("https://www.suredividend.com/sure-analysis-research-database/","eXp World Holdings Inc")</f>
        <v>0</v>
      </c>
      <c r="C524">
        <v>0.240475012370113</v>
      </c>
      <c r="D524">
        <v>0.9474869882700221</v>
      </c>
      <c r="E524">
        <v>0.5031237633854161</v>
      </c>
      <c r="F524">
        <v>1.28724180716736</v>
      </c>
      <c r="G524">
        <v>0.6506343782303251</v>
      </c>
      <c r="H524">
        <v>-0.259035948726588</v>
      </c>
      <c r="I524">
        <v>0.784163855558876</v>
      </c>
    </row>
    <row r="525" spans="1:9">
      <c r="A525" s="1" t="s">
        <v>537</v>
      </c>
      <c r="B525">
        <f>HYPERLINK("https://www.suredividend.com/sure-analysis-EXPO/","Exponent Inc.")</f>
        <v>0</v>
      </c>
      <c r="C525">
        <v>-0.043932378593733</v>
      </c>
      <c r="D525">
        <v>-0.005460502366217</v>
      </c>
      <c r="E525">
        <v>-0.195618890590036</v>
      </c>
      <c r="F525">
        <v>-0.096826431787966</v>
      </c>
      <c r="G525">
        <v>-0.087326387461248</v>
      </c>
      <c r="H525">
        <v>-0.171761343390228</v>
      </c>
      <c r="I525">
        <v>0.8863996090803831</v>
      </c>
    </row>
    <row r="526" spans="1:9">
      <c r="A526" s="1" t="s">
        <v>538</v>
      </c>
      <c r="B526">
        <f>HYPERLINK("https://www.suredividend.com/sure-analysis-research-database/","Express Inc.")</f>
        <v>0</v>
      </c>
      <c r="C526">
        <v>0.381419692508995</v>
      </c>
      <c r="D526">
        <v>0.010649754696661</v>
      </c>
      <c r="E526">
        <v>-0.284237288135593</v>
      </c>
      <c r="F526">
        <v>-0.171960784313725</v>
      </c>
      <c r="G526">
        <v>-0.525505617977528</v>
      </c>
      <c r="H526">
        <v>-0.83568093385214</v>
      </c>
      <c r="I526">
        <v>-0.9136400817995911</v>
      </c>
    </row>
    <row r="527" spans="1:9">
      <c r="A527" s="1" t="s">
        <v>539</v>
      </c>
      <c r="B527">
        <f>HYPERLINK("https://www.suredividend.com/sure-analysis-research-database/","Extreme Networks Inc.")</f>
        <v>0</v>
      </c>
      <c r="C527">
        <v>0.127182991647684</v>
      </c>
      <c r="D527">
        <v>0.802671523982999</v>
      </c>
      <c r="E527">
        <v>0.539937759336099</v>
      </c>
      <c r="F527">
        <v>0.621518296013107</v>
      </c>
      <c r="G527">
        <v>1.175091575091575</v>
      </c>
      <c r="H527">
        <v>1.599824868651488</v>
      </c>
      <c r="I527">
        <v>2.547192353643967</v>
      </c>
    </row>
    <row r="528" spans="1:9">
      <c r="A528" s="1" t="s">
        <v>540</v>
      </c>
      <c r="B528">
        <f>HYPERLINK("https://www.suredividend.com/sure-analysis-research-database/","National Vision Holdings Inc")</f>
        <v>0</v>
      </c>
      <c r="C528">
        <v>-0.133144475920679</v>
      </c>
      <c r="D528">
        <v>-0.022810218978102</v>
      </c>
      <c r="E528">
        <v>-0.499415751343771</v>
      </c>
      <c r="F528">
        <v>-0.447368421052631</v>
      </c>
      <c r="G528">
        <v>-0.305672609400324</v>
      </c>
      <c r="H528">
        <v>-0.6042128603104211</v>
      </c>
      <c r="I528">
        <v>-0.4779429685595901</v>
      </c>
    </row>
    <row r="529" spans="1:9">
      <c r="A529" s="1" t="s">
        <v>541</v>
      </c>
      <c r="B529">
        <f>HYPERLINK("https://www.suredividend.com/sure-analysis-research-database/","EyePoint Pharmaceuticals Inc")</f>
        <v>0</v>
      </c>
      <c r="C529">
        <v>0.5469135802469131</v>
      </c>
      <c r="D529">
        <v>0.5860759493670881</v>
      </c>
      <c r="E529">
        <v>1.700431034482758</v>
      </c>
      <c r="F529">
        <v>2.58</v>
      </c>
      <c r="G529">
        <v>0.226027397260273</v>
      </c>
      <c r="H529">
        <v>0.463785046728971</v>
      </c>
      <c r="I529">
        <v>-0.411737089201878</v>
      </c>
    </row>
    <row r="530" spans="1:9">
      <c r="A530" s="1" t="s">
        <v>542</v>
      </c>
      <c r="B530">
        <f>HYPERLINK("https://www.suredividend.com/sure-analysis-research-database/","EZCorp, Inc.")</f>
        <v>0</v>
      </c>
      <c r="C530">
        <v>0.126794258373205</v>
      </c>
      <c r="D530">
        <v>0.07780320366132701</v>
      </c>
      <c r="E530">
        <v>0.008565310492505</v>
      </c>
      <c r="F530">
        <v>0.155828220858895</v>
      </c>
      <c r="G530">
        <v>0.120095124851367</v>
      </c>
      <c r="H530">
        <v>0.6821428571428571</v>
      </c>
      <c r="I530">
        <v>-0.147511312217194</v>
      </c>
    </row>
    <row r="531" spans="1:9">
      <c r="A531" s="1" t="s">
        <v>543</v>
      </c>
      <c r="B531">
        <f>HYPERLINK("https://www.suredividend.com/sure-analysis-research-database/","First Advantage Corp.")</f>
        <v>0</v>
      </c>
      <c r="C531">
        <v>-0.044786096256684</v>
      </c>
      <c r="D531">
        <v>0.14046288906624</v>
      </c>
      <c r="E531">
        <v>-0.001397624039133</v>
      </c>
      <c r="F531">
        <v>0.09923076923076901</v>
      </c>
      <c r="G531">
        <v>0.002807017543859</v>
      </c>
      <c r="H531">
        <v>-0.245910290237467</v>
      </c>
      <c r="I531">
        <v>-0.274619289340101</v>
      </c>
    </row>
    <row r="532" spans="1:9">
      <c r="A532" s="1" t="s">
        <v>544</v>
      </c>
      <c r="B532">
        <f>HYPERLINK("https://www.suredividend.com/sure-analysis-research-database/","Faro Technologies Inc.")</f>
        <v>0</v>
      </c>
      <c r="C532">
        <v>0.193588162762022</v>
      </c>
      <c r="D532">
        <v>-0.178268251273344</v>
      </c>
      <c r="E532">
        <v>-0.332643915891072</v>
      </c>
      <c r="F532">
        <v>-0.341720503230193</v>
      </c>
      <c r="G532">
        <v>-0.4229508196721311</v>
      </c>
      <c r="H532">
        <v>-0.729344331049909</v>
      </c>
      <c r="I532">
        <v>-0.709745127436281</v>
      </c>
    </row>
    <row r="533" spans="1:9">
      <c r="A533" s="1" t="s">
        <v>545</v>
      </c>
      <c r="B533">
        <f>HYPERLINK("https://www.suredividend.com/sure-analysis-research-database/","Fate Therapeutics Inc")</f>
        <v>0</v>
      </c>
      <c r="C533">
        <v>-0.234439834024896</v>
      </c>
      <c r="D533">
        <v>-0.4161392405063291</v>
      </c>
      <c r="E533">
        <v>-0.462882096069868</v>
      </c>
      <c r="F533">
        <v>-0.634291377601585</v>
      </c>
      <c r="G533">
        <v>-0.8875342883267291</v>
      </c>
      <c r="H533">
        <v>-0.9556756756756751</v>
      </c>
      <c r="I533">
        <v>-0.622699386503067</v>
      </c>
    </row>
    <row r="534" spans="1:9">
      <c r="A534" s="1" t="s">
        <v>546</v>
      </c>
      <c r="B534">
        <f>HYPERLINK("https://www.suredividend.com/sure-analysis-research-database/","First Business Financial Services Inc")</f>
        <v>0</v>
      </c>
      <c r="C534">
        <v>0.154154154154154</v>
      </c>
      <c r="D534">
        <v>0.346899677585159</v>
      </c>
      <c r="E534">
        <v>-0.03242590043973</v>
      </c>
      <c r="F534">
        <v>-0.0313257870653</v>
      </c>
      <c r="G534">
        <v>0.07561321458779001</v>
      </c>
      <c r="H534">
        <v>0.3286471537220551</v>
      </c>
      <c r="I534">
        <v>0.697543739111231</v>
      </c>
    </row>
    <row r="535" spans="1:9">
      <c r="A535" s="1" t="s">
        <v>547</v>
      </c>
      <c r="B535">
        <f>HYPERLINK("https://www.suredividend.com/sure-analysis-research-database/","FB Financial Corp")</f>
        <v>0</v>
      </c>
      <c r="C535">
        <v>0.223263888888888</v>
      </c>
      <c r="D535">
        <v>0.325058768218147</v>
      </c>
      <c r="E535">
        <v>-0.092417318006873</v>
      </c>
      <c r="F535">
        <v>-0.01582282017186</v>
      </c>
      <c r="G535">
        <v>-0.156351549722096</v>
      </c>
      <c r="H535">
        <v>-0.04663969583395301</v>
      </c>
      <c r="I535">
        <v>-0.127350370188723</v>
      </c>
    </row>
    <row r="536" spans="1:9">
      <c r="A536" s="1" t="s">
        <v>548</v>
      </c>
      <c r="B536">
        <f>HYPERLINK("https://www.suredividend.com/sure-analysis-research-database/","First Bancshares Inc Miss")</f>
        <v>0</v>
      </c>
      <c r="C536">
        <v>0.228748068006182</v>
      </c>
      <c r="D536">
        <v>0.336561254854491</v>
      </c>
      <c r="E536">
        <v>0.013665356552007</v>
      </c>
      <c r="F536">
        <v>0.018414731785428</v>
      </c>
      <c r="G536">
        <v>0.122972557799538</v>
      </c>
      <c r="H536">
        <v>-0.134818652003928</v>
      </c>
      <c r="I536">
        <v>-0.095892280398489</v>
      </c>
    </row>
    <row r="537" spans="1:9">
      <c r="A537" s="1" t="s">
        <v>549</v>
      </c>
      <c r="B537">
        <f>HYPERLINK("https://www.suredividend.com/sure-analysis-research-database/","First Bancorp")</f>
        <v>0</v>
      </c>
      <c r="C537">
        <v>0.09141914191419101</v>
      </c>
      <c r="D537">
        <v>0.178587975337681</v>
      </c>
      <c r="E537">
        <v>-0.214336284026817</v>
      </c>
      <c r="F537">
        <v>-0.211952960240203</v>
      </c>
      <c r="G537">
        <v>-0.05921243535108101</v>
      </c>
      <c r="H537">
        <v>-0.134974797345547</v>
      </c>
      <c r="I537">
        <v>-0.109424694277104</v>
      </c>
    </row>
    <row r="538" spans="1:9">
      <c r="A538" s="1" t="s">
        <v>550</v>
      </c>
      <c r="B538">
        <f>HYPERLINK("https://www.suredividend.com/sure-analysis-research-database/","First Bancorp PR")</f>
        <v>0</v>
      </c>
      <c r="C538">
        <v>0.215027977617905</v>
      </c>
      <c r="D538">
        <v>0.425744060181407</v>
      </c>
      <c r="E538">
        <v>0.07956845671427601</v>
      </c>
      <c r="F538">
        <v>0.221305350442321</v>
      </c>
      <c r="G538">
        <v>0.047329653898891</v>
      </c>
      <c r="H538">
        <v>0.32644512705948</v>
      </c>
      <c r="I538">
        <v>1.058058925476602</v>
      </c>
    </row>
    <row r="539" spans="1:9">
      <c r="A539" s="1" t="s">
        <v>551</v>
      </c>
      <c r="B539">
        <f>HYPERLINK("https://www.suredividend.com/sure-analysis-research-database/","Franklin BSP Realty Trust Inc.")</f>
        <v>0</v>
      </c>
      <c r="C539">
        <v>-0.04510218463706801</v>
      </c>
      <c r="D539">
        <v>0.146565802722988</v>
      </c>
      <c r="E539">
        <v>-0.037806055785945</v>
      </c>
      <c r="F539">
        <v>0.110628427169823</v>
      </c>
      <c r="G539">
        <v>0.010266695495925</v>
      </c>
      <c r="H539">
        <v>-0.037088097556122</v>
      </c>
      <c r="I539">
        <v>-0.037088097556122</v>
      </c>
    </row>
    <row r="540" spans="1:9">
      <c r="A540" s="1" t="s">
        <v>552</v>
      </c>
      <c r="B540">
        <f>HYPERLINK("https://www.suredividend.com/sure-analysis-research-database/","Franklin Covey Co.")</f>
        <v>0</v>
      </c>
      <c r="C540">
        <v>0.08813559322033801</v>
      </c>
      <c r="D540">
        <v>0.341599331290052</v>
      </c>
      <c r="E540">
        <v>-0.008647313156269001</v>
      </c>
      <c r="F540">
        <v>0.029506093649775</v>
      </c>
      <c r="G540">
        <v>-0.08022922636103101</v>
      </c>
      <c r="H540">
        <v>0.275158898305084</v>
      </c>
      <c r="I540">
        <v>0.9337349397590361</v>
      </c>
    </row>
    <row r="541" spans="1:9">
      <c r="A541" s="1" t="s">
        <v>553</v>
      </c>
      <c r="B541">
        <f>HYPERLINK("https://www.suredividend.com/sure-analysis-research-database/","First Community Bankshares Inc.")</f>
        <v>0</v>
      </c>
      <c r="C541">
        <v>0.116309719934102</v>
      </c>
      <c r="D541">
        <v>0.473498340792157</v>
      </c>
      <c r="E541">
        <v>0.05181786289734201</v>
      </c>
      <c r="F541">
        <v>0.033200879501575</v>
      </c>
      <c r="G541">
        <v>0.120711327520277</v>
      </c>
      <c r="H541">
        <v>0.231601408998542</v>
      </c>
      <c r="I541">
        <v>0.248383328850256</v>
      </c>
    </row>
    <row r="542" spans="1:9">
      <c r="A542" s="1" t="s">
        <v>554</v>
      </c>
      <c r="B542">
        <f>HYPERLINK("https://www.suredividend.com/sure-analysis-research-database/","Fuelcell Energy Inc")</f>
        <v>0</v>
      </c>
      <c r="C542">
        <v>-0.06451612903225801</v>
      </c>
      <c r="D542">
        <v>-0.085585585585585</v>
      </c>
      <c r="E542">
        <v>-0.503667481662591</v>
      </c>
      <c r="F542">
        <v>-0.26978417266187</v>
      </c>
      <c r="G542">
        <v>-0.460106382978723</v>
      </c>
      <c r="H542">
        <v>-0.67258064516129</v>
      </c>
      <c r="I542">
        <v>-0.864666666666666</v>
      </c>
    </row>
    <row r="543" spans="1:9">
      <c r="A543" s="1" t="s">
        <v>555</v>
      </c>
      <c r="B543">
        <f>HYPERLINK("https://www.suredividend.com/sure-analysis-research-database/","First Commonwealth Financial Corp.")</f>
        <v>0</v>
      </c>
      <c r="C543">
        <v>0.110390979439807</v>
      </c>
      <c r="D543">
        <v>0.202028740490278</v>
      </c>
      <c r="E543">
        <v>-0.07958782104391</v>
      </c>
      <c r="F543">
        <v>0.046165164612838</v>
      </c>
      <c r="G543">
        <v>0.014417280762453</v>
      </c>
      <c r="H543">
        <v>0.156812339331619</v>
      </c>
      <c r="I543">
        <v>0.006519015564945001</v>
      </c>
    </row>
    <row r="544" spans="1:9">
      <c r="A544" s="1" t="s">
        <v>556</v>
      </c>
      <c r="B544">
        <f>HYPERLINK("https://www.suredividend.com/sure-analysis-research-database/","FirstCash Holdings Inc")</f>
        <v>0</v>
      </c>
      <c r="C544">
        <v>0.054120409906063</v>
      </c>
      <c r="D544">
        <v>-0.016472467702947</v>
      </c>
      <c r="E544">
        <v>0.113799267994202</v>
      </c>
      <c r="F544">
        <v>0.147888756502281</v>
      </c>
      <c r="G544">
        <v>0.371830723729268</v>
      </c>
      <c r="H544">
        <v>0.551887252051634</v>
      </c>
      <c r="I544">
        <v>0.551887252051634</v>
      </c>
    </row>
    <row r="545" spans="1:9">
      <c r="A545" s="1" t="s">
        <v>557</v>
      </c>
      <c r="B545">
        <f>HYPERLINK("https://www.suredividend.com/sure-analysis-FCPT/","Four Corners Property Trust Inc")</f>
        <v>0</v>
      </c>
      <c r="C545">
        <v>-0.00780335544284</v>
      </c>
      <c r="D545">
        <v>0.014210108599847</v>
      </c>
      <c r="E545">
        <v>-0.09516913541151401</v>
      </c>
      <c r="F545">
        <v>0.006726022462302</v>
      </c>
      <c r="G545">
        <v>-0.04873413933445001</v>
      </c>
      <c r="H545">
        <v>-0.015699267677158</v>
      </c>
      <c r="I545">
        <v>0.243235051112947</v>
      </c>
    </row>
    <row r="546" spans="1:9">
      <c r="A546" s="1" t="s">
        <v>558</v>
      </c>
      <c r="B546">
        <f>HYPERLINK("https://www.suredividend.com/sure-analysis-research-database/","Focus Universal Inc")</f>
        <v>0</v>
      </c>
      <c r="C546">
        <v>0.129032258064516</v>
      </c>
      <c r="D546">
        <v>0.011560693641618</v>
      </c>
      <c r="E546">
        <v>-0.604671651568888</v>
      </c>
      <c r="F546">
        <v>-0.5904804249643131</v>
      </c>
      <c r="G546">
        <v>-0.820819724164763</v>
      </c>
      <c r="H546">
        <v>-0.485294117647058</v>
      </c>
      <c r="I546">
        <v>-0.485294117647058</v>
      </c>
    </row>
    <row r="547" spans="1:9">
      <c r="A547" s="1" t="s">
        <v>559</v>
      </c>
      <c r="B547">
        <f>HYPERLINK("https://www.suredividend.com/sure-analysis-research-database/","4D Molecular Therapeutics Inc")</f>
        <v>0</v>
      </c>
      <c r="C547">
        <v>0.008958566629339</v>
      </c>
      <c r="D547">
        <v>-0.052576235541535</v>
      </c>
      <c r="E547">
        <v>-0.213787085514834</v>
      </c>
      <c r="F547">
        <v>-0.188653759567762</v>
      </c>
      <c r="G547">
        <v>0.7684003925417071</v>
      </c>
      <c r="H547">
        <v>-0.299377916018662</v>
      </c>
      <c r="I547">
        <v>-0.5550617283950611</v>
      </c>
    </row>
    <row r="548" spans="1:9">
      <c r="A548" s="1" t="s">
        <v>560</v>
      </c>
      <c r="B548">
        <f>HYPERLINK("https://www.suredividend.com/sure-analysis-research-database/","Fresh Del Monte Produce Inc")</f>
        <v>0</v>
      </c>
      <c r="C548">
        <v>0.07617567042363001</v>
      </c>
      <c r="D548">
        <v>0.053985847889554</v>
      </c>
      <c r="E548">
        <v>-0.029361039835106</v>
      </c>
      <c r="F548">
        <v>0.070335209351227</v>
      </c>
      <c r="G548">
        <v>-0.019027813696766</v>
      </c>
      <c r="H548">
        <v>-0.07471145299373701</v>
      </c>
      <c r="I548">
        <v>-0.204330922476142</v>
      </c>
    </row>
    <row r="549" spans="1:9">
      <c r="A549" s="1" t="s">
        <v>561</v>
      </c>
      <c r="B549">
        <f>HYPERLINK("https://www.suredividend.com/sure-analysis-research-database/","5E Advanced Materials Inc")</f>
        <v>0</v>
      </c>
      <c r="C549">
        <v>0.050898203592814</v>
      </c>
      <c r="D549">
        <v>-0.23695652173913</v>
      </c>
      <c r="E549">
        <v>-0.630526315789473</v>
      </c>
      <c r="F549">
        <v>-0.5545685279187811</v>
      </c>
      <c r="G549">
        <v>-0.773694390715667</v>
      </c>
      <c r="H549">
        <v>-0.8936685852771881</v>
      </c>
      <c r="I549">
        <v>-0.8936685852771881</v>
      </c>
    </row>
    <row r="550" spans="1:9">
      <c r="A550" s="1" t="s">
        <v>562</v>
      </c>
      <c r="B550">
        <f>HYPERLINK("https://www.suredividend.com/sure-analysis-FELE/","Franklin Electric Co., Inc.")</f>
        <v>0</v>
      </c>
      <c r="C550">
        <v>-0.06015439764883</v>
      </c>
      <c r="D550">
        <v>0.013741739221651</v>
      </c>
      <c r="E550">
        <v>0.039077216855759</v>
      </c>
      <c r="F550">
        <v>0.22610497255093</v>
      </c>
      <c r="G550">
        <v>0.07816952162921401</v>
      </c>
      <c r="H550">
        <v>0.203980211070289</v>
      </c>
      <c r="I550">
        <v>1.132500104815558</v>
      </c>
    </row>
    <row r="551" spans="1:9">
      <c r="A551" s="1" t="s">
        <v>563</v>
      </c>
      <c r="B551">
        <f>HYPERLINK("https://www.suredividend.com/sure-analysis-research-database/","Futurefuel Corp")</f>
        <v>0</v>
      </c>
      <c r="C551">
        <v>0.073251942286348</v>
      </c>
      <c r="D551">
        <v>0.280913462175301</v>
      </c>
      <c r="E551">
        <v>0.07136130468983601</v>
      </c>
      <c r="F551">
        <v>0.205780764866516</v>
      </c>
      <c r="G551">
        <v>0.365626323965541</v>
      </c>
      <c r="H551">
        <v>0.175240942623448</v>
      </c>
      <c r="I551">
        <v>0.196900683235963</v>
      </c>
    </row>
    <row r="552" spans="1:9">
      <c r="A552" s="1" t="s">
        <v>564</v>
      </c>
      <c r="B552">
        <f>HYPERLINK("https://www.suredividend.com/sure-analysis-research-database/","First Financial Bancorp")</f>
        <v>0</v>
      </c>
      <c r="C552">
        <v>0.116368903911153</v>
      </c>
      <c r="D552">
        <v>0.218811447971195</v>
      </c>
      <c r="E552">
        <v>-0.08955588283938801</v>
      </c>
      <c r="F552">
        <v>-0.014030449059661</v>
      </c>
      <c r="G552">
        <v>0.09720620547938701</v>
      </c>
      <c r="H552">
        <v>0.107916427065363</v>
      </c>
      <c r="I552">
        <v>-0.078447550830871</v>
      </c>
    </row>
    <row r="553" spans="1:9">
      <c r="A553" s="1" t="s">
        <v>565</v>
      </c>
      <c r="B553">
        <f>HYPERLINK("https://www.suredividend.com/sure-analysis-research-database/","Flushing Financial Corp.")</f>
        <v>0</v>
      </c>
      <c r="C553">
        <v>0.263987391646966</v>
      </c>
      <c r="D553">
        <v>0.597673214072273</v>
      </c>
      <c r="E553">
        <v>-0.167967797656408</v>
      </c>
      <c r="F553">
        <v>-0.129755420039497</v>
      </c>
      <c r="G553">
        <v>-0.212200093317944</v>
      </c>
      <c r="H553">
        <v>-0.192826014754576</v>
      </c>
      <c r="I553">
        <v>-0.183989092722037</v>
      </c>
    </row>
    <row r="554" spans="1:9">
      <c r="A554" s="1" t="s">
        <v>566</v>
      </c>
      <c r="B554">
        <f>HYPERLINK("https://www.suredividend.com/sure-analysis-research-database/","Faraday Future Intelligent Electric Inc")</f>
        <v>0</v>
      </c>
      <c r="C554">
        <v>0.5899999999999991</v>
      </c>
      <c r="D554">
        <v>0.8821871476888381</v>
      </c>
      <c r="E554">
        <v>-0.6908333333333331</v>
      </c>
      <c r="F554">
        <v>0.150189459180158</v>
      </c>
      <c r="G554">
        <v>-0.5017161617669</v>
      </c>
      <c r="H554">
        <v>-0.5017161617669</v>
      </c>
      <c r="I554">
        <v>-0.5017161617669</v>
      </c>
    </row>
    <row r="555" spans="1:9">
      <c r="A555" s="1" t="s">
        <v>567</v>
      </c>
      <c r="B555">
        <f>HYPERLINK("https://www.suredividend.com/sure-analysis-research-database/","First Financial Bankshares, Inc.")</f>
        <v>0</v>
      </c>
      <c r="C555">
        <v>0.118893064571233</v>
      </c>
      <c r="D555">
        <v>0.164933198639784</v>
      </c>
      <c r="E555">
        <v>-0.098471668611949</v>
      </c>
      <c r="F555">
        <v>-0.026662030308704</v>
      </c>
      <c r="G555">
        <v>-0.243823597321634</v>
      </c>
      <c r="H555">
        <v>-0.291162363859886</v>
      </c>
      <c r="I555">
        <v>0.243691351883005</v>
      </c>
    </row>
    <row r="556" spans="1:9">
      <c r="A556" s="1" t="s">
        <v>568</v>
      </c>
      <c r="B556">
        <f>HYPERLINK("https://www.suredividend.com/sure-analysis-research-database/","First Foundation Inc")</f>
        <v>0</v>
      </c>
      <c r="C556">
        <v>0.7684729064039411</v>
      </c>
      <c r="D556">
        <v>0.632560254661209</v>
      </c>
      <c r="E556">
        <v>-0.5522825483728151</v>
      </c>
      <c r="F556">
        <v>-0.490758471991716</v>
      </c>
      <c r="G556">
        <v>-0.627489027009639</v>
      </c>
      <c r="H556">
        <v>-0.6871200665850331</v>
      </c>
      <c r="I556">
        <v>-0.4896581135830551</v>
      </c>
    </row>
    <row r="557" spans="1:9">
      <c r="A557" s="1" t="s">
        <v>569</v>
      </c>
      <c r="B557">
        <f>HYPERLINK("https://www.suredividend.com/sure-analysis-research-database/","First Guaranty Bancshares Inc")</f>
        <v>0</v>
      </c>
      <c r="C557">
        <v>0.05846947549441101</v>
      </c>
      <c r="D557">
        <v>0.033550510478237</v>
      </c>
      <c r="E557">
        <v>-0.4227892735397411</v>
      </c>
      <c r="F557">
        <v>-0.4570035949802601</v>
      </c>
      <c r="G557">
        <v>-0.466388084545627</v>
      </c>
      <c r="H557">
        <v>-0.23425749102694</v>
      </c>
      <c r="I557">
        <v>-0.315434151549865</v>
      </c>
    </row>
    <row r="558" spans="1:9">
      <c r="A558" s="1" t="s">
        <v>570</v>
      </c>
      <c r="B558">
        <f>HYPERLINK("https://www.suredividend.com/sure-analysis-research-database/","FibroGen Inc")</f>
        <v>0</v>
      </c>
      <c r="C558">
        <v>-0.328571428571428</v>
      </c>
      <c r="D558">
        <v>-0.8870870870870871</v>
      </c>
      <c r="E558">
        <v>-0.9234839234839231</v>
      </c>
      <c r="F558">
        <v>-0.8826466916354551</v>
      </c>
      <c r="G558">
        <v>-0.852084972462627</v>
      </c>
      <c r="H558">
        <v>-0.8584337349397591</v>
      </c>
      <c r="I558">
        <v>-0.9692810457516341</v>
      </c>
    </row>
    <row r="559" spans="1:9">
      <c r="A559" s="1" t="s">
        <v>571</v>
      </c>
      <c r="B559">
        <f>HYPERLINK("https://www.suredividend.com/sure-analysis-research-database/","Federated Hermes Inc")</f>
        <v>0</v>
      </c>
      <c r="C559">
        <v>-0.07979017117614501</v>
      </c>
      <c r="D559">
        <v>-0.169258838308309</v>
      </c>
      <c r="E559">
        <v>-0.169202928354034</v>
      </c>
      <c r="F559">
        <v>-0.06921540974908201</v>
      </c>
      <c r="G559">
        <v>0.000516318051919</v>
      </c>
      <c r="H559">
        <v>0.097522424625597</v>
      </c>
      <c r="I559">
        <v>0.540495195485281</v>
      </c>
    </row>
    <row r="560" spans="1:9">
      <c r="A560" s="1" t="s">
        <v>572</v>
      </c>
      <c r="B560">
        <f>HYPERLINK("https://www.suredividend.com/sure-analysis-research-database/","Foghorn Therapeutics Inc")</f>
        <v>0</v>
      </c>
      <c r="C560">
        <v>0.342028985507246</v>
      </c>
      <c r="D560">
        <v>0.453689167974882</v>
      </c>
      <c r="E560">
        <v>0.103694874851012</v>
      </c>
      <c r="F560">
        <v>0.4514106583072091</v>
      </c>
      <c r="G560">
        <v>-0.3911900065746221</v>
      </c>
      <c r="H560">
        <v>0.06559263521288801</v>
      </c>
      <c r="I560">
        <v>-0.488962472406181</v>
      </c>
    </row>
    <row r="561" spans="1:9">
      <c r="A561" s="1" t="s">
        <v>573</v>
      </c>
      <c r="B561">
        <f>HYPERLINK("https://www.suredividend.com/sure-analysis-research-database/","First Interstate BancSystem Inc.")</f>
        <v>0</v>
      </c>
      <c r="C561">
        <v>0.205456800330715</v>
      </c>
      <c r="D561">
        <v>0.258676059256189</v>
      </c>
      <c r="E561">
        <v>-0.18145300512855</v>
      </c>
      <c r="F561">
        <v>-0.203900776988473</v>
      </c>
      <c r="G561">
        <v>-0.226110541988014</v>
      </c>
      <c r="H561">
        <v>-0.226718006650861</v>
      </c>
      <c r="I561">
        <v>-0.133061399231766</v>
      </c>
    </row>
    <row r="562" spans="1:9">
      <c r="A562" s="1" t="s">
        <v>574</v>
      </c>
      <c r="B562">
        <f>HYPERLINK("https://www.suredividend.com/sure-analysis-research-database/","Figs Inc")</f>
        <v>0</v>
      </c>
      <c r="C562">
        <v>-0.127950310559006</v>
      </c>
      <c r="D562">
        <v>-0.022284122562674</v>
      </c>
      <c r="E562">
        <v>-0.25871172122492</v>
      </c>
      <c r="F562">
        <v>0.043090638930163</v>
      </c>
      <c r="G562">
        <v>-0.384750219106047</v>
      </c>
      <c r="H562">
        <v>-0.807618525623458</v>
      </c>
      <c r="I562">
        <v>-0.766155896069287</v>
      </c>
    </row>
    <row r="563" spans="1:9">
      <c r="A563" s="1" t="s">
        <v>575</v>
      </c>
      <c r="B563">
        <f>HYPERLINK("https://www.suredividend.com/sure-analysis-research-database/","Financial Institutions Inc.")</f>
        <v>0</v>
      </c>
      <c r="C563">
        <v>0.203545232273838</v>
      </c>
      <c r="D563">
        <v>0.314735183355145</v>
      </c>
      <c r="E563">
        <v>-0.192039392695937</v>
      </c>
      <c r="F563">
        <v>-0.150912478007382</v>
      </c>
      <c r="G563">
        <v>-0.19777381214299</v>
      </c>
      <c r="H563">
        <v>-0.277645910756802</v>
      </c>
      <c r="I563">
        <v>-0.206879883992588</v>
      </c>
    </row>
    <row r="564" spans="1:9">
      <c r="A564" s="1" t="s">
        <v>576</v>
      </c>
      <c r="B564">
        <f>HYPERLINK("https://www.suredividend.com/sure-analysis-research-database/","Comfort Systems USA, Inc.")</f>
        <v>0</v>
      </c>
      <c r="C564">
        <v>0.07522500608124501</v>
      </c>
      <c r="D564">
        <v>0.182665301238183</v>
      </c>
      <c r="E564">
        <v>0.448978437830621</v>
      </c>
      <c r="F564">
        <v>0.540262788118694</v>
      </c>
      <c r="G564">
        <v>0.70068158077492</v>
      </c>
      <c r="H564">
        <v>1.387175866044884</v>
      </c>
      <c r="I564">
        <v>2.316140890506021</v>
      </c>
    </row>
    <row r="565" spans="1:9">
      <c r="A565" s="1" t="s">
        <v>577</v>
      </c>
      <c r="B565">
        <f>HYPERLINK("https://www.suredividend.com/sure-analysis-research-database/","National Beverage Corp.")</f>
        <v>0</v>
      </c>
      <c r="C565">
        <v>0.09157212317666101</v>
      </c>
      <c r="D565">
        <v>0.014307228915662</v>
      </c>
      <c r="E565">
        <v>0.195208518189884</v>
      </c>
      <c r="F565">
        <v>0.157962604771115</v>
      </c>
      <c r="G565">
        <v>-0.012282309807515</v>
      </c>
      <c r="H565">
        <v>0.257116192253849</v>
      </c>
      <c r="I565">
        <v>0.172476824650737</v>
      </c>
    </row>
    <row r="566" spans="1:9">
      <c r="A566" s="1" t="s">
        <v>578</v>
      </c>
      <c r="B566">
        <f>HYPERLINK("https://www.suredividend.com/sure-analysis-FL/","Foot Locker Inc")</f>
        <v>0</v>
      </c>
      <c r="C566">
        <v>-0.015241223881737</v>
      </c>
      <c r="D566">
        <v>-0.357115247939551</v>
      </c>
      <c r="E566">
        <v>-0.429884406741428</v>
      </c>
      <c r="F566">
        <v>-0.293057539851207</v>
      </c>
      <c r="G566">
        <v>-0.05413239211312201</v>
      </c>
      <c r="H566">
        <v>-0.491669131420684</v>
      </c>
      <c r="I566">
        <v>-0.352100145513582</v>
      </c>
    </row>
    <row r="567" spans="1:9">
      <c r="A567" s="1" t="s">
        <v>579</v>
      </c>
      <c r="B567">
        <f>HYPERLINK("https://www.suredividend.com/sure-analysis-research-database/","Fulgent Genetics Inc")</f>
        <v>0</v>
      </c>
      <c r="C567">
        <v>0.09958847736625401</v>
      </c>
      <c r="D567">
        <v>0.366518922604841</v>
      </c>
      <c r="E567">
        <v>0.106876553438276</v>
      </c>
      <c r="F567">
        <v>0.34586971121558</v>
      </c>
      <c r="G567">
        <v>-0.363101859208644</v>
      </c>
      <c r="H567">
        <v>-0.6010352379056341</v>
      </c>
      <c r="I567">
        <v>7.196319018404909</v>
      </c>
    </row>
    <row r="568" spans="1:9">
      <c r="A568" s="1" t="s">
        <v>580</v>
      </c>
      <c r="B568">
        <f>HYPERLINK("https://www.suredividend.com/sure-analysis-FLIC/","First Of Long Island Corp.")</f>
        <v>0</v>
      </c>
      <c r="C568">
        <v>0.176410760598715</v>
      </c>
      <c r="D568">
        <v>0.45678960515544</v>
      </c>
      <c r="E568">
        <v>-0.175159708809983</v>
      </c>
      <c r="F568">
        <v>-0.190283400809716</v>
      </c>
      <c r="G568">
        <v>-0.219127988748241</v>
      </c>
      <c r="H568">
        <v>-0.27047582005771</v>
      </c>
      <c r="I568">
        <v>-0.219009357258205</v>
      </c>
    </row>
    <row r="569" spans="1:9">
      <c r="A569" s="1" t="s">
        <v>581</v>
      </c>
      <c r="B569">
        <f>HYPERLINK("https://www.suredividend.com/sure-analysis-research-database/","Full House Resorts, Inc.")</f>
        <v>0</v>
      </c>
      <c r="C569">
        <v>-0.067164179104477</v>
      </c>
      <c r="D569">
        <v>-0.08491947291361601</v>
      </c>
      <c r="E569">
        <v>-0.31469298245614</v>
      </c>
      <c r="F569">
        <v>-0.168882978723404</v>
      </c>
      <c r="G569">
        <v>-0.017295597484276</v>
      </c>
      <c r="H569">
        <v>-0.221668742216687</v>
      </c>
      <c r="I569">
        <v>1.049180327868852</v>
      </c>
    </row>
    <row r="570" spans="1:9">
      <c r="A570" s="1" t="s">
        <v>582</v>
      </c>
      <c r="B570">
        <f>HYPERLINK("https://www.suredividend.com/sure-analysis-research-database/","Fluence Energy Inc")</f>
        <v>0</v>
      </c>
      <c r="C570">
        <v>0.08451242829827901</v>
      </c>
      <c r="D570">
        <v>0.699221090473337</v>
      </c>
      <c r="E570">
        <v>0.307514983863531</v>
      </c>
      <c r="F570">
        <v>0.653644314868804</v>
      </c>
      <c r="G570">
        <v>0.9653499653499651</v>
      </c>
      <c r="H570">
        <v>-0.189714285714285</v>
      </c>
      <c r="I570">
        <v>-0.189714285714285</v>
      </c>
    </row>
    <row r="571" spans="1:9">
      <c r="A571" s="1" t="s">
        <v>583</v>
      </c>
      <c r="B571">
        <f>HYPERLINK("https://www.suredividend.com/sure-analysis-research-database/","Flex Lng Ltd")</f>
        <v>0</v>
      </c>
      <c r="C571">
        <v>0.05251141552511401</v>
      </c>
      <c r="D571">
        <v>-0.007076923076922001</v>
      </c>
      <c r="E571">
        <v>0.062932732530946</v>
      </c>
      <c r="F571">
        <v>-0.005675690665614</v>
      </c>
      <c r="G571">
        <v>0.045690213869086</v>
      </c>
      <c r="H571">
        <v>1.853176778483139</v>
      </c>
      <c r="I571">
        <v>2.667503892532021</v>
      </c>
    </row>
    <row r="572" spans="1:9">
      <c r="A572" s="1" t="s">
        <v>584</v>
      </c>
      <c r="B572">
        <f>HYPERLINK("https://www.suredividend.com/sure-analysis-research-database/","Fluor Corporation")</f>
        <v>0</v>
      </c>
      <c r="C572">
        <v>0.05032083755488</v>
      </c>
      <c r="D572">
        <v>0.11309949892627</v>
      </c>
      <c r="E572">
        <v>-0.142068965517241</v>
      </c>
      <c r="F572">
        <v>-0.10271206001154</v>
      </c>
      <c r="G572">
        <v>0.234616911472806</v>
      </c>
      <c r="H572">
        <v>0.8348082595870201</v>
      </c>
      <c r="I572">
        <v>-0.4127000313478441</v>
      </c>
    </row>
    <row r="573" spans="1:9">
      <c r="A573" s="1" t="s">
        <v>585</v>
      </c>
      <c r="B573">
        <f>HYPERLINK("https://www.suredividend.com/sure-analysis-research-database/","1-800 Flowers.com Inc.")</f>
        <v>0</v>
      </c>
      <c r="C573">
        <v>0.077499999999999</v>
      </c>
      <c r="D573">
        <v>0.06027060270602601</v>
      </c>
      <c r="E573">
        <v>-0.232754784156653</v>
      </c>
      <c r="F573">
        <v>-0.098326359832636</v>
      </c>
      <c r="G573">
        <v>-0.211344922232388</v>
      </c>
      <c r="H573">
        <v>-0.724336424688199</v>
      </c>
      <c r="I573">
        <v>-0.401388888888888</v>
      </c>
    </row>
    <row r="574" spans="1:9">
      <c r="A574" s="1" t="s">
        <v>586</v>
      </c>
      <c r="B574">
        <f>HYPERLINK("https://www.suredividend.com/sure-analysis-research-database/","Flywire Corp")</f>
        <v>0</v>
      </c>
      <c r="C574">
        <v>0.076997735360724</v>
      </c>
      <c r="D574">
        <v>0.168480168480168</v>
      </c>
      <c r="E574">
        <v>0.195332136445242</v>
      </c>
      <c r="F574">
        <v>0.360441356763383</v>
      </c>
      <c r="G574">
        <v>0.339098954143201</v>
      </c>
      <c r="H574">
        <v>0.050157728706624</v>
      </c>
      <c r="I574">
        <v>-0.05156695156695101</v>
      </c>
    </row>
    <row r="575" spans="1:9">
      <c r="A575" s="1" t="s">
        <v>587</v>
      </c>
      <c r="B575">
        <f>HYPERLINK("https://www.suredividend.com/sure-analysis-FMAO/","Farmers &amp; Merchants Bancorp Inc.")</f>
        <v>0</v>
      </c>
      <c r="C575">
        <v>-0.046179413740674</v>
      </c>
      <c r="D575">
        <v>0.056543174819217</v>
      </c>
      <c r="E575">
        <v>-0.237331863129696</v>
      </c>
      <c r="F575">
        <v>-0.184860617964795</v>
      </c>
      <c r="G575">
        <v>-0.245383305416945</v>
      </c>
      <c r="H575">
        <v>0.04645524197459</v>
      </c>
      <c r="I575">
        <v>-0.454659402197535</v>
      </c>
    </row>
    <row r="576" spans="1:9">
      <c r="A576" s="1" t="s">
        <v>588</v>
      </c>
      <c r="B576">
        <f>HYPERLINK("https://www.suredividend.com/sure-analysis-FMBH/","First Mid Bancshares Inc.")</f>
        <v>0</v>
      </c>
      <c r="C576">
        <v>0.239919354838709</v>
      </c>
      <c r="D576">
        <v>0.296030143764514</v>
      </c>
      <c r="E576">
        <v>-0.058276600240713</v>
      </c>
      <c r="F576">
        <v>-0.014830406658785</v>
      </c>
      <c r="G576">
        <v>-0.148291458817468</v>
      </c>
      <c r="H576">
        <v>-0.212832242391351</v>
      </c>
      <c r="I576">
        <v>-0.131623313725434</v>
      </c>
    </row>
    <row r="577" spans="1:9">
      <c r="A577" s="1" t="s">
        <v>589</v>
      </c>
      <c r="B577">
        <f>HYPERLINK("https://www.suredividend.com/sure-analysis-research-database/","Farmers National Banc Corp.")</f>
        <v>0</v>
      </c>
      <c r="C577">
        <v>0.113944223107569</v>
      </c>
      <c r="D577">
        <v>0.248749464056024</v>
      </c>
      <c r="E577">
        <v>-0.010398601250097</v>
      </c>
      <c r="F577">
        <v>0.028848984397998</v>
      </c>
      <c r="G577">
        <v>0.050203955918477</v>
      </c>
      <c r="H577">
        <v>-0.008798859905984001</v>
      </c>
      <c r="I577">
        <v>0.050661736522895</v>
      </c>
    </row>
    <row r="578" spans="1:9">
      <c r="A578" s="1" t="s">
        <v>590</v>
      </c>
      <c r="B578">
        <f>HYPERLINK("https://www.suredividend.com/sure-analysis-research-database/","Fabrinet")</f>
        <v>0</v>
      </c>
      <c r="C578">
        <v>-0.055098556573025</v>
      </c>
      <c r="D578">
        <v>0.304757822546078</v>
      </c>
      <c r="E578">
        <v>-0.08506161707243701</v>
      </c>
      <c r="F578">
        <v>-0.050382155669942</v>
      </c>
      <c r="G578">
        <v>0.257331681123502</v>
      </c>
      <c r="H578">
        <v>0.308965813803483</v>
      </c>
      <c r="I578">
        <v>2.069321905722208</v>
      </c>
    </row>
    <row r="579" spans="1:9">
      <c r="A579" s="1" t="s">
        <v>591</v>
      </c>
      <c r="B579">
        <f>HYPERLINK("https://www.suredividend.com/sure-analysis-research-database/","Paragon 28 Inc")</f>
        <v>0</v>
      </c>
      <c r="C579">
        <v>-0.09469480889903001</v>
      </c>
      <c r="D579">
        <v>-0.144935344827586</v>
      </c>
      <c r="E579">
        <v>-0.08318890814558001</v>
      </c>
      <c r="F579">
        <v>-0.169544740973312</v>
      </c>
      <c r="G579">
        <v>-0.183221821924858</v>
      </c>
      <c r="H579">
        <v>-0.151790486370924</v>
      </c>
      <c r="I579">
        <v>-0.151790486370924</v>
      </c>
    </row>
    <row r="580" spans="1:9">
      <c r="A580" s="1" t="s">
        <v>592</v>
      </c>
      <c r="B580">
        <f>HYPERLINK("https://www.suredividend.com/sure-analysis-research-database/","Funko Inc")</f>
        <v>0</v>
      </c>
      <c r="C580">
        <v>-0.337511190689346</v>
      </c>
      <c r="D580">
        <v>-0.245667686034658</v>
      </c>
      <c r="E580">
        <v>-0.373412362404741</v>
      </c>
      <c r="F580">
        <v>-0.321723189734188</v>
      </c>
      <c r="G580">
        <v>-0.72572275759822</v>
      </c>
      <c r="H580">
        <v>-0.619341563786008</v>
      </c>
      <c r="I580">
        <v>-0.5989159891598911</v>
      </c>
    </row>
    <row r="581" spans="1:9">
      <c r="A581" s="1" t="s">
        <v>593</v>
      </c>
      <c r="B581">
        <f>HYPERLINK("https://www.suredividend.com/sure-analysis-research-database/","First Bancorp Inc (ME)")</f>
        <v>0</v>
      </c>
      <c r="C581">
        <v>0.120285239603777</v>
      </c>
      <c r="D581">
        <v>0.166311588614846</v>
      </c>
      <c r="E581">
        <v>-0.07702067652970801</v>
      </c>
      <c r="F581">
        <v>-0.04514260440297301</v>
      </c>
      <c r="G581">
        <v>-0.04380904755951601</v>
      </c>
      <c r="H581">
        <v>0.048188478149362</v>
      </c>
      <c r="I581">
        <v>0.148035217277565</v>
      </c>
    </row>
    <row r="582" spans="1:9">
      <c r="A582" s="1" t="s">
        <v>594</v>
      </c>
      <c r="B582">
        <f>HYPERLINK("https://www.suredividend.com/sure-analysis-research-database/","Finance of America Companies Inc")</f>
        <v>0</v>
      </c>
      <c r="C582">
        <v>0.01010101010101</v>
      </c>
      <c r="D582">
        <v>0.24223602484472</v>
      </c>
      <c r="E582">
        <v>0.162790697674418</v>
      </c>
      <c r="F582">
        <v>0.5748031496062991</v>
      </c>
      <c r="G582">
        <v>0</v>
      </c>
      <c r="H582">
        <v>-0.6904024767801851</v>
      </c>
      <c r="I582">
        <v>-0.793495095508518</v>
      </c>
    </row>
    <row r="583" spans="1:9">
      <c r="A583" s="1" t="s">
        <v>595</v>
      </c>
      <c r="B583">
        <f>HYPERLINK("https://www.suredividend.com/sure-analysis-research-database/","Focus Financial Partners Inc")</f>
        <v>0</v>
      </c>
      <c r="C583">
        <v>-0.005514356341509001</v>
      </c>
      <c r="D583">
        <v>0.006349817202232001</v>
      </c>
      <c r="E583">
        <v>0.039968184529727</v>
      </c>
      <c r="F583">
        <v>0.40327341024953</v>
      </c>
      <c r="G583">
        <v>0.233199717047866</v>
      </c>
      <c r="H583">
        <v>0.011801122073902</v>
      </c>
      <c r="I583">
        <v>0.355624675997926</v>
      </c>
    </row>
    <row r="584" spans="1:9">
      <c r="A584" s="1" t="s">
        <v>596</v>
      </c>
      <c r="B584">
        <f>HYPERLINK("https://www.suredividend.com/sure-analysis-research-database/","Amicus Therapeutics Inc")</f>
        <v>0</v>
      </c>
      <c r="C584">
        <v>0.09031733116354701</v>
      </c>
      <c r="D584">
        <v>0.111111111111111</v>
      </c>
      <c r="E584">
        <v>0.011320754716981</v>
      </c>
      <c r="F584">
        <v>0.097461097461097</v>
      </c>
      <c r="G584">
        <v>0.292189006750241</v>
      </c>
      <c r="H584">
        <v>0.4362272240085741</v>
      </c>
      <c r="I584">
        <v>-0.055673009161381</v>
      </c>
    </row>
    <row r="585" spans="1:9">
      <c r="A585" s="1" t="s">
        <v>597</v>
      </c>
      <c r="B585">
        <f>HYPERLINK("https://www.suredividend.com/sure-analysis-research-database/","Forestar Group Inc")</f>
        <v>0</v>
      </c>
      <c r="C585">
        <v>0.33917616126205</v>
      </c>
      <c r="D585">
        <v>0.53877139979859</v>
      </c>
      <c r="E585">
        <v>0.992177314211212</v>
      </c>
      <c r="F585">
        <v>0.9831278390655411</v>
      </c>
      <c r="G585">
        <v>1.285714285714285</v>
      </c>
      <c r="H585">
        <v>0.4871046228710461</v>
      </c>
      <c r="I585">
        <v>0.334497816593886</v>
      </c>
    </row>
    <row r="586" spans="1:9">
      <c r="A586" s="1" t="s">
        <v>598</v>
      </c>
      <c r="B586">
        <f>HYPERLINK("https://www.suredividend.com/sure-analysis-research-database/","ForgeRock Inc")</f>
        <v>0</v>
      </c>
      <c r="C586">
        <v>0.029776674937965</v>
      </c>
      <c r="D586">
        <v>0.052231237322515</v>
      </c>
      <c r="E586">
        <v>0.02824578790882</v>
      </c>
      <c r="F586">
        <v>-0.08871321914800101</v>
      </c>
      <c r="G586">
        <v>-0.149241492414924</v>
      </c>
      <c r="H586">
        <v>-0.4315068493150681</v>
      </c>
      <c r="I586">
        <v>-0.4315068493150681</v>
      </c>
    </row>
    <row r="587" spans="1:9">
      <c r="A587" s="1" t="s">
        <v>599</v>
      </c>
      <c r="B587">
        <f>HYPERLINK("https://www.suredividend.com/sure-analysis-research-database/","FormFactor Inc.")</f>
        <v>0</v>
      </c>
      <c r="C587">
        <v>0.05352363960749301</v>
      </c>
      <c r="D587">
        <v>0.292122538293216</v>
      </c>
      <c r="E587">
        <v>0.187332439678284</v>
      </c>
      <c r="F587">
        <v>0.593792172739541</v>
      </c>
      <c r="G587">
        <v>0.001979638009049</v>
      </c>
      <c r="H587">
        <v>-0.06418383518225</v>
      </c>
      <c r="I587">
        <v>1.495070422535211</v>
      </c>
    </row>
    <row r="588" spans="1:9">
      <c r="A588" s="1" t="s">
        <v>600</v>
      </c>
      <c r="B588">
        <f>HYPERLINK("https://www.suredividend.com/sure-analysis-research-database/","Forrester Research Inc.")</f>
        <v>0</v>
      </c>
      <c r="C588">
        <v>0.104267033723331</v>
      </c>
      <c r="D588">
        <v>0.061879549966909</v>
      </c>
      <c r="E588">
        <v>-0.169728331177231</v>
      </c>
      <c r="F588">
        <v>-0.102628635346756</v>
      </c>
      <c r="G588">
        <v>-0.304508019072388</v>
      </c>
      <c r="H588">
        <v>-0.286730384529895</v>
      </c>
      <c r="I588">
        <v>-0.283801276614739</v>
      </c>
    </row>
    <row r="589" spans="1:9">
      <c r="A589" s="1" t="s">
        <v>601</v>
      </c>
      <c r="B589">
        <f>HYPERLINK("https://www.suredividend.com/sure-analysis-research-database/","Fossil Group Inc")</f>
        <v>0</v>
      </c>
      <c r="C589">
        <v>-0.03942652329749</v>
      </c>
      <c r="D589">
        <v>-0.182926829268292</v>
      </c>
      <c r="E589">
        <v>-0.5248226950354601</v>
      </c>
      <c r="F589">
        <v>-0.378190255220417</v>
      </c>
      <c r="G589">
        <v>-0.5870570107858241</v>
      </c>
      <c r="H589">
        <v>-0.7866242038216561</v>
      </c>
      <c r="I589">
        <v>-0.906879777623349</v>
      </c>
    </row>
    <row r="590" spans="1:9">
      <c r="A590" s="1" t="s">
        <v>602</v>
      </c>
      <c r="B590">
        <f>HYPERLINK("https://www.suredividend.com/sure-analysis-research-database/","Fox Factory Holding Corp")</f>
        <v>0</v>
      </c>
      <c r="C590">
        <v>-0.026648351648351</v>
      </c>
      <c r="D590">
        <v>-0.03609322571869</v>
      </c>
      <c r="E590">
        <v>-0.139212827988338</v>
      </c>
      <c r="F590">
        <v>0.165077277211443</v>
      </c>
      <c r="G590">
        <v>0.08073207930859101</v>
      </c>
      <c r="H590">
        <v>-0.340182506673288</v>
      </c>
      <c r="I590">
        <v>0.7296989422294541</v>
      </c>
    </row>
    <row r="591" spans="1:9">
      <c r="A591" s="1" t="s">
        <v>603</v>
      </c>
      <c r="B591">
        <f>HYPERLINK("https://www.suredividend.com/sure-analysis-research-database/","Farmland Partners Inc")</f>
        <v>0</v>
      </c>
      <c r="C591">
        <v>-0.09090909090909001</v>
      </c>
      <c r="D591">
        <v>0.103491763222195</v>
      </c>
      <c r="E591">
        <v>-0.124439093794462</v>
      </c>
      <c r="F591">
        <v>-0.091417955852647</v>
      </c>
      <c r="G591">
        <v>-0.230372788180725</v>
      </c>
      <c r="H591">
        <v>-0.05952690844662301</v>
      </c>
      <c r="I591">
        <v>0.8832075059270591</v>
      </c>
    </row>
    <row r="592" spans="1:9">
      <c r="A592" s="1" t="s">
        <v>604</v>
      </c>
      <c r="B592">
        <f>HYPERLINK("https://www.suredividend.com/sure-analysis-research-database/","First Bank (NJ)")</f>
        <v>0</v>
      </c>
      <c r="C592">
        <v>0.19088319088319</v>
      </c>
      <c r="D592">
        <v>0.400303734143291</v>
      </c>
      <c r="E592">
        <v>-0.08166852188177401</v>
      </c>
      <c r="F592">
        <v>-0.07298573994810401</v>
      </c>
      <c r="G592">
        <v>-0.143939652524149</v>
      </c>
      <c r="H592">
        <v>-0.025845393740241</v>
      </c>
      <c r="I592">
        <v>-0.019730464963572</v>
      </c>
    </row>
    <row r="593" spans="1:9">
      <c r="A593" s="1" t="s">
        <v>605</v>
      </c>
      <c r="B593">
        <f>HYPERLINK("https://www.suredividend.com/sure-analysis-research-database/","Republic First Bancorp, Inc.")</f>
        <v>0</v>
      </c>
      <c r="C593">
        <v>0.06521033848815801</v>
      </c>
      <c r="D593">
        <v>0.308796173266011</v>
      </c>
      <c r="E593">
        <v>-0.575431034482758</v>
      </c>
      <c r="F593">
        <v>-0.5418604651162791</v>
      </c>
      <c r="G593">
        <v>-0.7271468144044321</v>
      </c>
      <c r="H593">
        <v>-0.7330623306233061</v>
      </c>
      <c r="I593">
        <v>-0.8729032258064511</v>
      </c>
    </row>
    <row r="594" spans="1:9">
      <c r="A594" s="1" t="s">
        <v>606</v>
      </c>
      <c r="B594">
        <f>HYPERLINK("https://www.suredividend.com/sure-analysis-research-database/","Whole Earth Brands Inc")</f>
        <v>0</v>
      </c>
      <c r="C594">
        <v>0.023017902813299</v>
      </c>
      <c r="D594">
        <v>0.75438596491228</v>
      </c>
      <c r="E594">
        <v>0.028277634961439</v>
      </c>
      <c r="F594">
        <v>-0.017199017199017</v>
      </c>
      <c r="G594">
        <v>-0.275362318840579</v>
      </c>
      <c r="H594">
        <v>-0.684791174152876</v>
      </c>
      <c r="I594">
        <v>-0.587628865979381</v>
      </c>
    </row>
    <row r="595" spans="1:9">
      <c r="A595" s="1" t="s">
        <v>607</v>
      </c>
      <c r="B595">
        <f>HYPERLINK("https://www.suredividend.com/sure-analysis-research-database/","Franchise Group Inc")</f>
        <v>0</v>
      </c>
      <c r="C595">
        <v>0.039860139860139</v>
      </c>
      <c r="D595">
        <v>0.041681260945709</v>
      </c>
      <c r="E595">
        <v>-0.062849580109974</v>
      </c>
      <c r="F595">
        <v>0.277859177684299</v>
      </c>
      <c r="G595">
        <v>-0.085556153432239</v>
      </c>
      <c r="H595">
        <v>-0.022963960708301</v>
      </c>
      <c r="I595">
        <v>2.232608695652174</v>
      </c>
    </row>
    <row r="596" spans="1:9">
      <c r="A596" s="1" t="s">
        <v>608</v>
      </c>
      <c r="B596">
        <f>HYPERLINK("https://www.suredividend.com/sure-analysis-research-database/","First Merchants Corp.")</f>
        <v>0</v>
      </c>
      <c r="C596">
        <v>0.127310777816533</v>
      </c>
      <c r="D596">
        <v>0.213997025106299</v>
      </c>
      <c r="E596">
        <v>-0.233452948194036</v>
      </c>
      <c r="F596">
        <v>-0.186838457106483</v>
      </c>
      <c r="G596">
        <v>-0.171046118254169</v>
      </c>
      <c r="H596">
        <v>-0.137822949595187</v>
      </c>
      <c r="I596">
        <v>-0.191937375146573</v>
      </c>
    </row>
    <row r="597" spans="1:9">
      <c r="A597" s="1" t="s">
        <v>609</v>
      </c>
      <c r="B597">
        <f>HYPERLINK("https://www.suredividend.com/sure-analysis-research-database/","Frontline Plc")</f>
        <v>0</v>
      </c>
      <c r="C597">
        <v>0.178767123287671</v>
      </c>
      <c r="D597">
        <v>0.209603733535753</v>
      </c>
      <c r="E597">
        <v>0.291043712444581</v>
      </c>
      <c r="F597">
        <v>0.550534263113321</v>
      </c>
      <c r="G597">
        <v>0.8466259643550761</v>
      </c>
      <c r="H597">
        <v>1.42839000987724</v>
      </c>
      <c r="I597">
        <v>3.574815917488504</v>
      </c>
    </row>
    <row r="598" spans="1:9">
      <c r="A598" s="1" t="s">
        <v>610</v>
      </c>
      <c r="B598">
        <f>HYPERLINK("https://www.suredividend.com/sure-analysis-research-database/","FRP Holdings Inc")</f>
        <v>0</v>
      </c>
      <c r="C598">
        <v>-0.008450704225352001</v>
      </c>
      <c r="D598">
        <v>-0.025942580421999</v>
      </c>
      <c r="E598">
        <v>-0.024930747922437</v>
      </c>
      <c r="F598">
        <v>0.04567396955068601</v>
      </c>
      <c r="G598">
        <v>-0.025942580421999</v>
      </c>
      <c r="H598">
        <v>-0.040545144804088</v>
      </c>
      <c r="I598">
        <v>-0.147957639939485</v>
      </c>
    </row>
    <row r="599" spans="1:9">
      <c r="A599" s="1" t="s">
        <v>611</v>
      </c>
      <c r="B599">
        <f>HYPERLINK("https://www.suredividend.com/sure-analysis-research-database/","Primis Financial Corp")</f>
        <v>0</v>
      </c>
      <c r="C599">
        <v>0.144037780401416</v>
      </c>
      <c r="D599">
        <v>0.304593677634767</v>
      </c>
      <c r="E599">
        <v>-0.178555987894509</v>
      </c>
      <c r="F599">
        <v>-0.152912791104273</v>
      </c>
      <c r="G599">
        <v>-0.252689623259939</v>
      </c>
      <c r="H599">
        <v>-0.325537690540822</v>
      </c>
      <c r="I599">
        <v>-0.417598269022719</v>
      </c>
    </row>
    <row r="600" spans="1:9">
      <c r="A600" s="1" t="s">
        <v>612</v>
      </c>
      <c r="B600">
        <f>HYPERLINK("https://www.suredividend.com/sure-analysis-research-database/","Five Star Bancorp")</f>
        <v>0</v>
      </c>
      <c r="C600">
        <v>0.095711060948081</v>
      </c>
      <c r="D600">
        <v>0.213384728450797</v>
      </c>
      <c r="E600">
        <v>-0.116275174505612</v>
      </c>
      <c r="F600">
        <v>-0.08649159323845701</v>
      </c>
      <c r="G600">
        <v>0.007204395677362</v>
      </c>
      <c r="H600">
        <v>0.04691490095934801</v>
      </c>
      <c r="I600">
        <v>0.062181608108817</v>
      </c>
    </row>
    <row r="601" spans="1:9">
      <c r="A601" s="1" t="s">
        <v>613</v>
      </c>
      <c r="B601">
        <f>HYPERLINK("https://www.suredividend.com/sure-analysis-research-database/","Fastly Inc")</f>
        <v>0</v>
      </c>
      <c r="C601">
        <v>0.275362318840579</v>
      </c>
      <c r="D601">
        <v>0.495934959349593</v>
      </c>
      <c r="E601">
        <v>0.787985865724381</v>
      </c>
      <c r="F601">
        <v>1.471306471306471</v>
      </c>
      <c r="G601">
        <v>0.532172596517789</v>
      </c>
      <c r="H601">
        <v>-0.562189054726368</v>
      </c>
      <c r="I601">
        <v>-0.15631513130471</v>
      </c>
    </row>
    <row r="602" spans="1:9">
      <c r="A602" s="1" t="s">
        <v>614</v>
      </c>
      <c r="B602">
        <f>HYPERLINK("https://www.suredividend.com/sure-analysis-research-database/","Franklin Street Properties Corp.")</f>
        <v>0</v>
      </c>
      <c r="C602">
        <v>0.200536552649228</v>
      </c>
      <c r="D602">
        <v>0.579597599717613</v>
      </c>
      <c r="E602">
        <v>-0.412768191063578</v>
      </c>
      <c r="F602">
        <v>-0.333084947839046</v>
      </c>
      <c r="G602">
        <v>-0.486517498565691</v>
      </c>
      <c r="H602">
        <v>-0.5982493547301081</v>
      </c>
      <c r="I602">
        <v>-0.7173535449234171</v>
      </c>
    </row>
    <row r="603" spans="1:9">
      <c r="A603" s="1" t="s">
        <v>615</v>
      </c>
      <c r="B603">
        <f>HYPERLINK("https://www.suredividend.com/sure-analysis-research-database/","Fisker Inc")</f>
        <v>0</v>
      </c>
      <c r="C603">
        <v>0.11013986013986</v>
      </c>
      <c r="D603">
        <v>0.137992831541218</v>
      </c>
      <c r="E603">
        <v>-0.189016602809706</v>
      </c>
      <c r="F603">
        <v>-0.126547455295735</v>
      </c>
      <c r="G603">
        <v>-0.390009606147934</v>
      </c>
      <c r="H603">
        <v>-0.5709459459459461</v>
      </c>
      <c r="I603">
        <v>-0.338541666666666</v>
      </c>
    </row>
    <row r="604" spans="1:9">
      <c r="A604" s="1" t="s">
        <v>616</v>
      </c>
      <c r="B604">
        <f>HYPERLINK("https://www.suredividend.com/sure-analysis-research-database/","Federal Signal Corp.")</f>
        <v>0</v>
      </c>
      <c r="C604">
        <v>-0.062044361718628</v>
      </c>
      <c r="D604">
        <v>0.130498021114345</v>
      </c>
      <c r="E604">
        <v>0.107693773138013</v>
      </c>
      <c r="F604">
        <v>0.306013667032387</v>
      </c>
      <c r="G604">
        <v>0.454885788939307</v>
      </c>
      <c r="H604">
        <v>0.5830050131546221</v>
      </c>
      <c r="I604">
        <v>1.694201251977098</v>
      </c>
    </row>
    <row r="605" spans="1:9">
      <c r="A605" s="1" t="s">
        <v>617</v>
      </c>
      <c r="B605">
        <f>HYPERLINK("https://www.suredividend.com/sure-analysis-research-database/","FTC Solar Inc")</f>
        <v>0</v>
      </c>
      <c r="C605">
        <v>0.071865443425076</v>
      </c>
      <c r="D605">
        <v>0.358527131782945</v>
      </c>
      <c r="E605">
        <v>0.247330960854092</v>
      </c>
      <c r="F605">
        <v>0.307835820895522</v>
      </c>
      <c r="G605">
        <v>-0.286150712830957</v>
      </c>
      <c r="H605">
        <v>-0.652281746031746</v>
      </c>
      <c r="I605">
        <v>-0.7542075736325381</v>
      </c>
    </row>
    <row r="606" spans="1:9">
      <c r="A606" s="1" t="s">
        <v>618</v>
      </c>
      <c r="B606">
        <f>HYPERLINK("https://www.suredividend.com/sure-analysis-research-database/","Frontdoor Inc.")</f>
        <v>0</v>
      </c>
      <c r="C606">
        <v>0.158555729984301</v>
      </c>
      <c r="D606">
        <v>0.3835770528683911</v>
      </c>
      <c r="E606">
        <v>0.343772760378732</v>
      </c>
      <c r="F606">
        <v>0.774038461538461</v>
      </c>
      <c r="G606">
        <v>0.408396946564885</v>
      </c>
      <c r="H606">
        <v>-0.277179236043095</v>
      </c>
      <c r="I606">
        <v>-0.121428571428571</v>
      </c>
    </row>
    <row r="607" spans="1:9">
      <c r="A607" s="1" t="s">
        <v>619</v>
      </c>
      <c r="B607">
        <f>HYPERLINK("https://www.suredividend.com/sure-analysis-research-database/","fuboTV Inc")</f>
        <v>0</v>
      </c>
      <c r="C607">
        <v>0.426666666666666</v>
      </c>
      <c r="D607">
        <v>1.767241379310345</v>
      </c>
      <c r="E607">
        <v>0.09556313993174001</v>
      </c>
      <c r="F607">
        <v>0.844827586206896</v>
      </c>
      <c r="G607">
        <v>0.09931506849315001</v>
      </c>
      <c r="H607">
        <v>-0.876490958060792</v>
      </c>
      <c r="I607">
        <v>6.465116279069767</v>
      </c>
    </row>
    <row r="608" spans="1:9">
      <c r="A608" s="1" t="s">
        <v>620</v>
      </c>
      <c r="B608">
        <f>HYPERLINK("https://www.suredividend.com/sure-analysis-FUL/","H.B. Fuller Company")</f>
        <v>0</v>
      </c>
      <c r="C608">
        <v>0.009394041621581001</v>
      </c>
      <c r="D608">
        <v>0.109434113214281</v>
      </c>
      <c r="E608">
        <v>-0.016360794113715</v>
      </c>
      <c r="F608">
        <v>0.015364945620033</v>
      </c>
      <c r="G608">
        <v>0.152614761972504</v>
      </c>
      <c r="H608">
        <v>0.138773737613012</v>
      </c>
      <c r="I608">
        <v>0.350399820221352</v>
      </c>
    </row>
    <row r="609" spans="1:9">
      <c r="A609" s="1" t="s">
        <v>621</v>
      </c>
      <c r="B609">
        <f>HYPERLINK("https://www.suredividend.com/sure-analysis-research-database/","Fulcrum Therapeutics Inc")</f>
        <v>0</v>
      </c>
      <c r="C609">
        <v>0.184615384615384</v>
      </c>
      <c r="D609">
        <v>0.313993174061433</v>
      </c>
      <c r="E609">
        <v>-0.695170229612034</v>
      </c>
      <c r="F609">
        <v>-0.471153846153846</v>
      </c>
      <c r="G609">
        <v>-0.38985736925515</v>
      </c>
      <c r="H609">
        <v>-0.471153846153846</v>
      </c>
      <c r="I609">
        <v>-0.714814814814814</v>
      </c>
    </row>
    <row r="610" spans="1:9">
      <c r="A610" s="1" t="s">
        <v>622</v>
      </c>
      <c r="B610">
        <f>HYPERLINK("https://www.suredividend.com/sure-analysis-FULT/","Fulton Financial Corp.")</f>
        <v>0</v>
      </c>
      <c r="C610">
        <v>0.213047068538398</v>
      </c>
      <c r="D610">
        <v>0.385862130774818</v>
      </c>
      <c r="E610">
        <v>-0.117855470016694</v>
      </c>
      <c r="F610">
        <v>-0.094266565550068</v>
      </c>
      <c r="G610">
        <v>-0.050818983620327</v>
      </c>
      <c r="H610">
        <v>0.051170312488819</v>
      </c>
      <c r="I610">
        <v>0.060603872756414</v>
      </c>
    </row>
    <row r="611" spans="1:9">
      <c r="A611" s="1" t="s">
        <v>623</v>
      </c>
      <c r="B611">
        <f>HYPERLINK("https://www.suredividend.com/sure-analysis-research-database/","FVCBankcorp Inc")</f>
        <v>0</v>
      </c>
      <c r="C611">
        <v>0.331486611265004</v>
      </c>
      <c r="D611">
        <v>0.6004439511653711</v>
      </c>
      <c r="E611">
        <v>0.03</v>
      </c>
      <c r="F611">
        <v>-0.05479811221814301</v>
      </c>
      <c r="G611">
        <v>-0.055293501048217</v>
      </c>
      <c r="H611">
        <v>-0.06363636363636301</v>
      </c>
      <c r="I611">
        <v>-0.198888888888888</v>
      </c>
    </row>
    <row r="612" spans="1:9">
      <c r="A612" s="1" t="s">
        <v>624</v>
      </c>
      <c r="B612">
        <f>HYPERLINK("https://www.suredividend.com/sure-analysis-research-database/","Forward Air Corp.")</f>
        <v>0</v>
      </c>
      <c r="C612">
        <v>0.057315233785822</v>
      </c>
      <c r="D612">
        <v>0.142186774422185</v>
      </c>
      <c r="E612">
        <v>3.298967601400001E-05</v>
      </c>
      <c r="F612">
        <v>0.07706859878330401</v>
      </c>
      <c r="G612">
        <v>0.080670678714371</v>
      </c>
      <c r="H612">
        <v>0.283966559173389</v>
      </c>
      <c r="I612">
        <v>0.8872051662577941</v>
      </c>
    </row>
    <row r="613" spans="1:9">
      <c r="A613" s="1" t="s">
        <v>625</v>
      </c>
      <c r="B613">
        <f>HYPERLINK("https://www.suredividend.com/sure-analysis-research-database/","First Watch Restaurant Group Inc")</f>
        <v>0</v>
      </c>
      <c r="C613">
        <v>0.117205542725173</v>
      </c>
      <c r="D613">
        <v>0.133567662565905</v>
      </c>
      <c r="E613">
        <v>0.185661764705882</v>
      </c>
      <c r="F613">
        <v>0.430155210643015</v>
      </c>
      <c r="G613">
        <v>0.169184290030211</v>
      </c>
      <c r="H613">
        <v>-0.12562132851333</v>
      </c>
      <c r="I613">
        <v>-0.12562132851333</v>
      </c>
    </row>
    <row r="614" spans="1:9">
      <c r="A614" s="1" t="s">
        <v>626</v>
      </c>
      <c r="B614">
        <f>HYPERLINK("https://www.suredividend.com/sure-analysis-research-database/","F45 Training Holdings Inc")</f>
        <v>0</v>
      </c>
      <c r="C614">
        <v>0.433962264150943</v>
      </c>
      <c r="D614">
        <v>-0.011574977240213</v>
      </c>
      <c r="E614">
        <v>-0.7594936708860761</v>
      </c>
      <c r="F614">
        <v>-0.7333333333333331</v>
      </c>
      <c r="G614">
        <v>-0.552941176470588</v>
      </c>
      <c r="H614">
        <v>-0.9506172839506171</v>
      </c>
      <c r="I614">
        <v>-0.9530864197530861</v>
      </c>
    </row>
    <row r="615" spans="1:9">
      <c r="A615" s="1" t="s">
        <v>627</v>
      </c>
      <c r="B615">
        <f>HYPERLINK("https://www.suredividend.com/sure-analysis-research-database/","German American Bancorp Inc")</f>
        <v>0</v>
      </c>
      <c r="C615">
        <v>0.109210047324353</v>
      </c>
      <c r="D615">
        <v>0.134176800556852</v>
      </c>
      <c r="E615">
        <v>-0.232172646497024</v>
      </c>
      <c r="F615">
        <v>-0.16279938782968</v>
      </c>
      <c r="G615">
        <v>-0.15447777139543</v>
      </c>
      <c r="H615">
        <v>-0.145656221260178</v>
      </c>
      <c r="I615">
        <v>-0.053041486541503</v>
      </c>
    </row>
    <row r="616" spans="1:9">
      <c r="A616" s="1" t="s">
        <v>628</v>
      </c>
      <c r="B616">
        <f>HYPERLINK("https://www.suredividend.com/sure-analysis-research-database/","Gambling.com Group Ltd")</f>
        <v>0</v>
      </c>
      <c r="C616">
        <v>0.213082259663032</v>
      </c>
      <c r="D616">
        <v>0.324675324675324</v>
      </c>
      <c r="E616">
        <v>0.265770423991727</v>
      </c>
      <c r="F616">
        <v>0.337704918032786</v>
      </c>
      <c r="G616">
        <v>0.496332518337408</v>
      </c>
      <c r="H616">
        <v>0.7485714285714281</v>
      </c>
      <c r="I616">
        <v>0.53</v>
      </c>
    </row>
    <row r="617" spans="1:9">
      <c r="A617" s="1" t="s">
        <v>629</v>
      </c>
      <c r="B617">
        <f>HYPERLINK("https://www.suredividend.com/sure-analysis-GATX/","GATX Corp.")</f>
        <v>0</v>
      </c>
      <c r="C617">
        <v>-0.06369230769230701</v>
      </c>
      <c r="D617">
        <v>0.100079984454998</v>
      </c>
      <c r="E617">
        <v>0.053664887474614</v>
      </c>
      <c r="F617">
        <v>0.155425192104151</v>
      </c>
      <c r="G617">
        <v>0.245581827521914</v>
      </c>
      <c r="H617">
        <v>0.380214357313593</v>
      </c>
      <c r="I617">
        <v>0.630105798848265</v>
      </c>
    </row>
    <row r="618" spans="1:9">
      <c r="A618" s="1" t="s">
        <v>630</v>
      </c>
      <c r="B618">
        <f>HYPERLINK("https://www.suredividend.com/sure-analysis-research-database/","Glacier Bancorp, Inc.")</f>
        <v>0</v>
      </c>
      <c r="C618">
        <v>0.05830861193868601</v>
      </c>
      <c r="D618">
        <v>0.143445435827041</v>
      </c>
      <c r="E618">
        <v>-0.287152267441984</v>
      </c>
      <c r="F618">
        <v>-0.307057531694007</v>
      </c>
      <c r="G618">
        <v>-0.3083764906126431</v>
      </c>
      <c r="H618">
        <v>-0.298499732621446</v>
      </c>
      <c r="I618">
        <v>-0.082280747175506</v>
      </c>
    </row>
    <row r="619" spans="1:9">
      <c r="A619" s="1" t="s">
        <v>631</v>
      </c>
      <c r="B619">
        <f>HYPERLINK("https://www.suredividend.com/sure-analysis-research-database/","Generation Bio Co")</f>
        <v>0</v>
      </c>
      <c r="C619">
        <v>-0.12133072407045</v>
      </c>
      <c r="D619">
        <v>0</v>
      </c>
      <c r="E619">
        <v>-0.359486447931526</v>
      </c>
      <c r="F619">
        <v>0.142493638676844</v>
      </c>
      <c r="G619">
        <v>-0.401333333333333</v>
      </c>
      <c r="H619">
        <v>-0.8024637043554771</v>
      </c>
      <c r="I619">
        <v>-0.818144997974888</v>
      </c>
    </row>
    <row r="620" spans="1:9">
      <c r="A620" s="1" t="s">
        <v>632</v>
      </c>
      <c r="B620">
        <f>HYPERLINK("https://www.suredividend.com/sure-analysis-research-database/","Greenbrier Cos., Inc.")</f>
        <v>0</v>
      </c>
      <c r="C620">
        <v>0.102939458646194</v>
      </c>
      <c r="D620">
        <v>0.8006300870374461</v>
      </c>
      <c r="E620">
        <v>0.514563355972114</v>
      </c>
      <c r="F620">
        <v>0.444919520951486</v>
      </c>
      <c r="G620">
        <v>0.618499091501251</v>
      </c>
      <c r="H620">
        <v>0.161274770254048</v>
      </c>
      <c r="I620">
        <v>-0.05847017857356501</v>
      </c>
    </row>
    <row r="621" spans="1:9">
      <c r="A621" s="1" t="s">
        <v>633</v>
      </c>
      <c r="B621">
        <f>HYPERLINK("https://www.suredividend.com/sure-analysis-research-database/","Greene County Bancorp Inc")</f>
        <v>0</v>
      </c>
      <c r="C621">
        <v>0.165354330708661</v>
      </c>
      <c r="D621">
        <v>0.914090834968707</v>
      </c>
      <c r="E621">
        <v>4.143781071973646</v>
      </c>
      <c r="F621">
        <v>3.77385877568193</v>
      </c>
      <c r="G621">
        <v>4.926906134104087</v>
      </c>
      <c r="H621">
        <v>7.78814478236175</v>
      </c>
      <c r="I621">
        <v>7.393953591596183</v>
      </c>
    </row>
    <row r="622" spans="1:9">
      <c r="A622" s="1" t="s">
        <v>634</v>
      </c>
      <c r="B622">
        <f>HYPERLINK("https://www.suredividend.com/sure-analysis-research-database/","Gannett Co Inc.")</f>
        <v>0</v>
      </c>
      <c r="C622">
        <v>0.4009009009009</v>
      </c>
      <c r="D622">
        <v>0.5707070707070701</v>
      </c>
      <c r="E622">
        <v>0.25910931174089</v>
      </c>
      <c r="F622">
        <v>0.532019704433497</v>
      </c>
      <c r="G622">
        <v>-0.031152647975077</v>
      </c>
      <c r="H622">
        <v>-0.441651705565529</v>
      </c>
      <c r="I622">
        <v>-0.767168514595015</v>
      </c>
    </row>
    <row r="623" spans="1:9">
      <c r="A623" s="1" t="s">
        <v>635</v>
      </c>
      <c r="B623">
        <f>HYPERLINK("https://www.suredividend.com/sure-analysis-research-database/","GCM Grosvenor Inc")</f>
        <v>0</v>
      </c>
      <c r="C623">
        <v>0.073333333333333</v>
      </c>
      <c r="D623">
        <v>0.07188985499527301</v>
      </c>
      <c r="E623">
        <v>-0.104082268619507</v>
      </c>
      <c r="F623">
        <v>0.106650903192103</v>
      </c>
      <c r="G623">
        <v>0.05843063006205901</v>
      </c>
      <c r="H623">
        <v>-0.112116031544697</v>
      </c>
      <c r="I623">
        <v>-0.166951248538283</v>
      </c>
    </row>
    <row r="624" spans="1:9">
      <c r="A624" s="1" t="s">
        <v>636</v>
      </c>
      <c r="B624">
        <f>HYPERLINK("https://www.suredividend.com/sure-analysis-research-database/","Genesco Inc.")</f>
        <v>0</v>
      </c>
      <c r="C624">
        <v>0.078947368421052</v>
      </c>
      <c r="D624">
        <v>-0.113924050632911</v>
      </c>
      <c r="E624">
        <v>-0.419733117670845</v>
      </c>
      <c r="F624">
        <v>-0.376358105171664</v>
      </c>
      <c r="G624">
        <v>-0.512485136741973</v>
      </c>
      <c r="H624">
        <v>-0.5</v>
      </c>
      <c r="I624">
        <v>-0.307599517490953</v>
      </c>
    </row>
    <row r="625" spans="1:9">
      <c r="A625" s="1" t="s">
        <v>637</v>
      </c>
      <c r="B625">
        <f>HYPERLINK("https://www.suredividend.com/sure-analysis-research-database/","Golden Entertainment Inc")</f>
        <v>0</v>
      </c>
      <c r="C625">
        <v>0.011044417767106</v>
      </c>
      <c r="D625">
        <v>0.044913151364764</v>
      </c>
      <c r="E625">
        <v>0.012016342225426</v>
      </c>
      <c r="F625">
        <v>0.125935828877005</v>
      </c>
      <c r="G625">
        <v>-0.079361609094884</v>
      </c>
      <c r="H625">
        <v>-0.07774857643451501</v>
      </c>
      <c r="I625">
        <v>0.452068965517241</v>
      </c>
    </row>
    <row r="626" spans="1:9">
      <c r="A626" s="1" t="s">
        <v>638</v>
      </c>
      <c r="B626">
        <f>HYPERLINK("https://www.suredividend.com/sure-analysis-research-database/","Green Dot Corp.")</f>
        <v>0</v>
      </c>
      <c r="C626">
        <v>0.00209095661265</v>
      </c>
      <c r="D626">
        <v>0.171760391198044</v>
      </c>
      <c r="E626">
        <v>-0.010835913312693</v>
      </c>
      <c r="F626">
        <v>0.211757269279393</v>
      </c>
      <c r="G626">
        <v>-0.329720279720279</v>
      </c>
      <c r="H626">
        <v>-0.5724799286351471</v>
      </c>
      <c r="I626">
        <v>-0.758898251792227</v>
      </c>
    </row>
    <row r="627" spans="1:9">
      <c r="A627" s="1" t="s">
        <v>639</v>
      </c>
      <c r="B627">
        <f>HYPERLINK("https://www.suredividend.com/sure-analysis-research-database/","Grid Dynamics Holdings Inc")</f>
        <v>0</v>
      </c>
      <c r="C627">
        <v>0.08810572687224601</v>
      </c>
      <c r="D627">
        <v>-0.131810193321616</v>
      </c>
      <c r="E627">
        <v>-0.259925093632958</v>
      </c>
      <c r="F627">
        <v>-0.119429590017825</v>
      </c>
      <c r="G627">
        <v>-0.4961754207037221</v>
      </c>
      <c r="H627">
        <v>-0.516870415647921</v>
      </c>
      <c r="I627">
        <v>0.04</v>
      </c>
    </row>
    <row r="628" spans="1:9">
      <c r="A628" s="1" t="s">
        <v>640</v>
      </c>
      <c r="B628">
        <f>HYPERLINK("https://www.suredividend.com/sure-analysis-GEF/","Greif Inc")</f>
        <v>0</v>
      </c>
      <c r="C628">
        <v>0.07305218012866301</v>
      </c>
      <c r="D628">
        <v>0.203986340064385</v>
      </c>
      <c r="E628">
        <v>0.054123172031609</v>
      </c>
      <c r="F628">
        <v>0.13696264655094</v>
      </c>
      <c r="G628">
        <v>0.116354609907981</v>
      </c>
      <c r="H628">
        <v>0.28789828589077</v>
      </c>
      <c r="I628">
        <v>0.682250531166234</v>
      </c>
    </row>
    <row r="629" spans="1:9">
      <c r="A629" s="1" t="s">
        <v>641</v>
      </c>
      <c r="B629">
        <f>HYPERLINK("https://www.suredividend.com/sure-analysis-research-database/","Greif Inc")</f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>
      <c r="A630" s="1" t="s">
        <v>642</v>
      </c>
      <c r="B630">
        <f>HYPERLINK("https://www.suredividend.com/sure-analysis-research-database/","Geo Group, Inc.")</f>
        <v>0</v>
      </c>
      <c r="C630">
        <v>-0.012362637362637</v>
      </c>
      <c r="D630">
        <v>-0.013717421124828</v>
      </c>
      <c r="E630">
        <v>-0.3807062876830311</v>
      </c>
      <c r="F630">
        <v>-0.343378995433789</v>
      </c>
      <c r="G630">
        <v>0.01410437235543</v>
      </c>
      <c r="H630">
        <v>0.046579330422125</v>
      </c>
      <c r="I630">
        <v>-0.621638688628111</v>
      </c>
    </row>
    <row r="631" spans="1:9">
      <c r="A631" s="1" t="s">
        <v>643</v>
      </c>
      <c r="B631">
        <f>HYPERLINK("https://www.suredividend.com/sure-analysis-research-database/","Geron Corp.")</f>
        <v>0</v>
      </c>
      <c r="C631">
        <v>-0.0062893081761</v>
      </c>
      <c r="D631">
        <v>0.183520599250936</v>
      </c>
      <c r="E631">
        <v>-0.01863354037267</v>
      </c>
      <c r="F631">
        <v>0.305785123966942</v>
      </c>
      <c r="G631">
        <v>0.5490196078431371</v>
      </c>
      <c r="H631">
        <v>1.590163934426229</v>
      </c>
      <c r="I631">
        <v>-0.086705202312138</v>
      </c>
    </row>
    <row r="632" spans="1:9">
      <c r="A632" s="1" t="s">
        <v>644</v>
      </c>
      <c r="B632">
        <f>HYPERLINK("https://www.suredividend.com/sure-analysis-research-database/","Guess Inc.")</f>
        <v>0</v>
      </c>
      <c r="C632">
        <v>0.054967221381744</v>
      </c>
      <c r="D632">
        <v>0.169917680744452</v>
      </c>
      <c r="E632">
        <v>-0.08216629812923301</v>
      </c>
      <c r="F632">
        <v>0.039828617157172</v>
      </c>
      <c r="G632">
        <v>0.130969757911922</v>
      </c>
      <c r="H632">
        <v>0.002098082984451</v>
      </c>
      <c r="I632">
        <v>0.08983308674904601</v>
      </c>
    </row>
    <row r="633" spans="1:9">
      <c r="A633" s="1" t="s">
        <v>645</v>
      </c>
      <c r="B633">
        <f>HYPERLINK("https://www.suredividend.com/sure-analysis-research-database/","Gevo Inc")</f>
        <v>0</v>
      </c>
      <c r="C633">
        <v>0.025806451612903</v>
      </c>
      <c r="D633">
        <v>0.458715596330275</v>
      </c>
      <c r="E633">
        <v>-0.260465116279069</v>
      </c>
      <c r="F633">
        <v>-0.163157894736842</v>
      </c>
      <c r="G633">
        <v>-0.4803921568627451</v>
      </c>
      <c r="H633">
        <v>-0.727739726027397</v>
      </c>
      <c r="I633">
        <v>-0.5793650793650791</v>
      </c>
    </row>
    <row r="634" spans="1:9">
      <c r="A634" s="1" t="s">
        <v>646</v>
      </c>
      <c r="B634">
        <f>HYPERLINK("https://www.suredividend.com/sure-analysis-research-database/","Griffon Corp.")</f>
        <v>0</v>
      </c>
      <c r="C634">
        <v>-0.017673048600883</v>
      </c>
      <c r="D634">
        <v>0.4713018926192261</v>
      </c>
      <c r="E634">
        <v>-0.001160570551458</v>
      </c>
      <c r="F634">
        <v>0.200338326244878</v>
      </c>
      <c r="G634">
        <v>0.4533754117352251</v>
      </c>
      <c r="H634">
        <v>1.049092193788209</v>
      </c>
      <c r="I634">
        <v>1.773542538740887</v>
      </c>
    </row>
    <row r="635" spans="1:9">
      <c r="A635" s="1" t="s">
        <v>647</v>
      </c>
      <c r="B635">
        <f>HYPERLINK("https://www.suredividend.com/sure-analysis-research-database/","Graham Holdings Co.")</f>
        <v>0</v>
      </c>
      <c r="C635">
        <v>0.039098187361095</v>
      </c>
      <c r="D635">
        <v>0.026238735043927</v>
      </c>
      <c r="E635">
        <v>-0.112854840805796</v>
      </c>
      <c r="F635">
        <v>-0.013471892726833</v>
      </c>
      <c r="G635">
        <v>-0.008763778394752</v>
      </c>
      <c r="H635">
        <v>-0.083989384590425</v>
      </c>
      <c r="I635">
        <v>0.115310578980066</v>
      </c>
    </row>
    <row r="636" spans="1:9">
      <c r="A636" s="1" t="s">
        <v>648</v>
      </c>
      <c r="B636">
        <f>HYPERLINK("https://www.suredividend.com/sure-analysis-research-database/","Global Industrial Co")</f>
        <v>0</v>
      </c>
      <c r="C636">
        <v>0.138117562206995</v>
      </c>
      <c r="D636">
        <v>0.389867531003382</v>
      </c>
      <c r="E636">
        <v>0.117484597408115</v>
      </c>
      <c r="F636">
        <v>0.36254133819174</v>
      </c>
      <c r="G636">
        <v>0.02971020639882</v>
      </c>
      <c r="H636">
        <v>-0.115557610660389</v>
      </c>
      <c r="I636">
        <v>-0.011462462354291</v>
      </c>
    </row>
    <row r="637" spans="1:9">
      <c r="A637" s="1" t="s">
        <v>649</v>
      </c>
      <c r="B637">
        <f>HYPERLINK("https://www.suredividend.com/sure-analysis-research-database/","G-III Apparel Group Ltd.")</f>
        <v>0</v>
      </c>
      <c r="C637">
        <v>0.04262788365095201</v>
      </c>
      <c r="D637">
        <v>0.3906354515050161</v>
      </c>
      <c r="E637">
        <v>0.222941176470588</v>
      </c>
      <c r="F637">
        <v>0.516411378555798</v>
      </c>
      <c r="G637">
        <v>-0.08333333333333301</v>
      </c>
      <c r="H637">
        <v>-0.3125</v>
      </c>
      <c r="I637">
        <v>-0.523055746730901</v>
      </c>
    </row>
    <row r="638" spans="1:9">
      <c r="A638" s="1" t="s">
        <v>650</v>
      </c>
      <c r="B638">
        <f>HYPERLINK("https://www.suredividend.com/sure-analysis-research-database/","Glaukos Corporation")</f>
        <v>0</v>
      </c>
      <c r="C638">
        <v>0.06801549720189401</v>
      </c>
      <c r="D638">
        <v>0.6020232458028411</v>
      </c>
      <c r="E638">
        <v>0.444681677018633</v>
      </c>
      <c r="F638">
        <v>0.7039835164835161</v>
      </c>
      <c r="G638">
        <v>0.395126522961574</v>
      </c>
      <c r="H638">
        <v>0.5063752276867031</v>
      </c>
      <c r="I638">
        <v>0.8895658796648891</v>
      </c>
    </row>
    <row r="639" spans="1:9">
      <c r="A639" s="1" t="s">
        <v>651</v>
      </c>
      <c r="B639">
        <f>HYPERLINK("https://www.suredividend.com/sure-analysis-research-database/","Great Lakes Dredge &amp; Dock Corporation")</f>
        <v>0</v>
      </c>
      <c r="C639">
        <v>0.05946601941747501</v>
      </c>
      <c r="D639">
        <v>0.482173174872665</v>
      </c>
      <c r="E639">
        <v>0.265217391304347</v>
      </c>
      <c r="F639">
        <v>0.467226890756302</v>
      </c>
      <c r="G639">
        <v>-0.110091743119266</v>
      </c>
      <c r="H639">
        <v>-0.402054794520547</v>
      </c>
      <c r="I639">
        <v>0.662857142857143</v>
      </c>
    </row>
    <row r="640" spans="1:9">
      <c r="A640" s="1" t="s">
        <v>652</v>
      </c>
      <c r="B640">
        <f>HYPERLINK("https://www.suredividend.com/sure-analysis-research-database/","Golar Lng")</f>
        <v>0</v>
      </c>
      <c r="C640">
        <v>0.202891326021934</v>
      </c>
      <c r="D640">
        <v>0.15338103636998</v>
      </c>
      <c r="E640">
        <v>0.07081680290403</v>
      </c>
      <c r="F640">
        <v>0.083034111310592</v>
      </c>
      <c r="G640">
        <v>0.09602107558139501</v>
      </c>
      <c r="H640">
        <v>1.219626168224298</v>
      </c>
      <c r="I640">
        <v>-0.013192871105731</v>
      </c>
    </row>
    <row r="641" spans="1:9">
      <c r="A641" s="1" t="s">
        <v>653</v>
      </c>
      <c r="B641">
        <f>HYPERLINK("https://www.suredividend.com/sure-analysis-research-database/","Greenlight Capital Re Ltd")</f>
        <v>0</v>
      </c>
      <c r="C641">
        <v>0.060693641618497</v>
      </c>
      <c r="D641">
        <v>0.08259587020648901</v>
      </c>
      <c r="E641">
        <v>0.162618796198521</v>
      </c>
      <c r="F641">
        <v>0.350920245398773</v>
      </c>
      <c r="G641">
        <v>0.495923913043478</v>
      </c>
      <c r="H641">
        <v>0.26551724137931</v>
      </c>
      <c r="I641">
        <v>-0.196350364963503</v>
      </c>
    </row>
    <row r="642" spans="1:9">
      <c r="A642" s="1" t="s">
        <v>654</v>
      </c>
      <c r="B642">
        <f>HYPERLINK("https://www.suredividend.com/sure-analysis-research-database/","Glatfelter Corporation")</f>
        <v>0</v>
      </c>
      <c r="C642">
        <v>-0.182098765432098</v>
      </c>
      <c r="D642">
        <v>-0.392201834862385</v>
      </c>
      <c r="E642">
        <v>-0.428879310344827</v>
      </c>
      <c r="F642">
        <v>-0.04676258992805701</v>
      </c>
      <c r="G642">
        <v>-0.5375218150087261</v>
      </c>
      <c r="H642">
        <v>-0.822621454102464</v>
      </c>
      <c r="I642">
        <v>-0.817005379351301</v>
      </c>
    </row>
    <row r="643" spans="1:9">
      <c r="A643" s="1" t="s">
        <v>655</v>
      </c>
      <c r="B643">
        <f>HYPERLINK("https://www.suredividend.com/sure-analysis-research-database/","Monte Rosa Therapeutics Inc")</f>
        <v>0</v>
      </c>
      <c r="C643">
        <v>0.041860465116279</v>
      </c>
      <c r="D643">
        <v>0.368635437881873</v>
      </c>
      <c r="E643">
        <v>-0.181485992691839</v>
      </c>
      <c r="F643">
        <v>-0.116951379763469</v>
      </c>
      <c r="G643">
        <v>-0.25</v>
      </c>
      <c r="H643">
        <v>-0.756698044895003</v>
      </c>
      <c r="I643">
        <v>-0.682719546742209</v>
      </c>
    </row>
    <row r="644" spans="1:9">
      <c r="A644" s="1" t="s">
        <v>656</v>
      </c>
      <c r="B644">
        <f>HYPERLINK("https://www.suredividend.com/sure-analysis-GMRE/","Global Medical REIT Inc")</f>
        <v>0</v>
      </c>
      <c r="C644">
        <v>0.09837837837837801</v>
      </c>
      <c r="D644">
        <v>0.14576989873018</v>
      </c>
      <c r="E644">
        <v>-0.05695403579119301</v>
      </c>
      <c r="F644">
        <v>0.124092759780492</v>
      </c>
      <c r="G644">
        <v>-0.056919021275015</v>
      </c>
      <c r="H644">
        <v>-0.231694129568432</v>
      </c>
      <c r="I644">
        <v>0.7028408614765771</v>
      </c>
    </row>
    <row r="645" spans="1:9">
      <c r="A645" s="1" t="s">
        <v>657</v>
      </c>
      <c r="B645">
        <f>HYPERLINK("https://www.suredividend.com/sure-analysis-research-database/","GMS Inc")</f>
        <v>0</v>
      </c>
      <c r="C645">
        <v>0.062186559679036</v>
      </c>
      <c r="D645">
        <v>0.290114862513052</v>
      </c>
      <c r="E645">
        <v>0.214449541284403</v>
      </c>
      <c r="F645">
        <v>0.488554216867469</v>
      </c>
      <c r="G645">
        <v>0.410388127853881</v>
      </c>
      <c r="H645">
        <v>0.526879505664263</v>
      </c>
      <c r="I645">
        <v>1.945172824791418</v>
      </c>
    </row>
    <row r="646" spans="1:9">
      <c r="A646" s="1" t="s">
        <v>658</v>
      </c>
      <c r="B646">
        <f>HYPERLINK("https://www.suredividend.com/sure-analysis-research-database/","Genco Shipping &amp; Trading Limited")</f>
        <v>0</v>
      </c>
      <c r="C646">
        <v>0.051226551226551</v>
      </c>
      <c r="D646">
        <v>0.037180463705802</v>
      </c>
      <c r="E646">
        <v>-0.140281105066263</v>
      </c>
      <c r="F646">
        <v>-0.016025879127187</v>
      </c>
      <c r="G646">
        <v>-0.134685053866894</v>
      </c>
      <c r="H646">
        <v>0.013452415731118</v>
      </c>
      <c r="I646">
        <v>0.293019293232282</v>
      </c>
    </row>
    <row r="647" spans="1:9">
      <c r="A647" s="1" t="s">
        <v>659</v>
      </c>
      <c r="B647">
        <f>HYPERLINK("https://www.suredividend.com/sure-analysis-GNL/","Global Net Lease Inc")</f>
        <v>0</v>
      </c>
      <c r="C647">
        <v>0.03619825141545</v>
      </c>
      <c r="D647">
        <v>-0.007919731687381</v>
      </c>
      <c r="E647">
        <v>-0.246193491280543</v>
      </c>
      <c r="F647">
        <v>-0.07333467887010001</v>
      </c>
      <c r="G647">
        <v>-0.183067211288525</v>
      </c>
      <c r="H647">
        <v>-0.265023176825958</v>
      </c>
      <c r="I647">
        <v>-0.142543948682554</v>
      </c>
    </row>
    <row r="648" spans="1:9">
      <c r="A648" s="1" t="s">
        <v>660</v>
      </c>
      <c r="B648">
        <f>HYPERLINK("https://www.suredividend.com/sure-analysis-research-database/","Guaranty Bancshares, Inc. (TX)")</f>
        <v>0</v>
      </c>
      <c r="C648">
        <v>0.164184525971667</v>
      </c>
      <c r="D648">
        <v>0.405350416781769</v>
      </c>
      <c r="E648">
        <v>-0.04429919249991</v>
      </c>
      <c r="F648">
        <v>-0.05919857221274701</v>
      </c>
      <c r="G648">
        <v>-0.100704284632004</v>
      </c>
      <c r="H648">
        <v>0.008467349886252001</v>
      </c>
      <c r="I648">
        <v>0.332834300210009</v>
      </c>
    </row>
    <row r="649" spans="1:9">
      <c r="A649" s="1" t="s">
        <v>661</v>
      </c>
      <c r="B649">
        <f>HYPERLINK("https://www.suredividend.com/sure-analysis-research-database/","Genworth Financial Inc")</f>
        <v>0</v>
      </c>
      <c r="C649">
        <v>0.143129770992366</v>
      </c>
      <c r="D649">
        <v>0.09506398537477101</v>
      </c>
      <c r="E649">
        <v>0.041739130434782</v>
      </c>
      <c r="F649">
        <v>0.132325141776937</v>
      </c>
      <c r="G649">
        <v>0.412735849056603</v>
      </c>
      <c r="H649">
        <v>0.761764705882353</v>
      </c>
      <c r="I649">
        <v>0.307860262008733</v>
      </c>
    </row>
    <row r="650" spans="1:9">
      <c r="A650" s="1" t="s">
        <v>662</v>
      </c>
      <c r="B650">
        <f>HYPERLINK("https://www.suredividend.com/sure-analysis-research-database/","Canoo Inc")</f>
        <v>0</v>
      </c>
      <c r="C650">
        <v>0.199259259259259</v>
      </c>
      <c r="D650">
        <v>-0.194527363184079</v>
      </c>
      <c r="E650">
        <v>-0.48192</v>
      </c>
      <c r="F650">
        <v>-0.4734959349593491</v>
      </c>
      <c r="G650">
        <v>-0.8268449197860961</v>
      </c>
      <c r="H650">
        <v>-0.9173979591836731</v>
      </c>
      <c r="I650">
        <v>-0.934186991869918</v>
      </c>
    </row>
    <row r="651" spans="1:9">
      <c r="A651" s="1" t="s">
        <v>663</v>
      </c>
      <c r="B651">
        <f>HYPERLINK("https://www.suredividend.com/sure-analysis-research-database/","Golden Ocean Group Limited")</f>
        <v>0</v>
      </c>
      <c r="C651">
        <v>0.009296148738379001</v>
      </c>
      <c r="D651">
        <v>-0.076986604160847</v>
      </c>
      <c r="E651">
        <v>-0.142966688468391</v>
      </c>
      <c r="F651">
        <v>-0.084778420038535</v>
      </c>
      <c r="G651">
        <v>-0.243984203248878</v>
      </c>
      <c r="H651">
        <v>0.002453372727992</v>
      </c>
      <c r="I651">
        <v>0.181316546203466</v>
      </c>
    </row>
    <row r="652" spans="1:9">
      <c r="A652" s="1" t="s">
        <v>664</v>
      </c>
      <c r="B652">
        <f>HYPERLINK("https://www.suredividend.com/sure-analysis-research-database/","Gogo Inc")</f>
        <v>0</v>
      </c>
      <c r="C652">
        <v>-0.112160566706021</v>
      </c>
      <c r="D652">
        <v>0.193650793650793</v>
      </c>
      <c r="E652">
        <v>-0.097238895558223</v>
      </c>
      <c r="F652">
        <v>0.018970189701897</v>
      </c>
      <c r="G652">
        <v>-0.176792556102901</v>
      </c>
      <c r="H652">
        <v>0.439234449760765</v>
      </c>
      <c r="I652">
        <v>3</v>
      </c>
    </row>
    <row r="653" spans="1:9">
      <c r="A653" s="1" t="s">
        <v>665</v>
      </c>
      <c r="B653">
        <f>HYPERLINK("https://www.suredividend.com/sure-analysis-research-database/","Acushnet Holdings Corp")</f>
        <v>0</v>
      </c>
      <c r="C653">
        <v>0.056161395856052</v>
      </c>
      <c r="D653">
        <v>0.151849480567619</v>
      </c>
      <c r="E653">
        <v>0.177443179400519</v>
      </c>
      <c r="F653">
        <v>0.379878610575507</v>
      </c>
      <c r="G653">
        <v>0.212185689074683</v>
      </c>
      <c r="H653">
        <v>0.121546193575283</v>
      </c>
      <c r="I653">
        <v>1.417100643894647</v>
      </c>
    </row>
    <row r="654" spans="1:9">
      <c r="A654" s="1" t="s">
        <v>666</v>
      </c>
      <c r="B654">
        <f>HYPERLINK("https://www.suredividend.com/sure-analysis-GOOD/","Gladstone Commercial Corp")</f>
        <v>0</v>
      </c>
      <c r="C654">
        <v>0.070456216321023</v>
      </c>
      <c r="D654">
        <v>0.174603737456118</v>
      </c>
      <c r="E654">
        <v>-0.169273788550398</v>
      </c>
      <c r="F654">
        <v>-0.227067230567303</v>
      </c>
      <c r="G654">
        <v>-0.266683639020178</v>
      </c>
      <c r="H654">
        <v>-0.305788414787492</v>
      </c>
      <c r="I654">
        <v>-0.003766888970759</v>
      </c>
    </row>
    <row r="655" spans="1:9">
      <c r="A655" s="1" t="s">
        <v>667</v>
      </c>
      <c r="B655">
        <f>HYPERLINK("https://www.suredividend.com/sure-analysis-research-database/","Gossamer Bio Inc")</f>
        <v>0</v>
      </c>
      <c r="C655">
        <v>0.03030303030303</v>
      </c>
      <c r="D655">
        <v>0.014925373134328</v>
      </c>
      <c r="E655">
        <v>-0.5107913669064741</v>
      </c>
      <c r="F655">
        <v>-0.373271889400921</v>
      </c>
      <c r="G655">
        <v>-0.888979591836734</v>
      </c>
      <c r="H655">
        <v>-0.826751592356687</v>
      </c>
      <c r="I655">
        <v>-0.924191750278706</v>
      </c>
    </row>
    <row r="656" spans="1:9">
      <c r="A656" s="1" t="s">
        <v>668</v>
      </c>
      <c r="B656">
        <f>HYPERLINK("https://www.suredividend.com/sure-analysis-research-database/","Group 1 Automotive, Inc.")</f>
        <v>0</v>
      </c>
      <c r="C656">
        <v>0.036341046746389</v>
      </c>
      <c r="D656">
        <v>0.217248149068663</v>
      </c>
      <c r="E656">
        <v>0.136030405369458</v>
      </c>
      <c r="F656">
        <v>0.4857133951323011</v>
      </c>
      <c r="G656">
        <v>0.5178655712012701</v>
      </c>
      <c r="H656">
        <v>0.6003539820886501</v>
      </c>
      <c r="I656">
        <v>2.939673927482369</v>
      </c>
    </row>
    <row r="657" spans="1:9">
      <c r="A657" s="1" t="s">
        <v>669</v>
      </c>
      <c r="B657">
        <f>HYPERLINK("https://www.suredividend.com/sure-analysis-research-database/","Granite Point Mortgage Trust Inc")</f>
        <v>0</v>
      </c>
      <c r="C657">
        <v>0.070208728652751</v>
      </c>
      <c r="D657">
        <v>0.438041815400305</v>
      </c>
      <c r="E657">
        <v>-0.101080615855407</v>
      </c>
      <c r="F657">
        <v>0.137073849317554</v>
      </c>
      <c r="G657">
        <v>-0.371657754010695</v>
      </c>
      <c r="H657">
        <v>-0.493220476049276</v>
      </c>
      <c r="I657">
        <v>-0.530410890470838</v>
      </c>
    </row>
    <row r="658" spans="1:9">
      <c r="A658" s="1" t="s">
        <v>670</v>
      </c>
      <c r="B658">
        <f>HYPERLINK("https://www.suredividend.com/sure-analysis-research-database/","Gulfport Energy Corp.")</f>
        <v>0</v>
      </c>
      <c r="C658">
        <v>-0.003364090734333</v>
      </c>
      <c r="D658">
        <v>0.172831127700486</v>
      </c>
      <c r="E658">
        <v>0.6448286802030451</v>
      </c>
      <c r="F658">
        <v>0.408066268332428</v>
      </c>
      <c r="G658">
        <v>0.173362000678963</v>
      </c>
      <c r="H658">
        <v>0.465375918598077</v>
      </c>
      <c r="I658">
        <v>0.4213845099383131</v>
      </c>
    </row>
    <row r="659" spans="1:9">
      <c r="A659" s="1" t="s">
        <v>671</v>
      </c>
      <c r="B659">
        <f>HYPERLINK("https://www.suredividend.com/sure-analysis-research-database/","Green Plains Inc")</f>
        <v>0</v>
      </c>
      <c r="C659">
        <v>0.04013377926421401</v>
      </c>
      <c r="D659">
        <v>0.023332336224947</v>
      </c>
      <c r="E659">
        <v>0.00736160188457</v>
      </c>
      <c r="F659">
        <v>0.121639344262295</v>
      </c>
      <c r="G659">
        <v>-0.07988165680473301</v>
      </c>
      <c r="H659">
        <v>-0.09449444150344101</v>
      </c>
      <c r="I659">
        <v>1.03811713960596</v>
      </c>
    </row>
    <row r="660" spans="1:9">
      <c r="A660" s="1" t="s">
        <v>672</v>
      </c>
      <c r="B660">
        <f>HYPERLINK("https://www.suredividend.com/sure-analysis-research-database/","GoPro Inc.")</f>
        <v>0</v>
      </c>
      <c r="C660">
        <v>-0.016706443914081</v>
      </c>
      <c r="D660">
        <v>-0.007228915662650001</v>
      </c>
      <c r="E660">
        <v>-0.275922671353251</v>
      </c>
      <c r="F660">
        <v>-0.172690763052208</v>
      </c>
      <c r="G660">
        <v>-0.388724035608308</v>
      </c>
      <c r="H660">
        <v>-0.5908639523336641</v>
      </c>
      <c r="I660">
        <v>-0.4156028368794321</v>
      </c>
    </row>
    <row r="661" spans="1:9">
      <c r="A661" s="1" t="s">
        <v>673</v>
      </c>
      <c r="B661">
        <f>HYPERLINK("https://www.suredividend.com/sure-analysis-research-database/","Green Brick Partners Inc")</f>
        <v>0</v>
      </c>
      <c r="C661">
        <v>-0.076964381600143</v>
      </c>
      <c r="D661">
        <v>0.387409200968523</v>
      </c>
      <c r="E661">
        <v>0.587257617728531</v>
      </c>
      <c r="F661">
        <v>1.128353281056541</v>
      </c>
      <c r="G661">
        <v>0.9980627663696241</v>
      </c>
      <c r="H661">
        <v>0.9965156794425091</v>
      </c>
      <c r="I661">
        <v>4.486170212765957</v>
      </c>
    </row>
    <row r="662" spans="1:9">
      <c r="A662" s="1" t="s">
        <v>674</v>
      </c>
      <c r="B662">
        <f>HYPERLINK("https://www.suredividend.com/sure-analysis-GRC/","Gorman-Rupp Co.")</f>
        <v>0</v>
      </c>
      <c r="C662">
        <v>0.154624781849912</v>
      </c>
      <c r="D662">
        <v>0.315841812584029</v>
      </c>
      <c r="E662">
        <v>0.15842554979689</v>
      </c>
      <c r="F662">
        <v>0.308544303797468</v>
      </c>
      <c r="G662">
        <v>0.159660094792046</v>
      </c>
      <c r="H662">
        <v>-0.028262063738723</v>
      </c>
      <c r="I662">
        <v>-0.006323125215902001</v>
      </c>
    </row>
    <row r="663" spans="1:9">
      <c r="A663" s="1" t="s">
        <v>675</v>
      </c>
      <c r="B663">
        <f>HYPERLINK("https://www.suredividend.com/sure-analysis-research-database/","Greenidge Generation Holdings Inc")</f>
        <v>0</v>
      </c>
      <c r="C663">
        <v>0.6938202247191011</v>
      </c>
      <c r="D663">
        <v>0.306608884073672</v>
      </c>
      <c r="E663">
        <v>-0.299244625217896</v>
      </c>
      <c r="F663">
        <v>1.085783465928744</v>
      </c>
      <c r="G663">
        <v>-0.8097791798107251</v>
      </c>
      <c r="H663">
        <v>-0.98610599078341</v>
      </c>
      <c r="I663">
        <v>-0.98610599078341</v>
      </c>
    </row>
    <row r="664" spans="1:9">
      <c r="A664" s="1" t="s">
        <v>676</v>
      </c>
      <c r="B664">
        <f>HYPERLINK("https://www.suredividend.com/sure-analysis-research-database/","GreenLight Biosciences Holdings PBC")</f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>
      <c r="A665" s="1" t="s">
        <v>677</v>
      </c>
      <c r="B665">
        <f>HYPERLINK("https://www.suredividend.com/sure-analysis-research-database/","Groupon Inc")</f>
        <v>0</v>
      </c>
      <c r="C665">
        <v>0.256451612903225</v>
      </c>
      <c r="D665">
        <v>1.332335329341317</v>
      </c>
      <c r="E665">
        <v>-0.112756264236902</v>
      </c>
      <c r="F665">
        <v>-0.09207459207459201</v>
      </c>
      <c r="G665">
        <v>-0.3837025316455691</v>
      </c>
      <c r="H665">
        <v>-0.787854030501089</v>
      </c>
      <c r="I665">
        <v>-0.9198559670781891</v>
      </c>
    </row>
    <row r="666" spans="1:9">
      <c r="A666" s="1" t="s">
        <v>678</v>
      </c>
      <c r="B666">
        <f>HYPERLINK("https://www.suredividend.com/sure-analysis-research-database/","GrowGeneration Corp")</f>
        <v>0</v>
      </c>
      <c r="C666">
        <v>0.03342618384401101</v>
      </c>
      <c r="D666">
        <v>0.152173913043478</v>
      </c>
      <c r="E666">
        <v>-0.316758747697974</v>
      </c>
      <c r="F666">
        <v>-0.05357142857142801</v>
      </c>
      <c r="G666">
        <v>-0.242857142857142</v>
      </c>
      <c r="H666">
        <v>-0.9093131263749691</v>
      </c>
      <c r="I666">
        <v>-0.146577107103422</v>
      </c>
    </row>
    <row r="667" spans="1:9">
      <c r="A667" s="1" t="s">
        <v>679</v>
      </c>
      <c r="B667">
        <f>HYPERLINK("https://www.suredividend.com/sure-analysis-research-database/","Globalstar Inc.")</f>
        <v>0</v>
      </c>
      <c r="C667">
        <v>0.08333333333333301</v>
      </c>
      <c r="D667">
        <v>0.254557152048037</v>
      </c>
      <c r="E667">
        <v>-0.139705882352941</v>
      </c>
      <c r="F667">
        <v>-0.120300751879699</v>
      </c>
      <c r="G667">
        <v>-0.273291925465838</v>
      </c>
      <c r="H667">
        <v>-0.133333333333333</v>
      </c>
      <c r="I667">
        <v>1.487773761428874</v>
      </c>
    </row>
    <row r="668" spans="1:9">
      <c r="A668" s="1" t="s">
        <v>680</v>
      </c>
      <c r="B668">
        <f>HYPERLINK("https://www.suredividend.com/sure-analysis-research-database/","Great Southern Bancorp, Inc.")</f>
        <v>0</v>
      </c>
      <c r="C668">
        <v>0.065972222222222</v>
      </c>
      <c r="D668">
        <v>0.136162706065702</v>
      </c>
      <c r="E668">
        <v>-0.037706376806041</v>
      </c>
      <c r="F668">
        <v>-0.04935410785340801</v>
      </c>
      <c r="G668">
        <v>-0.06430015544199301</v>
      </c>
      <c r="H668">
        <v>0.120797011207969</v>
      </c>
      <c r="I668">
        <v>0.126600910903523</v>
      </c>
    </row>
    <row r="669" spans="1:9">
      <c r="A669" s="1" t="s">
        <v>681</v>
      </c>
      <c r="B669">
        <f>HYPERLINK("https://www.suredividend.com/sure-analysis-research-database/","Goosehead Insurance Inc")</f>
        <v>0</v>
      </c>
      <c r="C669">
        <v>0.028792021875502</v>
      </c>
      <c r="D669">
        <v>0.094268605645851</v>
      </c>
      <c r="E669">
        <v>0.427997320830542</v>
      </c>
      <c r="F669">
        <v>0.8625509609784501</v>
      </c>
      <c r="G669">
        <v>0.05318623415116001</v>
      </c>
      <c r="H669">
        <v>-0.459678189195422</v>
      </c>
      <c r="I669">
        <v>1.407951208493336</v>
      </c>
    </row>
    <row r="670" spans="1:9">
      <c r="A670" s="1" t="s">
        <v>682</v>
      </c>
      <c r="B670">
        <f>HYPERLINK("https://www.suredividend.com/sure-analysis-research-database/","Goodyear Tire &amp; Rubber Co.")</f>
        <v>0</v>
      </c>
      <c r="C670">
        <v>-0.037536443148688</v>
      </c>
      <c r="D670">
        <v>0.209249084249084</v>
      </c>
      <c r="E670">
        <v>0.152268760907504</v>
      </c>
      <c r="F670">
        <v>0.300985221674876</v>
      </c>
      <c r="G670">
        <v>0.03812893081761001</v>
      </c>
      <c r="H670">
        <v>-0.159452577975811</v>
      </c>
      <c r="I670">
        <v>-0.4326213709036381</v>
      </c>
    </row>
    <row r="671" spans="1:9">
      <c r="A671" s="1" t="s">
        <v>683</v>
      </c>
      <c r="B671">
        <f>HYPERLINK("https://www.suredividend.com/sure-analysis-research-database/","Chart Industries Inc")</f>
        <v>0</v>
      </c>
      <c r="C671">
        <v>0.082940802036919</v>
      </c>
      <c r="D671">
        <v>0.4503836317135551</v>
      </c>
      <c r="E671">
        <v>0.231398378691372</v>
      </c>
      <c r="F671">
        <v>0.47643842749284</v>
      </c>
      <c r="G671">
        <v>-0.09984126984126901</v>
      </c>
      <c r="H671">
        <v>0.035736028247899</v>
      </c>
      <c r="I671">
        <v>1.225958393301059</v>
      </c>
    </row>
    <row r="672" spans="1:9">
      <c r="A672" s="1" t="s">
        <v>684</v>
      </c>
      <c r="B672">
        <f>HYPERLINK("https://www.suredividend.com/sure-analysis-research-database/","Gray Television, Inc.")</f>
        <v>0</v>
      </c>
      <c r="C672">
        <v>0.08988764044943801</v>
      </c>
      <c r="D672">
        <v>0.203606683946396</v>
      </c>
      <c r="E672">
        <v>-0.327960093300385</v>
      </c>
      <c r="F672">
        <v>-0.204845614354676</v>
      </c>
      <c r="G672">
        <v>-0.540027608881207</v>
      </c>
      <c r="H672">
        <v>-0.586138238361619</v>
      </c>
      <c r="I672">
        <v>-0.390316295246143</v>
      </c>
    </row>
    <row r="673" spans="1:9">
      <c r="A673" s="1" t="s">
        <v>685</v>
      </c>
      <c r="B673">
        <f>HYPERLINK("https://www.suredividend.com/sure-analysis-research-database/","Getty Realty Corp.")</f>
        <v>0</v>
      </c>
      <c r="C673">
        <v>-0.084188911704312</v>
      </c>
      <c r="D673">
        <v>-0.05742976010047601</v>
      </c>
      <c r="E673">
        <v>-0.10027003426582</v>
      </c>
      <c r="F673">
        <v>-0.05455250231667901</v>
      </c>
      <c r="G673">
        <v>0.134868301478018</v>
      </c>
      <c r="H673">
        <v>0.110202339888339</v>
      </c>
      <c r="I673">
        <v>0.38761722743233</v>
      </c>
    </row>
    <row r="674" spans="1:9">
      <c r="A674" s="1" t="s">
        <v>686</v>
      </c>
      <c r="B674">
        <f>HYPERLINK("https://www.suredividend.com/sure-analysis-research-database/","Granite Construction Inc.")</f>
        <v>0</v>
      </c>
      <c r="C674">
        <v>0.048938826466916</v>
      </c>
      <c r="D674">
        <v>0.188939831323937</v>
      </c>
      <c r="E674">
        <v>-0.018934723312035</v>
      </c>
      <c r="F674">
        <v>0.205697573967723</v>
      </c>
      <c r="G674">
        <v>0.424536203429602</v>
      </c>
      <c r="H674">
        <v>0.104773325549165</v>
      </c>
      <c r="I674">
        <v>-0.129845812240569</v>
      </c>
    </row>
    <row r="675" spans="1:9">
      <c r="A675" s="1" t="s">
        <v>687</v>
      </c>
      <c r="B675">
        <f>HYPERLINK("https://www.suredividend.com/sure-analysis-research-database/","ESS Tech Inc")</f>
        <v>0</v>
      </c>
      <c r="C675">
        <v>0.19205298013245</v>
      </c>
      <c r="D675">
        <v>0.6071428571428571</v>
      </c>
      <c r="E675">
        <v>-0.262295081967213</v>
      </c>
      <c r="F675">
        <v>-0.259259259259259</v>
      </c>
      <c r="G675">
        <v>-0.5454545454545451</v>
      </c>
      <c r="H675">
        <v>-0.82725527831094</v>
      </c>
      <c r="I675">
        <v>-0.82725527831094</v>
      </c>
    </row>
    <row r="676" spans="1:9">
      <c r="A676" s="1" t="s">
        <v>688</v>
      </c>
      <c r="B676">
        <f>HYPERLINK("https://www.suredividend.com/sure-analysis-GWRS/","Global Water Resources Inc")</f>
        <v>0</v>
      </c>
      <c r="C676">
        <v>0.008544171231198001</v>
      </c>
      <c r="D676">
        <v>0.188447101995957</v>
      </c>
      <c r="E676">
        <v>-0.120345795101236</v>
      </c>
      <c r="F676">
        <v>-0.017932733010082</v>
      </c>
      <c r="G676">
        <v>-0.07289676167779501</v>
      </c>
      <c r="H676">
        <v>-0.239040332055127</v>
      </c>
      <c r="I676">
        <v>0.5156554378296191</v>
      </c>
    </row>
    <row r="677" spans="1:9">
      <c r="A677" s="1" t="s">
        <v>689</v>
      </c>
      <c r="B677">
        <f>HYPERLINK("https://www.suredividend.com/sure-analysis-research-database/","Hawaiian Holdings, Inc.")</f>
        <v>0</v>
      </c>
      <c r="C677">
        <v>-0.070524412296564</v>
      </c>
      <c r="D677">
        <v>0.269135802469135</v>
      </c>
      <c r="E677">
        <v>-0.072202166064981</v>
      </c>
      <c r="F677">
        <v>0.001949317738791</v>
      </c>
      <c r="G677">
        <v>-0.358302122347066</v>
      </c>
      <c r="H677">
        <v>-0.4654186167446691</v>
      </c>
      <c r="I677">
        <v>-0.7432227542606781</v>
      </c>
    </row>
    <row r="678" spans="1:9">
      <c r="A678" s="1" t="s">
        <v>690</v>
      </c>
      <c r="B678">
        <f>HYPERLINK("https://www.suredividend.com/sure-analysis-research-database/","Haemonetics Corp.")</f>
        <v>0</v>
      </c>
      <c r="C678">
        <v>0.09251311397234101</v>
      </c>
      <c r="D678">
        <v>0.120430370460936</v>
      </c>
      <c r="E678">
        <v>0.05176173533800001</v>
      </c>
      <c r="F678">
        <v>0.165162110616656</v>
      </c>
      <c r="G678">
        <v>0.336639439906651</v>
      </c>
      <c r="H678">
        <v>0.5177210997018881</v>
      </c>
      <c r="I678">
        <v>-0.052424775100816</v>
      </c>
    </row>
    <row r="679" spans="1:9">
      <c r="A679" s="1" t="s">
        <v>691</v>
      </c>
      <c r="B679">
        <f>HYPERLINK("https://www.suredividend.com/sure-analysis-research-database/","Hanmi Financial Corp.")</f>
        <v>0</v>
      </c>
      <c r="C679">
        <v>0.241830065359477</v>
      </c>
      <c r="D679">
        <v>0.352409424158303</v>
      </c>
      <c r="E679">
        <v>-0.183617348561018</v>
      </c>
      <c r="F679">
        <v>-0.196063248666099</v>
      </c>
      <c r="G679">
        <v>-0.206432076850788</v>
      </c>
      <c r="H679">
        <v>0.132732388992226</v>
      </c>
      <c r="I679">
        <v>-0.068832855497561</v>
      </c>
    </row>
    <row r="680" spans="1:9">
      <c r="A680" s="1" t="s">
        <v>692</v>
      </c>
      <c r="B680">
        <f>HYPERLINK("https://www.suredividend.com/sure-analysis-research-database/","Hain Celestial Group Inc")</f>
        <v>0</v>
      </c>
      <c r="C680">
        <v>-0.093076923076923</v>
      </c>
      <c r="D680">
        <v>-0.320069204152249</v>
      </c>
      <c r="E680">
        <v>-0.45366079703429</v>
      </c>
      <c r="F680">
        <v>-0.271322620519159</v>
      </c>
      <c r="G680">
        <v>-0.492685025817555</v>
      </c>
      <c r="H680">
        <v>-0.708168316831683</v>
      </c>
      <c r="I680">
        <v>-0.599524456521739</v>
      </c>
    </row>
    <row r="681" spans="1:9">
      <c r="A681" s="1" t="s">
        <v>693</v>
      </c>
      <c r="B681">
        <f>HYPERLINK("https://www.suredividend.com/sure-analysis-research-database/","Halozyme Therapeutics Inc.")</f>
        <v>0</v>
      </c>
      <c r="C681">
        <v>0.141540130151843</v>
      </c>
      <c r="D681">
        <v>0.299382716049382</v>
      </c>
      <c r="E681">
        <v>-0.200379867046533</v>
      </c>
      <c r="F681">
        <v>-0.260105448154657</v>
      </c>
      <c r="G681">
        <v>-0.113310867733782</v>
      </c>
      <c r="H681">
        <v>0.044665012406948</v>
      </c>
      <c r="I681">
        <v>1.45911214953271</v>
      </c>
    </row>
    <row r="682" spans="1:9">
      <c r="A682" s="1" t="s">
        <v>694</v>
      </c>
      <c r="B682">
        <f>HYPERLINK("https://www.suredividend.com/sure-analysis-HASI/","Hannon Armstrong Sustainable Infrastructure capital Inc")</f>
        <v>0</v>
      </c>
      <c r="C682">
        <v>-0.013742926434923</v>
      </c>
      <c r="D682">
        <v>-0.04389838677445</v>
      </c>
      <c r="E682">
        <v>-0.344718403476215</v>
      </c>
      <c r="F682">
        <v>-0.132398172346969</v>
      </c>
      <c r="G682">
        <v>-0.317215133199014</v>
      </c>
      <c r="H682">
        <v>-0.542381305151023</v>
      </c>
      <c r="I682">
        <v>0.553200292816448</v>
      </c>
    </row>
    <row r="683" spans="1:9">
      <c r="A683" s="1" t="s">
        <v>695</v>
      </c>
      <c r="B683">
        <f>HYPERLINK("https://www.suredividend.com/sure-analysis-research-database/","Haynes International Inc.")</f>
        <v>0</v>
      </c>
      <c r="C683">
        <v>-0.048589341692789</v>
      </c>
      <c r="D683">
        <v>0.058798647284429</v>
      </c>
      <c r="E683">
        <v>-0.108642460264286</v>
      </c>
      <c r="F683">
        <v>0.077860792591704</v>
      </c>
      <c r="G683">
        <v>0.236205338390845</v>
      </c>
      <c r="H683">
        <v>0.38036504629169</v>
      </c>
      <c r="I683">
        <v>0.341043782759744</v>
      </c>
    </row>
    <row r="684" spans="1:9">
      <c r="A684" s="1" t="s">
        <v>696</v>
      </c>
      <c r="B684">
        <f>HYPERLINK("https://www.suredividend.com/sure-analysis-research-database/","Home Bancorp Inc")</f>
        <v>0</v>
      </c>
      <c r="C684">
        <v>0.08845339798945701</v>
      </c>
      <c r="D684">
        <v>0.251988901134337</v>
      </c>
      <c r="E684">
        <v>-0.09066340647319901</v>
      </c>
      <c r="F684">
        <v>-0.08509663067994901</v>
      </c>
      <c r="G684">
        <v>-0.046240980052857</v>
      </c>
      <c r="H684">
        <v>0.075432471181271</v>
      </c>
      <c r="I684">
        <v>-0.108251638111199</v>
      </c>
    </row>
    <row r="685" spans="1:9">
      <c r="A685" s="1" t="s">
        <v>697</v>
      </c>
      <c r="B685">
        <f>HYPERLINK("https://www.suredividend.com/sure-analysis-research-database/","Horizon Bancorp Inc (IN)")</f>
        <v>0</v>
      </c>
      <c r="C685">
        <v>0.197024238060955</v>
      </c>
      <c r="D685">
        <v>0.405038759689922</v>
      </c>
      <c r="E685">
        <v>-0.188098183475486</v>
      </c>
      <c r="F685">
        <v>-0.102593626759549</v>
      </c>
      <c r="G685">
        <v>-0.285460525561833</v>
      </c>
      <c r="H685">
        <v>-0.167217625334749</v>
      </c>
      <c r="I685">
        <v>-0.254819471501476</v>
      </c>
    </row>
    <row r="686" spans="1:9">
      <c r="A686" s="1" t="s">
        <v>698</v>
      </c>
      <c r="B686">
        <f>HYPERLINK("https://www.suredividend.com/sure-analysis-research-database/","HBT Financial Inc")</f>
        <v>0</v>
      </c>
      <c r="C686">
        <v>0.097214636810486</v>
      </c>
      <c r="D686">
        <v>0.172720957790217</v>
      </c>
      <c r="E686">
        <v>-0.08985475730970301</v>
      </c>
      <c r="F686">
        <v>0.054781430806547</v>
      </c>
      <c r="G686">
        <v>0.152934559916442</v>
      </c>
      <c r="H686">
        <v>0.336917968204111</v>
      </c>
      <c r="I686">
        <v>0.488093033591348</v>
      </c>
    </row>
    <row r="687" spans="1:9">
      <c r="A687" s="1" t="s">
        <v>699</v>
      </c>
      <c r="B687">
        <f>HYPERLINK("https://www.suredividend.com/sure-analysis-research-database/","Health Catalyst Inc")</f>
        <v>0</v>
      </c>
      <c r="C687">
        <v>0.154664484451718</v>
      </c>
      <c r="D687">
        <v>0.123407643312101</v>
      </c>
      <c r="E687">
        <v>-0.030240549828178</v>
      </c>
      <c r="F687">
        <v>0.3273753527751641</v>
      </c>
      <c r="G687">
        <v>-0.211731843575418</v>
      </c>
      <c r="H687">
        <v>-0.7542240027869701</v>
      </c>
      <c r="I687">
        <v>-0.6397753382690831</v>
      </c>
    </row>
    <row r="688" spans="1:9">
      <c r="A688" s="1" t="s">
        <v>700</v>
      </c>
      <c r="B688">
        <f>HYPERLINK("https://www.suredividend.com/sure-analysis-research-database/","Warrior Met Coal Inc")</f>
        <v>0</v>
      </c>
      <c r="C688">
        <v>-0.034595959595959</v>
      </c>
      <c r="D688">
        <v>0.140513126491646</v>
      </c>
      <c r="E688">
        <v>0.038398752726373</v>
      </c>
      <c r="F688">
        <v>0.134923155935413</v>
      </c>
      <c r="G688">
        <v>0.281058892519058</v>
      </c>
      <c r="H688">
        <v>1.130101685471513</v>
      </c>
      <c r="I688">
        <v>0.9644921764600081</v>
      </c>
    </row>
    <row r="689" spans="1:9">
      <c r="A689" s="1" t="s">
        <v>701</v>
      </c>
      <c r="B689">
        <f>HYPERLINK("https://www.suredividend.com/sure-analysis-research-database/","Heritage-Crystal Clean Inc")</f>
        <v>0</v>
      </c>
      <c r="C689">
        <v>0.214323189926547</v>
      </c>
      <c r="D689">
        <v>0.380966587112171</v>
      </c>
      <c r="E689">
        <v>0.223955579058699</v>
      </c>
      <c r="F689">
        <v>0.425184729064039</v>
      </c>
      <c r="G689">
        <v>0.312819058423142</v>
      </c>
      <c r="H689">
        <v>0.600069132388524</v>
      </c>
      <c r="I689">
        <v>0.9368200836820081</v>
      </c>
    </row>
    <row r="690" spans="1:9">
      <c r="A690" s="1" t="s">
        <v>702</v>
      </c>
      <c r="B690">
        <f>HYPERLINK("https://www.suredividend.com/sure-analysis-research-database/","HCI Group Inc")</f>
        <v>0</v>
      </c>
      <c r="C690">
        <v>-0.022096774193548</v>
      </c>
      <c r="D690">
        <v>0.244059783813064</v>
      </c>
      <c r="E690">
        <v>0.219536724891181</v>
      </c>
      <c r="F690">
        <v>0.5543802347849941</v>
      </c>
      <c r="G690">
        <v>-0.09657135193932401</v>
      </c>
      <c r="H690">
        <v>-0.371833525005439</v>
      </c>
      <c r="I690">
        <v>0.7935535019109931</v>
      </c>
    </row>
    <row r="691" spans="1:9">
      <c r="A691" s="1" t="s">
        <v>703</v>
      </c>
      <c r="B691">
        <f>HYPERLINK("https://www.suredividend.com/sure-analysis-research-database/","Hackett Group Inc (The)")</f>
        <v>0</v>
      </c>
      <c r="C691">
        <v>0.06230389959659301</v>
      </c>
      <c r="D691">
        <v>0.264613759211137</v>
      </c>
      <c r="E691">
        <v>0.065470223029441</v>
      </c>
      <c r="F691">
        <v>0.182634730538922</v>
      </c>
      <c r="G691">
        <v>0.104246456626876</v>
      </c>
      <c r="H691">
        <v>0.396771512933396</v>
      </c>
      <c r="I691">
        <v>0.4792253103564491</v>
      </c>
    </row>
    <row r="692" spans="1:9">
      <c r="A692" s="1" t="s">
        <v>704</v>
      </c>
      <c r="B692">
        <f>HYPERLINK("https://www.suredividend.com/sure-analysis-research-database/","Healthcare Services Group, Inc.")</f>
        <v>0</v>
      </c>
      <c r="C692">
        <v>-0.141318977119784</v>
      </c>
      <c r="D692">
        <v>-0.156084656084656</v>
      </c>
      <c r="E692">
        <v>-0.087267525035765</v>
      </c>
      <c r="F692">
        <v>0.06333333333333301</v>
      </c>
      <c r="G692">
        <v>-0.08503574527280401</v>
      </c>
      <c r="H692">
        <v>-0.471834629601268</v>
      </c>
      <c r="I692">
        <v>-0.6263039823812281</v>
      </c>
    </row>
    <row r="693" spans="1:9">
      <c r="A693" s="1" t="s">
        <v>705</v>
      </c>
      <c r="B693">
        <f>HYPERLINK("https://www.suredividend.com/sure-analysis-research-database/","Hudson Technologies, Inc.")</f>
        <v>0</v>
      </c>
      <c r="C693">
        <v>0.119999999999999</v>
      </c>
      <c r="D693">
        <v>0.436842105263157</v>
      </c>
      <c r="E693">
        <v>-0.034482758620689</v>
      </c>
      <c r="F693">
        <v>0.079051383399209</v>
      </c>
      <c r="G693">
        <v>0.174193548387096</v>
      </c>
      <c r="H693">
        <v>2.041782729805014</v>
      </c>
      <c r="I693">
        <v>4.808510638297872</v>
      </c>
    </row>
    <row r="694" spans="1:9">
      <c r="A694" s="1" t="s">
        <v>706</v>
      </c>
      <c r="B694">
        <f>HYPERLINK("https://www.suredividend.com/sure-analysis-research-database/","Turtle Beach Corp")</f>
        <v>0</v>
      </c>
      <c r="C694">
        <v>-0.033670033670033</v>
      </c>
      <c r="D694">
        <v>0.0177304964539</v>
      </c>
      <c r="E694">
        <v>0.230439442658092</v>
      </c>
      <c r="F694">
        <v>0.6011157601115761</v>
      </c>
      <c r="G694">
        <v>-0.140718562874251</v>
      </c>
      <c r="H694">
        <v>-0.6132075471698111</v>
      </c>
      <c r="I694">
        <v>-0.6449118465821211</v>
      </c>
    </row>
    <row r="695" spans="1:9">
      <c r="A695" s="1" t="s">
        <v>707</v>
      </c>
      <c r="B695">
        <f>HYPERLINK("https://www.suredividend.com/sure-analysis-research-database/","H&amp;E Equipment Services Inc")</f>
        <v>0</v>
      </c>
      <c r="C695">
        <v>0.06951754385964901</v>
      </c>
      <c r="D695">
        <v>0.440508505114292</v>
      </c>
      <c r="E695">
        <v>-0.027391386720113</v>
      </c>
      <c r="F695">
        <v>0.09600677784794301</v>
      </c>
      <c r="G695">
        <v>0.447769568043982</v>
      </c>
      <c r="H695">
        <v>0.495934261096814</v>
      </c>
      <c r="I695">
        <v>0.611597421179767</v>
      </c>
    </row>
    <row r="696" spans="1:9">
      <c r="A696" s="1" t="s">
        <v>708</v>
      </c>
      <c r="B696">
        <f>HYPERLINK("https://www.suredividend.com/sure-analysis-research-database/","Helen of Troy Ltd")</f>
        <v>0</v>
      </c>
      <c r="C696">
        <v>0.257786252610551</v>
      </c>
      <c r="D696">
        <v>0.43588680418783</v>
      </c>
      <c r="E696">
        <v>0.156550054270685</v>
      </c>
      <c r="F696">
        <v>0.248940582454242</v>
      </c>
      <c r="G696">
        <v>0.044251790425932</v>
      </c>
      <c r="H696">
        <v>-0.393626335142706</v>
      </c>
      <c r="I696">
        <v>0.204521739130434</v>
      </c>
    </row>
    <row r="697" spans="1:9">
      <c r="A697" s="1" t="s">
        <v>709</v>
      </c>
      <c r="B697">
        <f>HYPERLINK("https://www.suredividend.com/sure-analysis-research-database/","HF Foods Group Inc.")</f>
        <v>0</v>
      </c>
      <c r="C697">
        <v>0.11344537815126</v>
      </c>
      <c r="D697">
        <v>0.4133333333333331</v>
      </c>
      <c r="E697">
        <v>-0.056939501779359</v>
      </c>
      <c r="F697">
        <v>0.305418719211822</v>
      </c>
      <c r="G697">
        <v>0</v>
      </c>
      <c r="H697">
        <v>0.03112840466926</v>
      </c>
      <c r="I697">
        <v>-0.4829268292682921</v>
      </c>
    </row>
    <row r="698" spans="1:9">
      <c r="A698" s="1" t="s">
        <v>710</v>
      </c>
      <c r="B698">
        <f>HYPERLINK("https://www.suredividend.com/sure-analysis-research-database/","Heritage Financial Corp.")</f>
        <v>0</v>
      </c>
      <c r="C698">
        <v>0.189978210787221</v>
      </c>
      <c r="D698">
        <v>0.209145351197726</v>
      </c>
      <c r="E698">
        <v>-0.324331510044631</v>
      </c>
      <c r="F698">
        <v>-0.340869871943396</v>
      </c>
      <c r="G698">
        <v>-0.20985975632506</v>
      </c>
      <c r="H698">
        <v>-0.134780812652355</v>
      </c>
      <c r="I698">
        <v>-0.344228453466368</v>
      </c>
    </row>
    <row r="699" spans="1:9">
      <c r="A699" s="1" t="s">
        <v>711</v>
      </c>
      <c r="B699">
        <f>HYPERLINK("https://www.suredividend.com/sure-analysis-research-database/","Hilton Grand Vacations Inc")</f>
        <v>0</v>
      </c>
      <c r="C699">
        <v>-0.041675710874755</v>
      </c>
      <c r="D699">
        <v>0.036384976525821</v>
      </c>
      <c r="E699">
        <v>-0.096397871469504</v>
      </c>
      <c r="F699">
        <v>0.145563051375194</v>
      </c>
      <c r="G699">
        <v>0.04250295159386</v>
      </c>
      <c r="H699">
        <v>0.104302151075537</v>
      </c>
      <c r="I699">
        <v>0.303128689492325</v>
      </c>
    </row>
    <row r="700" spans="1:9">
      <c r="A700" s="1" t="s">
        <v>712</v>
      </c>
      <c r="B700">
        <f>HYPERLINK("https://www.suredividend.com/sure-analysis-HI/","Hillenbrand Inc")</f>
        <v>0</v>
      </c>
      <c r="C700">
        <v>-0.06985719799305201</v>
      </c>
      <c r="D700">
        <v>0.05639204856773401</v>
      </c>
      <c r="E700">
        <v>-0.013627089647381</v>
      </c>
      <c r="F700">
        <v>0.140094424417889</v>
      </c>
      <c r="G700">
        <v>0.066593495107389</v>
      </c>
      <c r="H700">
        <v>0.118866833955054</v>
      </c>
      <c r="I700">
        <v>0.03465004357551001</v>
      </c>
    </row>
    <row r="701" spans="1:9">
      <c r="A701" s="1" t="s">
        <v>713</v>
      </c>
      <c r="B701">
        <f>HYPERLINK("https://www.suredividend.com/sure-analysis-research-database/","Hibbett Inc")</f>
        <v>0</v>
      </c>
      <c r="C701">
        <v>0.232450150232176</v>
      </c>
      <c r="D701">
        <v>-0.139932521301538</v>
      </c>
      <c r="E701">
        <v>-0.346373036728852</v>
      </c>
      <c r="F701">
        <v>-0.327019166231635</v>
      </c>
      <c r="G701">
        <v>-0.074879028951037</v>
      </c>
      <c r="H701">
        <v>-0.473997745371541</v>
      </c>
      <c r="I701">
        <v>0.9538980525976181</v>
      </c>
    </row>
    <row r="702" spans="1:9">
      <c r="A702" s="1" t="s">
        <v>714</v>
      </c>
      <c r="B702">
        <f>HYPERLINK("https://www.suredividend.com/sure-analysis-HIFS/","Hingham Institution For Savings")</f>
        <v>0</v>
      </c>
      <c r="C702">
        <v>0.03781490855113</v>
      </c>
      <c r="D702">
        <v>0.237562645561257</v>
      </c>
      <c r="E702">
        <v>-0.271604182629851</v>
      </c>
      <c r="F702">
        <v>-0.183576736596189</v>
      </c>
      <c r="G702">
        <v>-0.245380780234361</v>
      </c>
      <c r="H702">
        <v>-0.234284141348105</v>
      </c>
      <c r="I702">
        <v>0.058394316802045</v>
      </c>
    </row>
    <row r="703" spans="1:9">
      <c r="A703" s="1" t="s">
        <v>715</v>
      </c>
      <c r="B703">
        <f>HYPERLINK("https://www.suredividend.com/sure-analysis-research-database/","Hims &amp; Hers Health Inc")</f>
        <v>0</v>
      </c>
      <c r="C703">
        <v>-0.099890230515916</v>
      </c>
      <c r="D703">
        <v>-0.308600337268128</v>
      </c>
      <c r="E703">
        <v>0.039290240811153</v>
      </c>
      <c r="F703">
        <v>0.279251170046801</v>
      </c>
      <c r="G703">
        <v>0.257668711656441</v>
      </c>
      <c r="H703">
        <v>0.003671970624234</v>
      </c>
      <c r="I703">
        <v>-0.163265306122449</v>
      </c>
    </row>
    <row r="704" spans="1:9">
      <c r="A704" s="1" t="s">
        <v>716</v>
      </c>
      <c r="B704">
        <f>HYPERLINK("https://www.suredividend.com/sure-analysis-research-database/","Hippo Holdings Inc")</f>
        <v>0</v>
      </c>
      <c r="C704">
        <v>-0.025564803804994</v>
      </c>
      <c r="D704">
        <v>-0.121650589496248</v>
      </c>
      <c r="E704">
        <v>-0.13004246284501</v>
      </c>
      <c r="F704">
        <v>0.205147058823529</v>
      </c>
      <c r="G704">
        <v>-0.21012048192771</v>
      </c>
      <c r="H704">
        <v>-0.9338446014127141</v>
      </c>
      <c r="I704">
        <v>-0.9338446014127141</v>
      </c>
    </row>
    <row r="705" spans="1:9">
      <c r="A705" s="1" t="s">
        <v>717</v>
      </c>
      <c r="B705">
        <f>HYPERLINK("https://www.suredividend.com/sure-analysis-research-database/","Hecla Mining Co.")</f>
        <v>0</v>
      </c>
      <c r="C705">
        <v>-0.016981132075471</v>
      </c>
      <c r="D705">
        <v>-0.123338381288911</v>
      </c>
      <c r="E705">
        <v>-0.120793816868608</v>
      </c>
      <c r="F705">
        <v>-0.060702760199758</v>
      </c>
      <c r="G705">
        <v>0.186842225158321</v>
      </c>
      <c r="H705">
        <v>-0.205199005354609</v>
      </c>
      <c r="I705">
        <v>0.743116196594064</v>
      </c>
    </row>
    <row r="706" spans="1:9">
      <c r="A706" s="1" t="s">
        <v>718</v>
      </c>
      <c r="B706">
        <f>HYPERLINK("https://www.suredividend.com/sure-analysis-research-database/","Herbalife Ltd")</f>
        <v>0</v>
      </c>
      <c r="C706">
        <v>0.34240687679083</v>
      </c>
      <c r="D706">
        <v>0.363901018922852</v>
      </c>
      <c r="E706">
        <v>0.127557160048134</v>
      </c>
      <c r="F706">
        <v>0.259408602150537</v>
      </c>
      <c r="G706">
        <v>-0.318545454545454</v>
      </c>
      <c r="H706">
        <v>-0.6308843805396881</v>
      </c>
      <c r="I706">
        <v>-0.6823728813559321</v>
      </c>
    </row>
    <row r="707" spans="1:9">
      <c r="A707" s="1" t="s">
        <v>719</v>
      </c>
      <c r="B707">
        <f>HYPERLINK("https://www.suredividend.com/sure-analysis-research-database/","Heliogen Inc")</f>
        <v>0</v>
      </c>
      <c r="C707">
        <v>0.023904382470119</v>
      </c>
      <c r="D707">
        <v>-0.06985161056822201</v>
      </c>
      <c r="E707">
        <v>-0.628505348366579</v>
      </c>
      <c r="F707">
        <v>-0.6319106273274131</v>
      </c>
      <c r="G707">
        <v>-0.9033834586466161</v>
      </c>
      <c r="H707">
        <v>-0.973961499493414</v>
      </c>
      <c r="I707">
        <v>-0.9732570239334021</v>
      </c>
    </row>
    <row r="708" spans="1:9">
      <c r="A708" s="1" t="s">
        <v>720</v>
      </c>
      <c r="B708">
        <f>HYPERLINK("https://www.suredividend.com/sure-analysis-HLI/","Houlihan Lokey Inc")</f>
        <v>0</v>
      </c>
      <c r="C708">
        <v>0.014988859631355</v>
      </c>
      <c r="D708">
        <v>0.152237446912228</v>
      </c>
      <c r="E708">
        <v>0.006320884020062</v>
      </c>
      <c r="F708">
        <v>0.16357235987382</v>
      </c>
      <c r="G708">
        <v>0.190669956790394</v>
      </c>
      <c r="H708">
        <v>0.251245377433636</v>
      </c>
      <c r="I708">
        <v>1.328445039217872</v>
      </c>
    </row>
    <row r="709" spans="1:9">
      <c r="A709" s="1" t="s">
        <v>721</v>
      </c>
      <c r="B709">
        <f>HYPERLINK("https://www.suredividend.com/sure-analysis-research-database/","Helios Technologies Inc")</f>
        <v>0</v>
      </c>
      <c r="C709">
        <v>-0.029217284330309</v>
      </c>
      <c r="D709">
        <v>0.029075918189034</v>
      </c>
      <c r="E709">
        <v>-0.09072708705715601</v>
      </c>
      <c r="F709">
        <v>0.16473865795834</v>
      </c>
      <c r="G709">
        <v>-0.06836377052204301</v>
      </c>
      <c r="H709">
        <v>-0.208293045695273</v>
      </c>
      <c r="I709">
        <v>0.238972788915383</v>
      </c>
    </row>
    <row r="710" spans="1:9">
      <c r="A710" s="1" t="s">
        <v>722</v>
      </c>
      <c r="B710">
        <f>HYPERLINK("https://www.suredividend.com/sure-analysis-research-database/","Harmonic, Inc.")</f>
        <v>0</v>
      </c>
      <c r="C710">
        <v>-0.334763948497854</v>
      </c>
      <c r="D710">
        <v>-0.19090231170768</v>
      </c>
      <c r="E710">
        <v>-0.2407277816655</v>
      </c>
      <c r="F710">
        <v>-0.171755725190839</v>
      </c>
      <c r="G710">
        <v>-0.026032315978456</v>
      </c>
      <c r="H710">
        <v>0.020696142991533</v>
      </c>
      <c r="I710">
        <v>1.106796116504854</v>
      </c>
    </row>
    <row r="711" spans="1:9">
      <c r="A711" s="1" t="s">
        <v>723</v>
      </c>
      <c r="B711">
        <f>HYPERLINK("https://www.suredividend.com/sure-analysis-research-database/","Holley Inc")</f>
        <v>0</v>
      </c>
      <c r="C711">
        <v>0.465227817745803</v>
      </c>
      <c r="D711">
        <v>1.841860465116279</v>
      </c>
      <c r="E711">
        <v>0.7557471264367811</v>
      </c>
      <c r="F711">
        <v>1.882075471698113</v>
      </c>
      <c r="G711">
        <v>0.014950166112956</v>
      </c>
      <c r="H711">
        <v>-0.475536480686695</v>
      </c>
      <c r="I711">
        <v>-0.373333333333333</v>
      </c>
    </row>
    <row r="712" spans="1:9">
      <c r="A712" s="1" t="s">
        <v>724</v>
      </c>
      <c r="B712">
        <f>HYPERLINK("https://www.suredividend.com/sure-analysis-research-database/","Hillman Solutions Corp")</f>
        <v>0</v>
      </c>
      <c r="C712">
        <v>0.078539823008849</v>
      </c>
      <c r="D712">
        <v>0.189024390243902</v>
      </c>
      <c r="E712">
        <v>-0.005102040816326</v>
      </c>
      <c r="F712">
        <v>0.352288488210818</v>
      </c>
      <c r="G712">
        <v>0.05291576673866</v>
      </c>
      <c r="H712">
        <v>-0.213709677419354</v>
      </c>
      <c r="I712">
        <v>-0.006116207951070001</v>
      </c>
    </row>
    <row r="713" spans="1:9">
      <c r="A713" s="1" t="s">
        <v>725</v>
      </c>
      <c r="B713">
        <f>HYPERLINK("https://www.suredividend.com/sure-analysis-research-database/","Hamilton Lane Inc")</f>
        <v>0</v>
      </c>
      <c r="C713">
        <v>0.149981205362736</v>
      </c>
      <c r="D713">
        <v>0.326191339730687</v>
      </c>
      <c r="E713">
        <v>0.169864951850459</v>
      </c>
      <c r="F713">
        <v>0.462697080821264</v>
      </c>
      <c r="G713">
        <v>0.283284582128535</v>
      </c>
      <c r="H713">
        <v>0.10492980722117</v>
      </c>
      <c r="I713">
        <v>1.134701576720635</v>
      </c>
    </row>
    <row r="714" spans="1:9">
      <c r="A714" s="1" t="s">
        <v>726</v>
      </c>
      <c r="B714">
        <f>HYPERLINK("https://www.suredividend.com/sure-analysis-research-database/","Cue Health Inc")</f>
        <v>0</v>
      </c>
      <c r="C714">
        <v>0.236330655610261</v>
      </c>
      <c r="D714">
        <v>-0.311146404851285</v>
      </c>
      <c r="E714">
        <v>-0.8165</v>
      </c>
      <c r="F714">
        <v>-0.76951690821256</v>
      </c>
      <c r="G714">
        <v>-0.8671030640668521</v>
      </c>
      <c r="H714">
        <v>-0.9761449999999999</v>
      </c>
      <c r="I714">
        <v>-0.9761449999999999</v>
      </c>
    </row>
    <row r="715" spans="1:9">
      <c r="A715" s="1" t="s">
        <v>727</v>
      </c>
      <c r="B715">
        <f>HYPERLINK("https://www.suredividend.com/sure-analysis-research-database/","HilleVax Inc")</f>
        <v>0</v>
      </c>
      <c r="C715">
        <v>-0.144311377245509</v>
      </c>
      <c r="D715">
        <v>0.027318475916606</v>
      </c>
      <c r="E715">
        <v>-0.172553561088593</v>
      </c>
      <c r="F715">
        <v>-0.14584578601315</v>
      </c>
      <c r="G715">
        <v>0.292043399638336</v>
      </c>
      <c r="H715">
        <v>-0.251440544787847</v>
      </c>
      <c r="I715">
        <v>-0.251440544787847</v>
      </c>
    </row>
    <row r="716" spans="1:9">
      <c r="A716" s="1" t="s">
        <v>728</v>
      </c>
      <c r="B716">
        <f>HYPERLINK("https://www.suredividend.com/sure-analysis-research-database/","Helix Energy Solutions Group Inc")</f>
        <v>0</v>
      </c>
      <c r="C716">
        <v>0.271028037383177</v>
      </c>
      <c r="D716">
        <v>0.438066465256797</v>
      </c>
      <c r="E716">
        <v>0.234760051880674</v>
      </c>
      <c r="F716">
        <v>0.289972899728997</v>
      </c>
      <c r="G716">
        <v>1.397984886649873</v>
      </c>
      <c r="H716">
        <v>1.255924170616114</v>
      </c>
      <c r="I716">
        <v>0.024757804090419</v>
      </c>
    </row>
    <row r="717" spans="1:9">
      <c r="A717" s="1" t="s">
        <v>729</v>
      </c>
      <c r="B717">
        <f>HYPERLINK("https://www.suredividend.com/sure-analysis-HMN/","Horace Mann Educators Corp.")</f>
        <v>0</v>
      </c>
      <c r="C717">
        <v>-0.044018817204301</v>
      </c>
      <c r="D717">
        <v>-0.113870036348459</v>
      </c>
      <c r="E717">
        <v>-0.200179924375536</v>
      </c>
      <c r="F717">
        <v>-0.223080914279472</v>
      </c>
      <c r="G717">
        <v>-0.113502801268828</v>
      </c>
      <c r="H717">
        <v>-0.215732759214795</v>
      </c>
      <c r="I717">
        <v>-0.241642743094151</v>
      </c>
    </row>
    <row r="718" spans="1:9">
      <c r="A718" s="1" t="s">
        <v>730</v>
      </c>
      <c r="B718">
        <f>HYPERLINK("https://www.suredividend.com/sure-analysis-research-database/","Home Point Capital Inc")</f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>
      <c r="A719" s="1" t="s">
        <v>731</v>
      </c>
      <c r="B719">
        <f>HYPERLINK("https://www.suredividend.com/sure-analysis-research-database/","HomeStreet Inc")</f>
        <v>0</v>
      </c>
      <c r="C719">
        <v>0.661417322834645</v>
      </c>
      <c r="D719">
        <v>0.9326591924965191</v>
      </c>
      <c r="E719">
        <v>-0.6291114142280591</v>
      </c>
      <c r="F719">
        <v>-0.599928707674922</v>
      </c>
      <c r="G719">
        <v>-0.6877876127145901</v>
      </c>
      <c r="H719">
        <v>-0.698374941390391</v>
      </c>
      <c r="I719">
        <v>-0.592604320324989</v>
      </c>
    </row>
    <row r="720" spans="1:9">
      <c r="A720" s="1" t="s">
        <v>732</v>
      </c>
      <c r="B720">
        <f>HYPERLINK("https://www.suredividend.com/sure-analysis-HNI/","HNI Corp.")</f>
        <v>0</v>
      </c>
      <c r="C720">
        <v>0.012583012932541</v>
      </c>
      <c r="D720">
        <v>0.146273522941297</v>
      </c>
      <c r="E720">
        <v>-0.08339318540642901</v>
      </c>
      <c r="F720">
        <v>0.041378343500282</v>
      </c>
      <c r="G720">
        <v>-0.111992545273973</v>
      </c>
      <c r="H720">
        <v>-0.185776238831475</v>
      </c>
      <c r="I720">
        <v>-0.189827114643518</v>
      </c>
    </row>
    <row r="721" spans="1:9">
      <c r="A721" s="1" t="s">
        <v>733</v>
      </c>
      <c r="B721">
        <f>HYPERLINK("https://www.suredividend.com/sure-analysis-research-database/","Honest Company Inc (The )")</f>
        <v>0</v>
      </c>
      <c r="C721">
        <v>-0.193181818181818</v>
      </c>
      <c r="D721">
        <v>-0.077922077922077</v>
      </c>
      <c r="E721">
        <v>-0.5942857142857141</v>
      </c>
      <c r="F721">
        <v>-0.528239202657807</v>
      </c>
      <c r="G721">
        <v>-0.6000000000000001</v>
      </c>
      <c r="H721">
        <v>-0.899788285109386</v>
      </c>
      <c r="I721">
        <v>-0.938260869565217</v>
      </c>
    </row>
    <row r="722" spans="1:9">
      <c r="A722" s="1" t="s">
        <v>734</v>
      </c>
      <c r="B722">
        <f>HYPERLINK("https://www.suredividend.com/sure-analysis-HOMB/","Home Bancshares Inc")</f>
        <v>0</v>
      </c>
      <c r="C722">
        <v>0.061851211072664</v>
      </c>
      <c r="D722">
        <v>0.206317072211958</v>
      </c>
      <c r="E722">
        <v>-0.0008465332834090001</v>
      </c>
      <c r="F722">
        <v>0.09472614009819001</v>
      </c>
      <c r="G722">
        <v>0.06552432042985501</v>
      </c>
      <c r="H722">
        <v>0.216798259309374</v>
      </c>
      <c r="I722">
        <v>0.211227163064232</v>
      </c>
    </row>
    <row r="723" spans="1:9">
      <c r="A723" s="1" t="s">
        <v>735</v>
      </c>
      <c r="B723">
        <f>HYPERLINK("https://www.suredividend.com/sure-analysis-research-database/","HarborOne Bancorp Inc.")</f>
        <v>0</v>
      </c>
      <c r="C723">
        <v>0.201547291669043</v>
      </c>
      <c r="D723">
        <v>0.282129333122283</v>
      </c>
      <c r="E723">
        <v>-0.219693657509985</v>
      </c>
      <c r="F723">
        <v>-0.220254139391605</v>
      </c>
      <c r="G723">
        <v>-0.23169530480464</v>
      </c>
      <c r="H723">
        <v>-0.1876379009736</v>
      </c>
      <c r="I723">
        <v>0.130544013914387</v>
      </c>
    </row>
    <row r="724" spans="1:9">
      <c r="A724" s="1" t="s">
        <v>736</v>
      </c>
      <c r="B724">
        <f>HYPERLINK("https://www.suredividend.com/sure-analysis-research-database/","Hope Bancorp Inc")</f>
        <v>0</v>
      </c>
      <c r="C724">
        <v>0.257128045619492</v>
      </c>
      <c r="D724">
        <v>0.3480392156862741</v>
      </c>
      <c r="E724">
        <v>-0.187555203606128</v>
      </c>
      <c r="F724">
        <v>-0.116443914476408</v>
      </c>
      <c r="G724">
        <v>-0.226133058696393</v>
      </c>
      <c r="H724">
        <v>-0.119142753359971</v>
      </c>
      <c r="I724">
        <v>-0.199898018866509</v>
      </c>
    </row>
    <row r="725" spans="1:9">
      <c r="A725" s="1" t="s">
        <v>737</v>
      </c>
      <c r="B725">
        <f>HYPERLINK("https://www.suredividend.com/sure-analysis-research-database/","Anywhere Real Estate Inc")</f>
        <v>0</v>
      </c>
      <c r="C725">
        <v>0.218840579710144</v>
      </c>
      <c r="D725">
        <v>0.4302721088435371</v>
      </c>
      <c r="E725">
        <v>-0.06866002214839401</v>
      </c>
      <c r="F725">
        <v>0.316118935837245</v>
      </c>
      <c r="G725">
        <v>-0.193672099712368</v>
      </c>
      <c r="H725">
        <v>-0.515273775216138</v>
      </c>
      <c r="I725">
        <v>-0.6338336011006761</v>
      </c>
    </row>
    <row r="726" spans="1:9">
      <c r="A726" s="1" t="s">
        <v>738</v>
      </c>
      <c r="B726">
        <f>HYPERLINK("https://www.suredividend.com/sure-analysis-research-database/","Hovnanian Enterprises, Inc.")</f>
        <v>0</v>
      </c>
      <c r="C726">
        <v>0.06406890032559601</v>
      </c>
      <c r="D726">
        <v>0.354411764705882</v>
      </c>
      <c r="E726">
        <v>0.417517839653001</v>
      </c>
      <c r="F726">
        <v>1.407557034220532</v>
      </c>
      <c r="G726">
        <v>1.238895027624309</v>
      </c>
      <c r="H726">
        <v>-0.050604441945459</v>
      </c>
      <c r="I726">
        <v>1.548679245283019</v>
      </c>
    </row>
    <row r="727" spans="1:9">
      <c r="A727" s="1" t="s">
        <v>739</v>
      </c>
      <c r="B727">
        <f>HYPERLINK("https://www.suredividend.com/sure-analysis-HP/","Helmerich &amp; Payne, Inc.")</f>
        <v>0</v>
      </c>
      <c r="C727">
        <v>0.246179494303973</v>
      </c>
      <c r="D727">
        <v>0.45478489618642</v>
      </c>
      <c r="E727">
        <v>0.002498982972046</v>
      </c>
      <c r="F727">
        <v>-0.08284646829429801</v>
      </c>
      <c r="G727">
        <v>0.069739374757012</v>
      </c>
      <c r="H727">
        <v>0.671200208667138</v>
      </c>
      <c r="I727">
        <v>-0.065465350330681</v>
      </c>
    </row>
    <row r="728" spans="1:9">
      <c r="A728" s="1" t="s">
        <v>740</v>
      </c>
      <c r="B728">
        <f>HYPERLINK("https://www.suredividend.com/sure-analysis-research-database/","HighPeak Energy Inc")</f>
        <v>0</v>
      </c>
      <c r="C728">
        <v>0.26478149100257</v>
      </c>
      <c r="D728">
        <v>-0.048355899419729</v>
      </c>
      <c r="E728">
        <v>-0.46325125732302</v>
      </c>
      <c r="F728">
        <v>-0.352367413023733</v>
      </c>
      <c r="G728">
        <v>-0.328446828549199</v>
      </c>
      <c r="H728">
        <v>0.402495225244913</v>
      </c>
      <c r="I728">
        <v>1.197344131483356</v>
      </c>
    </row>
    <row r="729" spans="1:9">
      <c r="A729" s="1" t="s">
        <v>741</v>
      </c>
      <c r="B729">
        <f>HYPERLINK("https://www.suredividend.com/sure-analysis-research-database/","Healthequity Inc")</f>
        <v>0</v>
      </c>
      <c r="C729">
        <v>0.115723673665651</v>
      </c>
      <c r="D729">
        <v>0.364366914935319</v>
      </c>
      <c r="E729">
        <v>0.159393737508327</v>
      </c>
      <c r="F729">
        <v>0.129299156391953</v>
      </c>
      <c r="G729">
        <v>0.182034301239599</v>
      </c>
      <c r="H729">
        <v>-0.035471802688097</v>
      </c>
      <c r="I729">
        <v>-0.111096922487549</v>
      </c>
    </row>
    <row r="730" spans="1:9">
      <c r="A730" s="1" t="s">
        <v>742</v>
      </c>
      <c r="B730">
        <f>HYPERLINK("https://www.suredividend.com/sure-analysis-research-database/","Herc Holdings Inc")</f>
        <v>0</v>
      </c>
      <c r="C730">
        <v>-0.038965742014919</v>
      </c>
      <c r="D730">
        <v>0.339987659470043</v>
      </c>
      <c r="E730">
        <v>-0.163536257793977</v>
      </c>
      <c r="F730">
        <v>0.01479323654724</v>
      </c>
      <c r="G730">
        <v>0.101169136392606</v>
      </c>
      <c r="H730">
        <v>0.08937666866989101</v>
      </c>
      <c r="I730">
        <v>1.440522719539447</v>
      </c>
    </row>
    <row r="731" spans="1:9">
      <c r="A731" s="1" t="s">
        <v>743</v>
      </c>
      <c r="B731">
        <f>HYPERLINK("https://www.suredividend.com/sure-analysis-research-database/","Harmony Biosciences Holdings Inc")</f>
        <v>0</v>
      </c>
      <c r="C731">
        <v>-0.065442020665901</v>
      </c>
      <c r="D731">
        <v>-0.09530425118088301</v>
      </c>
      <c r="E731">
        <v>-0.340089177138224</v>
      </c>
      <c r="F731">
        <v>-0.409074410163339</v>
      </c>
      <c r="G731">
        <v>-0.377675840978593</v>
      </c>
      <c r="H731">
        <v>0.198380566801619</v>
      </c>
      <c r="I731">
        <v>-0.120237773574709</v>
      </c>
    </row>
    <row r="732" spans="1:9">
      <c r="A732" s="1" t="s">
        <v>744</v>
      </c>
      <c r="B732">
        <f>HYPERLINK("https://www.suredividend.com/sure-analysis-research-database/","HireRight Holdings Corp")</f>
        <v>0</v>
      </c>
      <c r="C732">
        <v>-0.079677708146821</v>
      </c>
      <c r="D732">
        <v>0</v>
      </c>
      <c r="E732">
        <v>-0.126593033135089</v>
      </c>
      <c r="F732">
        <v>-0.133220910623946</v>
      </c>
      <c r="G732">
        <v>-0.31283422459893</v>
      </c>
      <c r="H732">
        <v>-0.404057971014492</v>
      </c>
      <c r="I732">
        <v>-0.404057971014492</v>
      </c>
    </row>
    <row r="733" spans="1:9">
      <c r="A733" s="1" t="s">
        <v>745</v>
      </c>
      <c r="B733">
        <f>HYPERLINK("https://www.suredividend.com/sure-analysis-research-database/","Heron Therapeutics Inc")</f>
        <v>0</v>
      </c>
      <c r="C733">
        <v>0.361344537815126</v>
      </c>
      <c r="D733">
        <v>-0.304721030042918</v>
      </c>
      <c r="E733">
        <v>-0.429577464788732</v>
      </c>
      <c r="F733">
        <v>-0.352</v>
      </c>
      <c r="G733">
        <v>-0.448979591836734</v>
      </c>
      <c r="H733">
        <v>-0.864207879295892</v>
      </c>
      <c r="I733">
        <v>-0.9557377049180321</v>
      </c>
    </row>
    <row r="734" spans="1:9">
      <c r="A734" s="1" t="s">
        <v>746</v>
      </c>
      <c r="B734">
        <f>HYPERLINK("https://www.suredividend.com/sure-analysis-research-database/","Enviri Corp")</f>
        <v>0</v>
      </c>
      <c r="C734">
        <v>-0.014008620689655</v>
      </c>
      <c r="D734">
        <v>0.347569955817378</v>
      </c>
      <c r="E734">
        <v>0.5534804753820031</v>
      </c>
      <c r="F734">
        <v>0.454689984101748</v>
      </c>
      <c r="G734">
        <v>0.24320652173913</v>
      </c>
      <c r="H734">
        <v>-0.556686046511627</v>
      </c>
      <c r="I734">
        <v>-0.634</v>
      </c>
    </row>
    <row r="735" spans="1:9">
      <c r="A735" s="1" t="s">
        <v>747</v>
      </c>
      <c r="B735">
        <f>HYPERLINK("https://www.suredividend.com/sure-analysis-research-database/","Heidrick &amp; Struggles International, Inc.")</f>
        <v>0</v>
      </c>
      <c r="C735">
        <v>0.057207376740684</v>
      </c>
      <c r="D735">
        <v>0.13445446027592</v>
      </c>
      <c r="E735">
        <v>-0.126951073206815</v>
      </c>
      <c r="F735">
        <v>0.021001592020994</v>
      </c>
      <c r="G735">
        <v>-0.08230205297753601</v>
      </c>
      <c r="H735">
        <v>-0.297888666988269</v>
      </c>
      <c r="I735">
        <v>-0.259116637038365</v>
      </c>
    </row>
    <row r="736" spans="1:9">
      <c r="A736" s="1" t="s">
        <v>748</v>
      </c>
      <c r="B736">
        <f>HYPERLINK("https://www.suredividend.com/sure-analysis-research-database/","Healthstream Inc")</f>
        <v>0</v>
      </c>
      <c r="C736">
        <v>-0.05831973898858001</v>
      </c>
      <c r="D736">
        <v>-0.046246117242746</v>
      </c>
      <c r="E736">
        <v>-0.06906797940580001</v>
      </c>
      <c r="F736">
        <v>-0.06681808812890701</v>
      </c>
      <c r="G736">
        <v>-0.06038902905509801</v>
      </c>
      <c r="H736">
        <v>-0.226810164985115</v>
      </c>
      <c r="I736">
        <v>-0.200681272955748</v>
      </c>
    </row>
    <row r="737" spans="1:9">
      <c r="A737" s="1" t="s">
        <v>749</v>
      </c>
      <c r="B737">
        <f>HYPERLINK("https://www.suredividend.com/sure-analysis-research-database/","Hersha Hospitality Trust")</f>
        <v>0</v>
      </c>
      <c r="C737">
        <v>-0.012759170653907</v>
      </c>
      <c r="D737">
        <v>0.036937766982159</v>
      </c>
      <c r="E737">
        <v>-0.325906323848105</v>
      </c>
      <c r="F737">
        <v>-0.26182100053664</v>
      </c>
      <c r="G737">
        <v>-0.406291962401688</v>
      </c>
      <c r="H737">
        <v>-0.302896526870579</v>
      </c>
      <c r="I737">
        <v>-0.653312573160008</v>
      </c>
    </row>
    <row r="738" spans="1:9">
      <c r="A738" s="1" t="s">
        <v>750</v>
      </c>
      <c r="B738">
        <f>HYPERLINK("https://www.suredividend.com/sure-analysis-research-database/","HomeTrust Bancshares Inc")</f>
        <v>0</v>
      </c>
      <c r="C738">
        <v>0.172675521821631</v>
      </c>
      <c r="D738">
        <v>0.219885314988995</v>
      </c>
      <c r="E738">
        <v>-0.111500887780261</v>
      </c>
      <c r="F738">
        <v>0.03737835353954901</v>
      </c>
      <c r="G738">
        <v>0.04964587190244001</v>
      </c>
      <c r="H738">
        <v>-0.02654553616785</v>
      </c>
      <c r="I738">
        <v>-0.091426996232656</v>
      </c>
    </row>
    <row r="739" spans="1:9">
      <c r="A739" s="1" t="s">
        <v>751</v>
      </c>
      <c r="B739">
        <f>HYPERLINK("https://www.suredividend.com/sure-analysis-research-database/","Heritage Commerce Corp.")</f>
        <v>0</v>
      </c>
      <c r="C739">
        <v>0.162707838479809</v>
      </c>
      <c r="D739">
        <v>0.346592941047013</v>
      </c>
      <c r="E739">
        <v>-0.185713810426855</v>
      </c>
      <c r="F739">
        <v>-0.21076392247912</v>
      </c>
      <c r="G739">
        <v>-0.104496725330211</v>
      </c>
      <c r="H739">
        <v>-0.009941041432804</v>
      </c>
      <c r="I739">
        <v>-0.156521664211188</v>
      </c>
    </row>
    <row r="740" spans="1:9">
      <c r="A740" s="1" t="s">
        <v>752</v>
      </c>
      <c r="B740">
        <f>HYPERLINK("https://www.suredividend.com/sure-analysis-research-database/","Hilltop Holdings Inc")</f>
        <v>0</v>
      </c>
      <c r="C740">
        <v>-0.04976228209191701</v>
      </c>
      <c r="D740">
        <v>0.006895115651879001</v>
      </c>
      <c r="E740">
        <v>-0.119568888301543</v>
      </c>
      <c r="F740">
        <v>0.0089316363</v>
      </c>
      <c r="G740">
        <v>0.082560591616835</v>
      </c>
      <c r="H740">
        <v>-0.03167876799049101</v>
      </c>
      <c r="I740">
        <v>0.5707601787669681</v>
      </c>
    </row>
    <row r="741" spans="1:9">
      <c r="A741" s="1" t="s">
        <v>753</v>
      </c>
      <c r="B741">
        <f>HYPERLINK("https://www.suredividend.com/sure-analysis-research-database/","Heartland Express, Inc.")</f>
        <v>0</v>
      </c>
      <c r="C741">
        <v>-0.041237113402061</v>
      </c>
      <c r="D741">
        <v>0.059473948735131</v>
      </c>
      <c r="E741">
        <v>-0.027549683538464</v>
      </c>
      <c r="F741">
        <v>0.03457753114857001</v>
      </c>
      <c r="G741">
        <v>0.025278530758356</v>
      </c>
      <c r="H741">
        <v>-0.06352732119058101</v>
      </c>
      <c r="I741">
        <v>-0.156079854809437</v>
      </c>
    </row>
    <row r="742" spans="1:9">
      <c r="A742" s="1" t="s">
        <v>754</v>
      </c>
      <c r="B742">
        <f>HYPERLINK("https://www.suredividend.com/sure-analysis-research-database/","Heartland Financial USA, Inc.")</f>
        <v>0</v>
      </c>
      <c r="C742">
        <v>0.151292802236198</v>
      </c>
      <c r="D742">
        <v>0.115761528407051</v>
      </c>
      <c r="E742">
        <v>-0.334952053978883</v>
      </c>
      <c r="F742">
        <v>-0.272898190299865</v>
      </c>
      <c r="G742">
        <v>-0.233947183041287</v>
      </c>
      <c r="H742">
        <v>-0.226507664499166</v>
      </c>
      <c r="I742">
        <v>-0.380094932958066</v>
      </c>
    </row>
    <row r="743" spans="1:9">
      <c r="A743" s="1" t="s">
        <v>755</v>
      </c>
      <c r="B743">
        <f>HYPERLINK("https://www.suredividend.com/sure-analysis-research-database/","Hub Group, Inc.")</f>
        <v>0</v>
      </c>
      <c r="C743">
        <v>0.09137803979366201</v>
      </c>
      <c r="D743">
        <v>0.202110389610389</v>
      </c>
      <c r="E743">
        <v>-0.08814776808619801</v>
      </c>
      <c r="F743">
        <v>0.117876462448106</v>
      </c>
      <c r="G743">
        <v>0.167213976093524</v>
      </c>
      <c r="H743">
        <v>0.330438688426411</v>
      </c>
      <c r="I743">
        <v>0.6813623462630081</v>
      </c>
    </row>
    <row r="744" spans="1:9">
      <c r="A744" s="1" t="s">
        <v>756</v>
      </c>
      <c r="B744">
        <f>HYPERLINK("https://www.suredividend.com/sure-analysis-research-database/","Humacyte Inc")</f>
        <v>0</v>
      </c>
      <c r="C744">
        <v>0.098591549295774</v>
      </c>
      <c r="D744">
        <v>-0.240875912408759</v>
      </c>
      <c r="E744">
        <v>-0.034055727554179</v>
      </c>
      <c r="F744">
        <v>0.47867298578199</v>
      </c>
      <c r="G744">
        <v>-0.100864553314121</v>
      </c>
      <c r="H744">
        <v>-0.7442622950819671</v>
      </c>
      <c r="I744">
        <v>-0.7442622950819671</v>
      </c>
    </row>
    <row r="745" spans="1:9">
      <c r="A745" s="1" t="s">
        <v>757</v>
      </c>
      <c r="B745">
        <f>HYPERLINK("https://www.suredividend.com/sure-analysis-research-database/","Huron Consulting Group Inc")</f>
        <v>0</v>
      </c>
      <c r="C745">
        <v>0.187111163282075</v>
      </c>
      <c r="D745">
        <v>0.3496596823702121</v>
      </c>
      <c r="E745">
        <v>0.436709759909077</v>
      </c>
      <c r="F745">
        <v>0.39297520661157</v>
      </c>
      <c r="G745">
        <v>0.5076028622540251</v>
      </c>
      <c r="H745">
        <v>1.138054968287526</v>
      </c>
      <c r="I745">
        <v>1.179525862068965</v>
      </c>
    </row>
    <row r="746" spans="1:9">
      <c r="A746" s="1" t="s">
        <v>758</v>
      </c>
      <c r="B746">
        <f>HYPERLINK("https://www.suredividend.com/sure-analysis-research-database/","Haverty Furniture Cos., Inc.")</f>
        <v>0</v>
      </c>
      <c r="C746">
        <v>0.123711340206185</v>
      </c>
      <c r="D746">
        <v>0.303626543209876</v>
      </c>
      <c r="E746">
        <v>-0.074107057227801</v>
      </c>
      <c r="F746">
        <v>0.139559824361421</v>
      </c>
      <c r="G746">
        <v>0.194659916136924</v>
      </c>
      <c r="H746">
        <v>-0.029513809108037</v>
      </c>
      <c r="I746">
        <v>0.868471547143102</v>
      </c>
    </row>
    <row r="747" spans="1:9">
      <c r="A747" s="1" t="s">
        <v>759</v>
      </c>
      <c r="B747">
        <f>HYPERLINK("https://www.suredividend.com/sure-analysis-research-database/","Hancock Whitney Corp.")</f>
        <v>0</v>
      </c>
      <c r="C747">
        <v>0.11280487804878</v>
      </c>
      <c r="D747">
        <v>0.310588538035493</v>
      </c>
      <c r="E747">
        <v>-0.168389694867369</v>
      </c>
      <c r="F747">
        <v>-0.07472738257698901</v>
      </c>
      <c r="G747">
        <v>-0.06394855563842701</v>
      </c>
      <c r="H747">
        <v>0.07290617949867301</v>
      </c>
      <c r="I747">
        <v>0.004135755486065</v>
      </c>
    </row>
    <row r="748" spans="1:9">
      <c r="A748" s="1" t="s">
        <v>760</v>
      </c>
      <c r="B748">
        <f>HYPERLINK("https://www.suredividend.com/sure-analysis-HWKN/","Hawkins Inc")</f>
        <v>0</v>
      </c>
      <c r="C748">
        <v>0.029417857882742</v>
      </c>
      <c r="D748">
        <v>0.244004045704443</v>
      </c>
      <c r="E748">
        <v>0.176537442493151</v>
      </c>
      <c r="F748">
        <v>0.300284968873234</v>
      </c>
      <c r="G748">
        <v>0.307033095372119</v>
      </c>
      <c r="H748">
        <v>0.442891241600798</v>
      </c>
      <c r="I748">
        <v>1.629615321517969</v>
      </c>
    </row>
    <row r="749" spans="1:9">
      <c r="A749" s="1" t="s">
        <v>761</v>
      </c>
      <c r="B749">
        <f>HYPERLINK("https://www.suredividend.com/sure-analysis-research-database/","Hyster-Yale Materials Handling Inc")</f>
        <v>0</v>
      </c>
      <c r="C749">
        <v>-0.141960924896935</v>
      </c>
      <c r="D749">
        <v>-0.038165945006479</v>
      </c>
      <c r="E749">
        <v>0.467135790512501</v>
      </c>
      <c r="F749">
        <v>0.9233319003097741</v>
      </c>
      <c r="G749">
        <v>0.410621357048981</v>
      </c>
      <c r="H749">
        <v>-0.268536048322155</v>
      </c>
      <c r="I749">
        <v>-0.125169958625126</v>
      </c>
    </row>
    <row r="750" spans="1:9">
      <c r="A750" s="1" t="s">
        <v>762</v>
      </c>
      <c r="B750">
        <f>HYPERLINK("https://www.suredividend.com/sure-analysis-research-database/","Hydrofarm Holdings Group Inc")</f>
        <v>0</v>
      </c>
      <c r="C750">
        <v>0.483894317770539</v>
      </c>
      <c r="D750">
        <v>-0.06106870229007601</v>
      </c>
      <c r="E750">
        <v>-0.44090909090909</v>
      </c>
      <c r="F750">
        <v>-0.206451612903225</v>
      </c>
      <c r="G750">
        <v>-0.568421052631578</v>
      </c>
      <c r="H750">
        <v>-0.9749082007343941</v>
      </c>
      <c r="I750">
        <v>-0.9763416041546451</v>
      </c>
    </row>
    <row r="751" spans="1:9">
      <c r="A751" s="1" t="s">
        <v>763</v>
      </c>
      <c r="B751">
        <f>HYPERLINK("https://www.suredividend.com/sure-analysis-research-database/","Hyliion Holdings Corporation")</f>
        <v>0</v>
      </c>
      <c r="C751">
        <v>-0.011111111111111</v>
      </c>
      <c r="D751">
        <v>0.119496855345911</v>
      </c>
      <c r="E751">
        <v>-0.5149863760217981</v>
      </c>
      <c r="F751">
        <v>-0.239316239316239</v>
      </c>
      <c r="G751">
        <v>-0.598194130925507</v>
      </c>
      <c r="H751">
        <v>-0.811240721102863</v>
      </c>
      <c r="I751">
        <v>-0.8164948453608241</v>
      </c>
    </row>
    <row r="752" spans="1:9">
      <c r="A752" s="1" t="s">
        <v>764</v>
      </c>
      <c r="B752">
        <f>HYPERLINK("https://www.suredividend.com/sure-analysis-research-database/","Hycroft Mining Holding Corporation")</f>
        <v>0</v>
      </c>
      <c r="C752">
        <v>0.335853812224322</v>
      </c>
      <c r="D752">
        <v>0.053416149068322</v>
      </c>
      <c r="E752">
        <v>-0.250883392226148</v>
      </c>
      <c r="F752">
        <v>-0.203157301259161</v>
      </c>
      <c r="G752">
        <v>-0.588349514563106</v>
      </c>
      <c r="H752">
        <v>-0.7951690821256031</v>
      </c>
      <c r="I752">
        <v>-0.9561076604554861</v>
      </c>
    </row>
    <row r="753" spans="1:9">
      <c r="A753" s="1" t="s">
        <v>765</v>
      </c>
      <c r="B753">
        <f>HYPERLINK("https://www.suredividend.com/sure-analysis-research-database/","Hyzon Motors Inc")</f>
        <v>0</v>
      </c>
      <c r="C753">
        <v>0.889999999999999</v>
      </c>
      <c r="D753">
        <v>1.362499999999999</v>
      </c>
      <c r="E753">
        <v>-0.152466367713004</v>
      </c>
      <c r="F753">
        <v>0.219354838709677</v>
      </c>
      <c r="G753">
        <v>-0.559440559440559</v>
      </c>
      <c r="H753">
        <v>-0.7096774193548381</v>
      </c>
      <c r="I753">
        <v>-0.815609756097561</v>
      </c>
    </row>
    <row r="754" spans="1:9">
      <c r="A754" s="1" t="s">
        <v>766</v>
      </c>
      <c r="B754">
        <f>HYPERLINK("https://www.suredividend.com/sure-analysis-research-database/","Marinemax, Inc.")</f>
        <v>0</v>
      </c>
      <c r="C754">
        <v>0.058309037900874</v>
      </c>
      <c r="D754">
        <v>0.296428571428571</v>
      </c>
      <c r="E754">
        <v>0.178571428571428</v>
      </c>
      <c r="F754">
        <v>0.162716207559256</v>
      </c>
      <c r="G754">
        <v>-0.040444091990483</v>
      </c>
      <c r="H754">
        <v>-0.32288752098489</v>
      </c>
      <c r="I754">
        <v>0.9105263157894731</v>
      </c>
    </row>
    <row r="755" spans="1:9">
      <c r="A755" s="1" t="s">
        <v>767</v>
      </c>
      <c r="B755">
        <f>HYPERLINK("https://www.suredividend.com/sure-analysis-research-database/","Integral Ad Science Holding Corp")</f>
        <v>0</v>
      </c>
      <c r="C755">
        <v>0.0554932735426</v>
      </c>
      <c r="D755">
        <v>0.207051282051282</v>
      </c>
      <c r="E755">
        <v>0.6288927335640131</v>
      </c>
      <c r="F755">
        <v>1.142207053469852</v>
      </c>
      <c r="G755">
        <v>0.9312820512820511</v>
      </c>
      <c r="H755">
        <v>0.101813926272674</v>
      </c>
      <c r="I755">
        <v>-0.08503401360544201</v>
      </c>
    </row>
    <row r="756" spans="1:9">
      <c r="A756" s="1" t="s">
        <v>768</v>
      </c>
      <c r="B756">
        <f>HYPERLINK("https://www.suredividend.com/sure-analysis-research-database/","Independent Bank Corporation (Ionia, MI)")</f>
        <v>0</v>
      </c>
      <c r="C756">
        <v>0.21339133191272</v>
      </c>
      <c r="D756">
        <v>0.336315854123701</v>
      </c>
      <c r="E756">
        <v>-0.046674661009131</v>
      </c>
      <c r="F756">
        <v>-0.081745527563182</v>
      </c>
      <c r="G756">
        <v>0.077185247721339</v>
      </c>
      <c r="H756">
        <v>0.09230996871565</v>
      </c>
      <c r="I756">
        <v>0.063205974939818</v>
      </c>
    </row>
    <row r="757" spans="1:9">
      <c r="A757" s="1" t="s">
        <v>769</v>
      </c>
      <c r="B757">
        <f>HYPERLINK("https://www.suredividend.com/sure-analysis-research-database/","IBEX Ltd")</f>
        <v>0</v>
      </c>
      <c r="C757">
        <v>-0.06489262371615301</v>
      </c>
      <c r="D757">
        <v>-0.0009975062344130001</v>
      </c>
      <c r="E757">
        <v>-0.266837481698389</v>
      </c>
      <c r="F757">
        <v>-0.193963782696177</v>
      </c>
      <c r="G757">
        <v>0.044316996871741</v>
      </c>
      <c r="H757">
        <v>-0.010375494071146</v>
      </c>
      <c r="I757">
        <v>0.30064935064935</v>
      </c>
    </row>
    <row r="758" spans="1:9">
      <c r="A758" s="1" t="s">
        <v>770</v>
      </c>
      <c r="B758">
        <f>HYPERLINK("https://www.suredividend.com/sure-analysis-IBOC/","International Bancshares Corp.")</f>
        <v>0</v>
      </c>
      <c r="C758">
        <v>0.093167701863354</v>
      </c>
      <c r="D758">
        <v>0.204889975550122</v>
      </c>
      <c r="E758">
        <v>0.034049348158624</v>
      </c>
      <c r="F758">
        <v>0.09167113407086101</v>
      </c>
      <c r="G758">
        <v>0.154928719243109</v>
      </c>
      <c r="H758">
        <v>0.327700663850332</v>
      </c>
      <c r="I758">
        <v>0.262288615324716</v>
      </c>
    </row>
    <row r="759" spans="1:9">
      <c r="A759" s="1" t="s">
        <v>771</v>
      </c>
      <c r="B759">
        <f>HYPERLINK("https://www.suredividend.com/sure-analysis-research-database/","Installed Building Products Inc")</f>
        <v>0</v>
      </c>
      <c r="C759">
        <v>0.08605727509401201</v>
      </c>
      <c r="D759">
        <v>0.227713059472716</v>
      </c>
      <c r="E759">
        <v>0.310372869051711</v>
      </c>
      <c r="F759">
        <v>0.7645648863572271</v>
      </c>
      <c r="G759">
        <v>0.5547002300268951</v>
      </c>
      <c r="H759">
        <v>0.279009359643669</v>
      </c>
      <c r="I759">
        <v>2.072076587127062</v>
      </c>
    </row>
    <row r="760" spans="1:9">
      <c r="A760" s="1" t="s">
        <v>772</v>
      </c>
      <c r="B760">
        <f>HYPERLINK("https://www.suredividend.com/sure-analysis-research-database/","ImmunityBio Inc")</f>
        <v>0</v>
      </c>
      <c r="C760">
        <v>-0.228102189781021</v>
      </c>
      <c r="D760">
        <v>-0.36865671641791</v>
      </c>
      <c r="E760">
        <v>-0.511547344110854</v>
      </c>
      <c r="F760">
        <v>-0.5828402366863901</v>
      </c>
      <c r="G760">
        <v>-0.490361445783132</v>
      </c>
      <c r="H760">
        <v>-0.812333629103815</v>
      </c>
      <c r="I760">
        <v>-0.336990595611285</v>
      </c>
    </row>
    <row r="761" spans="1:9">
      <c r="A761" s="1" t="s">
        <v>773</v>
      </c>
      <c r="B761">
        <f>HYPERLINK("https://www.suredividend.com/sure-analysis-research-database/","Independent Bank Group Inc")</f>
        <v>0</v>
      </c>
      <c r="C761">
        <v>0.25677005008989</v>
      </c>
      <c r="D761">
        <v>0.419680747455846</v>
      </c>
      <c r="E761">
        <v>-0.285744120964036</v>
      </c>
      <c r="F761">
        <v>-0.224996731598901</v>
      </c>
      <c r="G761">
        <v>-0.338030349953546</v>
      </c>
      <c r="H761">
        <v>-0.318118030302797</v>
      </c>
      <c r="I761">
        <v>-0.251940814822542</v>
      </c>
    </row>
    <row r="762" spans="1:9">
      <c r="A762" s="1" t="s">
        <v>774</v>
      </c>
      <c r="B762">
        <f>HYPERLINK("https://www.suredividend.com/sure-analysis-research-database/","ICF International, Inc")</f>
        <v>0</v>
      </c>
      <c r="C762">
        <v>-0.049057194272748</v>
      </c>
      <c r="D762">
        <v>0.076880820109336</v>
      </c>
      <c r="E762">
        <v>0.167470659543116</v>
      </c>
      <c r="F762">
        <v>0.23147194029276</v>
      </c>
      <c r="G762">
        <v>0.290820032881181</v>
      </c>
      <c r="H762">
        <v>0.39173569617702</v>
      </c>
      <c r="I762">
        <v>0.60814206269293</v>
      </c>
    </row>
    <row r="763" spans="1:9">
      <c r="A763" s="1" t="s">
        <v>775</v>
      </c>
      <c r="B763">
        <f>HYPERLINK("https://www.suredividend.com/sure-analysis-research-database/","Ichor Holdings Ltd")</f>
        <v>0</v>
      </c>
      <c r="C763">
        <v>-0.046585494970884</v>
      </c>
      <c r="D763">
        <v>0.29196556671449</v>
      </c>
      <c r="E763">
        <v>-0.0005549389567140001</v>
      </c>
      <c r="F763">
        <v>0.343027591349739</v>
      </c>
      <c r="G763">
        <v>0.113446676970633</v>
      </c>
      <c r="H763">
        <v>-0.242800084086609</v>
      </c>
      <c r="I763">
        <v>0.6410022779043281</v>
      </c>
    </row>
    <row r="764" spans="1:9">
      <c r="A764" s="1" t="s">
        <v>776</v>
      </c>
      <c r="B764">
        <f>HYPERLINK("https://www.suredividend.com/sure-analysis-research-database/","Intercept Pharmaceuticals Inc")</f>
        <v>0</v>
      </c>
      <c r="C764">
        <v>-0.038392857142857</v>
      </c>
      <c r="D764">
        <v>-0.33600493218249</v>
      </c>
      <c r="E764">
        <v>-0.433753943217665</v>
      </c>
      <c r="F764">
        <v>-0.129345189975747</v>
      </c>
      <c r="G764">
        <v>-0.221820809248554</v>
      </c>
      <c r="H764">
        <v>-0.352764423076923</v>
      </c>
      <c r="I764">
        <v>-0.889265885256014</v>
      </c>
    </row>
    <row r="765" spans="1:9">
      <c r="A765" s="1" t="s">
        <v>777</v>
      </c>
      <c r="B765">
        <f>HYPERLINK("https://www.suredividend.com/sure-analysis-research-database/","Icosavax Inc")</f>
        <v>0</v>
      </c>
      <c r="C765">
        <v>0.010514018691588</v>
      </c>
      <c r="D765">
        <v>0.261852662290299</v>
      </c>
      <c r="E765">
        <v>-0.227678571428571</v>
      </c>
      <c r="F765">
        <v>0.08942065491183801</v>
      </c>
      <c r="G765">
        <v>0.213183730715287</v>
      </c>
      <c r="H765">
        <v>-0.6878383255142541</v>
      </c>
      <c r="I765">
        <v>-0.7526451243923361</v>
      </c>
    </row>
    <row r="766" spans="1:9">
      <c r="A766" s="1" t="s">
        <v>778</v>
      </c>
      <c r="B766">
        <f>HYPERLINK("https://www.suredividend.com/sure-analysis-research-database/","Interdigital Inc")</f>
        <v>0</v>
      </c>
      <c r="C766">
        <v>-0.08140981891339601</v>
      </c>
      <c r="D766">
        <v>0.3168335878229711</v>
      </c>
      <c r="E766">
        <v>0.250073118291842</v>
      </c>
      <c r="F766">
        <v>0.811996567091644</v>
      </c>
      <c r="G766">
        <v>0.4403982219416601</v>
      </c>
      <c r="H766">
        <v>0.335593365018489</v>
      </c>
      <c r="I766">
        <v>0.227684982927024</v>
      </c>
    </row>
    <row r="767" spans="1:9">
      <c r="A767" s="1" t="s">
        <v>779</v>
      </c>
      <c r="B767">
        <f>HYPERLINK("https://www.suredividend.com/sure-analysis-research-database/","IDT Corp.")</f>
        <v>0</v>
      </c>
      <c r="C767">
        <v>-0.110556621880998</v>
      </c>
      <c r="D767">
        <v>-0.303995193751877</v>
      </c>
      <c r="E767">
        <v>-0.250889104429356</v>
      </c>
      <c r="F767">
        <v>-0.177493787717429</v>
      </c>
      <c r="G767">
        <v>-0.152833638025594</v>
      </c>
      <c r="H767">
        <v>-0.5428176795580111</v>
      </c>
      <c r="I767">
        <v>3.371698113207548</v>
      </c>
    </row>
    <row r="768" spans="1:9">
      <c r="A768" s="1" t="s">
        <v>780</v>
      </c>
      <c r="B768">
        <f>HYPERLINK("https://www.suredividend.com/sure-analysis-research-database/","Ideaya Biosciences Inc")</f>
        <v>0</v>
      </c>
      <c r="C768">
        <v>-0.04809794490599</v>
      </c>
      <c r="D768">
        <v>0.12448347107438</v>
      </c>
      <c r="E768">
        <v>0.239749430523918</v>
      </c>
      <c r="F768">
        <v>0.198128783709411</v>
      </c>
      <c r="G768">
        <v>0.412719013627514</v>
      </c>
      <c r="H768">
        <v>-0.111791105671154</v>
      </c>
      <c r="I768">
        <v>0.9454870420017871</v>
      </c>
    </row>
    <row r="769" spans="1:9">
      <c r="A769" s="1" t="s">
        <v>781</v>
      </c>
      <c r="B769">
        <f>HYPERLINK("https://www.suredividend.com/sure-analysis-research-database/","Ivanhoe Electric Inc")</f>
        <v>0</v>
      </c>
      <c r="C769">
        <v>0.207772795216741</v>
      </c>
      <c r="D769">
        <v>0.36256323777403</v>
      </c>
      <c r="E769">
        <v>0.236419280795715</v>
      </c>
      <c r="F769">
        <v>0.330041152263374</v>
      </c>
      <c r="G769">
        <v>0.838452787258248</v>
      </c>
      <c r="H769">
        <v>0.496296296296296</v>
      </c>
      <c r="I769">
        <v>0.496296296296296</v>
      </c>
    </row>
    <row r="770" spans="1:9">
      <c r="A770" s="1" t="s">
        <v>782</v>
      </c>
      <c r="B770">
        <f>HYPERLINK("https://www.suredividend.com/sure-analysis-research-database/","IES Holdings Inc")</f>
        <v>0</v>
      </c>
      <c r="C770">
        <v>0.018791710572532</v>
      </c>
      <c r="D770">
        <v>0.281422575657168</v>
      </c>
      <c r="E770">
        <v>0.419378517249816</v>
      </c>
      <c r="F770">
        <v>0.63086870958673</v>
      </c>
      <c r="G770">
        <v>0.7488694603557431</v>
      </c>
      <c r="H770">
        <v>0.05799744665329101</v>
      </c>
      <c r="I770">
        <v>2.077453580901856</v>
      </c>
    </row>
    <row r="771" spans="1:9">
      <c r="A771" s="1" t="s">
        <v>783</v>
      </c>
      <c r="B771">
        <f>HYPERLINK("https://www.suredividend.com/sure-analysis-research-database/","IGM Biosciences Inc")</f>
        <v>0</v>
      </c>
      <c r="C771">
        <v>0.028138528138528</v>
      </c>
      <c r="D771">
        <v>-0.23076923076923</v>
      </c>
      <c r="E771">
        <v>-0.6041666666666661</v>
      </c>
      <c r="F771">
        <v>-0.441504997060552</v>
      </c>
      <c r="G771">
        <v>-0.4611457742484401</v>
      </c>
      <c r="H771">
        <v>-0.8566254150316931</v>
      </c>
      <c r="I771">
        <v>-0.6090534979423861</v>
      </c>
    </row>
    <row r="772" spans="1:9">
      <c r="A772" s="1" t="s">
        <v>784</v>
      </c>
      <c r="B772">
        <f>HYPERLINK("https://www.suredividend.com/sure-analysis-research-database/","International Game Technology PLC")</f>
        <v>0</v>
      </c>
      <c r="C772">
        <v>0.021657250470809</v>
      </c>
      <c r="D772">
        <v>0.207245699534904</v>
      </c>
      <c r="E772">
        <v>0.218808974627804</v>
      </c>
      <c r="F772">
        <v>0.4590262400602431</v>
      </c>
      <c r="G772">
        <v>0.5989271714462551</v>
      </c>
      <c r="H772">
        <v>0.7916510711376291</v>
      </c>
      <c r="I772">
        <v>0.7243388709950831</v>
      </c>
    </row>
    <row r="773" spans="1:9">
      <c r="A773" s="1" t="s">
        <v>785</v>
      </c>
      <c r="B773">
        <f>HYPERLINK("https://www.suredividend.com/sure-analysis-research-database/","iHeartMedia Inc")</f>
        <v>0</v>
      </c>
      <c r="C773">
        <v>0.114882506527415</v>
      </c>
      <c r="D773">
        <v>0.213068181818181</v>
      </c>
      <c r="E773">
        <v>-0.498237367802585</v>
      </c>
      <c r="F773">
        <v>-0.303425774877651</v>
      </c>
      <c r="G773">
        <v>-0.52817679558011</v>
      </c>
      <c r="H773">
        <v>-0.8326802507836991</v>
      </c>
      <c r="I773">
        <v>-0.7412121212121211</v>
      </c>
    </row>
    <row r="774" spans="1:9">
      <c r="A774" s="1" t="s">
        <v>786</v>
      </c>
      <c r="B774">
        <f>HYPERLINK("https://www.suredividend.com/sure-analysis-research-database/","Information Services Group Inc.")</f>
        <v>0</v>
      </c>
      <c r="C774">
        <v>-0.011257035647279</v>
      </c>
      <c r="D774">
        <v>0.05577369981569</v>
      </c>
      <c r="E774">
        <v>-0.016864413103499</v>
      </c>
      <c r="F774">
        <v>0.175499643112062</v>
      </c>
      <c r="G774">
        <v>-0.282837080180719</v>
      </c>
      <c r="H774">
        <v>-0.06097430597626501</v>
      </c>
      <c r="I774">
        <v>0.390134529147982</v>
      </c>
    </row>
    <row r="775" spans="1:9">
      <c r="A775" s="1" t="s">
        <v>787</v>
      </c>
      <c r="B775">
        <f>HYPERLINK("https://www.suredividend.com/sure-analysis-research-database/","Insteel Industries, Inc.")</f>
        <v>0</v>
      </c>
      <c r="C775">
        <v>0.03511011809767</v>
      </c>
      <c r="D775">
        <v>0.157668527694087</v>
      </c>
      <c r="E775">
        <v>0.05032695191426301</v>
      </c>
      <c r="F775">
        <v>0.180857222964632</v>
      </c>
      <c r="G775">
        <v>0.198168940712251</v>
      </c>
      <c r="H775">
        <v>-0.109912006718888</v>
      </c>
      <c r="I775">
        <v>-0.159959901878757</v>
      </c>
    </row>
    <row r="776" spans="1:9">
      <c r="A776" s="1" t="s">
        <v>788</v>
      </c>
      <c r="B776">
        <f>HYPERLINK("https://www.suredividend.com/sure-analysis-research-database/","i3 Verticals Inc")</f>
        <v>0</v>
      </c>
      <c r="C776">
        <v>0.018128161888701</v>
      </c>
      <c r="D776">
        <v>0.052287581699346</v>
      </c>
      <c r="E776">
        <v>-0.170673076923076</v>
      </c>
      <c r="F776">
        <v>-0.007806080525883</v>
      </c>
      <c r="G776">
        <v>-0.184121621621621</v>
      </c>
      <c r="H776">
        <v>-0.213355048859934</v>
      </c>
      <c r="I776">
        <v>0.602521566025215</v>
      </c>
    </row>
    <row r="777" spans="1:9">
      <c r="A777" s="1" t="s">
        <v>789</v>
      </c>
      <c r="B777">
        <f>HYPERLINK("https://www.suredividend.com/sure-analysis-IIPR/","Innovative Industrial Properties Inc")</f>
        <v>0</v>
      </c>
      <c r="C777">
        <v>0.04725999730712201</v>
      </c>
      <c r="D777">
        <v>0.175542430159661</v>
      </c>
      <c r="E777">
        <v>-0.12355724428729</v>
      </c>
      <c r="F777">
        <v>-0.194641435273628</v>
      </c>
      <c r="G777">
        <v>-0.1279907350417</v>
      </c>
      <c r="H777">
        <v>-0.5886371184923951</v>
      </c>
      <c r="I777">
        <v>1.935770120669286</v>
      </c>
    </row>
    <row r="778" spans="1:9">
      <c r="A778" s="1" t="s">
        <v>790</v>
      </c>
      <c r="B778">
        <f>HYPERLINK("https://www.suredividend.com/sure-analysis-ILPT/","Industrial Logistics Properties Trust")</f>
        <v>0</v>
      </c>
      <c r="C778">
        <v>0.07118270687043901</v>
      </c>
      <c r="D778">
        <v>0.9072367130809961</v>
      </c>
      <c r="E778">
        <v>-0.175340781412308</v>
      </c>
      <c r="F778">
        <v>0.210970332783364</v>
      </c>
      <c r="G778">
        <v>-0.5810176209555811</v>
      </c>
      <c r="H778">
        <v>-0.8460241373987181</v>
      </c>
      <c r="I778">
        <v>-0.78960235385747</v>
      </c>
    </row>
    <row r="779" spans="1:9">
      <c r="A779" s="1" t="s">
        <v>791</v>
      </c>
      <c r="B779">
        <f>HYPERLINK("https://www.suredividend.com/sure-analysis-research-database/","Imax Corp")</f>
        <v>0</v>
      </c>
      <c r="C779">
        <v>0.087306145893164</v>
      </c>
      <c r="D779">
        <v>-0.05680119581464801</v>
      </c>
      <c r="E779">
        <v>0.05754189944134001</v>
      </c>
      <c r="F779">
        <v>0.291268758526602</v>
      </c>
      <c r="G779">
        <v>0.103146853146853</v>
      </c>
      <c r="H779">
        <v>0.213461538461538</v>
      </c>
      <c r="I779">
        <v>-0.156792873051224</v>
      </c>
    </row>
    <row r="780" spans="1:9">
      <c r="A780" s="1" t="s">
        <v>792</v>
      </c>
      <c r="B780">
        <f>HYPERLINK("https://www.suredividend.com/sure-analysis-research-database/","Immunogen, Inc.")</f>
        <v>0</v>
      </c>
      <c r="C780">
        <v>-0.119490175252257</v>
      </c>
      <c r="D780">
        <v>0.352365415986949</v>
      </c>
      <c r="E780">
        <v>2.55793991416309</v>
      </c>
      <c r="F780">
        <v>2.34274193548387</v>
      </c>
      <c r="G780">
        <v>2.369918699186992</v>
      </c>
      <c r="H780">
        <v>1.934513274336282</v>
      </c>
      <c r="I780">
        <v>0.806100217864923</v>
      </c>
    </row>
    <row r="781" spans="1:9">
      <c r="A781" s="1" t="s">
        <v>793</v>
      </c>
      <c r="B781">
        <f>HYPERLINK("https://www.suredividend.com/sure-analysis-research-database/","Ingles Markets, Inc.")</f>
        <v>0</v>
      </c>
      <c r="C781">
        <v>0.00120004800192</v>
      </c>
      <c r="D781">
        <v>-0.08499670980478101</v>
      </c>
      <c r="E781">
        <v>-0.100893287251824</v>
      </c>
      <c r="F781">
        <v>-0.130439314190421</v>
      </c>
      <c r="G781">
        <v>-0.139759446097056</v>
      </c>
      <c r="H781">
        <v>0.424203782513174</v>
      </c>
      <c r="I781">
        <v>2.082055146732866</v>
      </c>
    </row>
    <row r="782" spans="1:9">
      <c r="A782" s="1" t="s">
        <v>794</v>
      </c>
      <c r="B782">
        <f>HYPERLINK("https://www.suredividend.com/sure-analysis-research-database/","Immunovant Inc")</f>
        <v>0</v>
      </c>
      <c r="C782">
        <v>0.192533333333333</v>
      </c>
      <c r="D782">
        <v>0.161558441558441</v>
      </c>
      <c r="E782">
        <v>0.259718309859154</v>
      </c>
      <c r="F782">
        <v>0.259718309859154</v>
      </c>
      <c r="G782">
        <v>4.273584905660376</v>
      </c>
      <c r="H782">
        <v>2.189728958630528</v>
      </c>
      <c r="I782">
        <v>1.247236180904523</v>
      </c>
    </row>
    <row r="783" spans="1:9">
      <c r="A783" s="1" t="s">
        <v>795</v>
      </c>
      <c r="B783">
        <f>HYPERLINK("https://www.suredividend.com/sure-analysis-research-database/","International Money Express Inc.")</f>
        <v>0</v>
      </c>
      <c r="C783">
        <v>-0.289441991168205</v>
      </c>
      <c r="D783">
        <v>-0.3042452830188681</v>
      </c>
      <c r="E783">
        <v>-0.255363904080774</v>
      </c>
      <c r="F783">
        <v>-0.273697168649979</v>
      </c>
      <c r="G783">
        <v>-0.291716686674669</v>
      </c>
      <c r="H783">
        <v>0.113207547169811</v>
      </c>
      <c r="I783">
        <v>0.817248459958932</v>
      </c>
    </row>
    <row r="784" spans="1:9">
      <c r="A784" s="1" t="s">
        <v>796</v>
      </c>
      <c r="B784">
        <f>HYPERLINK("https://www.suredividend.com/sure-analysis-research-database/","First Internet Bancorp")</f>
        <v>0</v>
      </c>
      <c r="C784">
        <v>0.472131147540983</v>
      </c>
      <c r="D784">
        <v>0.9579455961486461</v>
      </c>
      <c r="E784">
        <v>-0.180958843637929</v>
      </c>
      <c r="F784">
        <v>-0.064579435747649</v>
      </c>
      <c r="G784">
        <v>-0.365722454837743</v>
      </c>
      <c r="H784">
        <v>-0.245314732330448</v>
      </c>
      <c r="I784">
        <v>-0.257055490839775</v>
      </c>
    </row>
    <row r="785" spans="1:9">
      <c r="A785" s="1" t="s">
        <v>797</v>
      </c>
      <c r="B785">
        <f>HYPERLINK("https://www.suredividend.com/sure-analysis-research-database/","Inhibrx Inc")</f>
        <v>0</v>
      </c>
      <c r="C785">
        <v>-0.233751425313568</v>
      </c>
      <c r="D785">
        <v>-0.253056687662097</v>
      </c>
      <c r="E785">
        <v>-0.21860465116279</v>
      </c>
      <c r="F785">
        <v>-0.181818181818181</v>
      </c>
      <c r="G785">
        <v>0.09863760217983601</v>
      </c>
      <c r="H785">
        <v>-0.26207906295754</v>
      </c>
      <c r="I785">
        <v>-0.022782355792535</v>
      </c>
    </row>
    <row r="786" spans="1:9">
      <c r="A786" s="1" t="s">
        <v>798</v>
      </c>
      <c r="B786">
        <f>HYPERLINK("https://www.suredividend.com/sure-analysis-research-database/","Independent Bank Corp.")</f>
        <v>0</v>
      </c>
      <c r="C786">
        <v>0.289302728453876</v>
      </c>
      <c r="D786">
        <v>0.225423104391476</v>
      </c>
      <c r="E786">
        <v>-0.256616970458203</v>
      </c>
      <c r="F786">
        <v>-0.271496600970032</v>
      </c>
      <c r="G786">
        <v>-0.256637389116741</v>
      </c>
      <c r="H786">
        <v>-0.112209872751075</v>
      </c>
      <c r="I786">
        <v>-0.218886316079475</v>
      </c>
    </row>
    <row r="787" spans="1:9">
      <c r="A787" s="1" t="s">
        <v>799</v>
      </c>
      <c r="B787">
        <f>HYPERLINK("https://www.suredividend.com/sure-analysis-research-database/","Indie Semiconductor Inc")</f>
        <v>0</v>
      </c>
      <c r="C787">
        <v>-0.075211864406779</v>
      </c>
      <c r="D787">
        <v>0.120667522464698</v>
      </c>
      <c r="E787">
        <v>0.04676258992805701</v>
      </c>
      <c r="F787">
        <v>0.4974271012006861</v>
      </c>
      <c r="G787">
        <v>0.150197628458498</v>
      </c>
      <c r="H787">
        <v>0.021052631578947</v>
      </c>
      <c r="I787">
        <v>-0.188661710037174</v>
      </c>
    </row>
    <row r="788" spans="1:9">
      <c r="A788" s="1" t="s">
        <v>800</v>
      </c>
      <c r="B788">
        <f>HYPERLINK("https://www.suredividend.com/sure-analysis-research-database/","INDUS Realty Trust Inc")</f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>
      <c r="A789" s="1" t="s">
        <v>801</v>
      </c>
      <c r="B789">
        <f>HYPERLINK("https://www.suredividend.com/sure-analysis-research-database/","Infinera Corp.")</f>
        <v>0</v>
      </c>
      <c r="C789">
        <v>-0.142857142857143</v>
      </c>
      <c r="D789">
        <v>-0.297202797202797</v>
      </c>
      <c r="E789">
        <v>-0.46684350132626</v>
      </c>
      <c r="F789">
        <v>-0.403560830860534</v>
      </c>
      <c r="G789">
        <v>-0.216374269005848</v>
      </c>
      <c r="H789">
        <v>-0.5922920892494931</v>
      </c>
      <c r="I789">
        <v>-0.5253837072018891</v>
      </c>
    </row>
    <row r="790" spans="1:9">
      <c r="A790" s="1" t="s">
        <v>802</v>
      </c>
      <c r="B790">
        <f>HYPERLINK("https://www.suredividend.com/sure-analysis-research-database/","Inogen Inc")</f>
        <v>0</v>
      </c>
      <c r="C790">
        <v>-0.323581560283687</v>
      </c>
      <c r="D790">
        <v>-0.4494949494949491</v>
      </c>
      <c r="E790">
        <v>-0.706538461538461</v>
      </c>
      <c r="F790">
        <v>-0.612886859462201</v>
      </c>
      <c r="G790">
        <v>-0.7437017131340271</v>
      </c>
      <c r="H790">
        <v>-0.9023547478884051</v>
      </c>
      <c r="I790">
        <v>-0.96392946626956</v>
      </c>
    </row>
    <row r="791" spans="1:9">
      <c r="A791" s="1" t="s">
        <v>803</v>
      </c>
      <c r="B791">
        <f>HYPERLINK("https://www.suredividend.com/sure-analysis-research-database/","Summit Hotel Properties Inc")</f>
        <v>0</v>
      </c>
      <c r="C791">
        <v>-0.138392857142857</v>
      </c>
      <c r="D791">
        <v>-0.109559547244094</v>
      </c>
      <c r="E791">
        <v>-0.320558104603541</v>
      </c>
      <c r="F791">
        <v>-0.186923368580696</v>
      </c>
      <c r="G791">
        <v>-0.275598038234411</v>
      </c>
      <c r="H791">
        <v>-0.320454438758743</v>
      </c>
      <c r="I791">
        <v>-0.520079572298893</v>
      </c>
    </row>
    <row r="792" spans="1:9">
      <c r="A792" s="1" t="s">
        <v>804</v>
      </c>
      <c r="B792">
        <f>HYPERLINK("https://www.suredividend.com/sure-analysis-research-database/","InnovAge Holding Corp")</f>
        <v>0</v>
      </c>
      <c r="C792">
        <v>-0.005509641873278</v>
      </c>
      <c r="D792">
        <v>0.122861586314152</v>
      </c>
      <c r="E792">
        <v>-0.042440318302387</v>
      </c>
      <c r="F792">
        <v>0.005571030640668001</v>
      </c>
      <c r="G792">
        <v>0.6790697674418601</v>
      </c>
      <c r="H792">
        <v>-0.565322095123419</v>
      </c>
      <c r="I792">
        <v>-0.701652892561983</v>
      </c>
    </row>
    <row r="793" spans="1:9">
      <c r="A793" s="1" t="s">
        <v>805</v>
      </c>
      <c r="B793">
        <f>HYPERLINK("https://www.suredividend.com/sure-analysis-research-database/","Inovio Pharmaceuticals Inc")</f>
        <v>0</v>
      </c>
      <c r="C793">
        <v>0.079899267399267</v>
      </c>
      <c r="D793">
        <v>-0.4096370463078841</v>
      </c>
      <c r="E793">
        <v>-0.7530366492146591</v>
      </c>
      <c r="F793">
        <v>-0.697628205128205</v>
      </c>
      <c r="G793">
        <v>-0.785590909090909</v>
      </c>
      <c r="H793">
        <v>-0.945214866434378</v>
      </c>
      <c r="I793">
        <v>-0.8802791878172581</v>
      </c>
    </row>
    <row r="794" spans="1:9">
      <c r="A794" s="1" t="s">
        <v>806</v>
      </c>
      <c r="B794">
        <f>HYPERLINK("https://www.suredividend.com/sure-analysis-research-database/","Inspired Entertainment Inc")</f>
        <v>0</v>
      </c>
      <c r="C794">
        <v>-0.123473541383989</v>
      </c>
      <c r="D794">
        <v>0.013333333333333</v>
      </c>
      <c r="E794">
        <v>-0.170731707317073</v>
      </c>
      <c r="F794">
        <v>0.019731649565903</v>
      </c>
      <c r="G794">
        <v>0.207476635514018</v>
      </c>
      <c r="H794">
        <v>0.100511073253833</v>
      </c>
      <c r="I794">
        <v>0.8724637681159421</v>
      </c>
    </row>
    <row r="795" spans="1:9">
      <c r="A795" s="1" t="s">
        <v>807</v>
      </c>
      <c r="B795">
        <f>HYPERLINK("https://www.suredividend.com/sure-analysis-research-database/","Inseego Corp")</f>
        <v>0</v>
      </c>
      <c r="C795">
        <v>0.192107426692244</v>
      </c>
      <c r="D795">
        <v>0.6099185788304951</v>
      </c>
      <c r="E795">
        <v>-0.262711864406779</v>
      </c>
      <c r="F795">
        <v>0.032640949554896</v>
      </c>
      <c r="G795">
        <v>-0.653386454183266</v>
      </c>
      <c r="H795">
        <v>-0.898007033997655</v>
      </c>
      <c r="I795">
        <v>-0.551546391752577</v>
      </c>
    </row>
    <row r="796" spans="1:9">
      <c r="A796" s="1" t="s">
        <v>808</v>
      </c>
      <c r="B796">
        <f>HYPERLINK("https://www.suredividend.com/sure-analysis-research-database/","Insmed Inc")</f>
        <v>0</v>
      </c>
      <c r="C796">
        <v>0.067469879518072</v>
      </c>
      <c r="D796">
        <v>0.118686868686868</v>
      </c>
      <c r="E796">
        <v>0.025937934228809</v>
      </c>
      <c r="F796">
        <v>0.108608608608608</v>
      </c>
      <c r="G796">
        <v>0.017922794117646</v>
      </c>
      <c r="H796">
        <v>-0.078618968386023</v>
      </c>
      <c r="I796">
        <v>-0.152963671128107</v>
      </c>
    </row>
    <row r="797" spans="1:9">
      <c r="A797" s="1" t="s">
        <v>809</v>
      </c>
      <c r="B797">
        <f>HYPERLINK("https://www.suredividend.com/sure-analysis-research-database/","Inspire Medical Systems Inc")</f>
        <v>0</v>
      </c>
      <c r="C797">
        <v>-0.110474759803461</v>
      </c>
      <c r="D797">
        <v>0.032737446406511</v>
      </c>
      <c r="E797">
        <v>0.130813606524766</v>
      </c>
      <c r="F797">
        <v>0.12843417500397</v>
      </c>
      <c r="G797">
        <v>0.302194529710908</v>
      </c>
      <c r="H797">
        <v>0.5199465240641711</v>
      </c>
      <c r="I797">
        <v>5.11773568661214</v>
      </c>
    </row>
    <row r="798" spans="1:9">
      <c r="A798" s="1" t="s">
        <v>810</v>
      </c>
      <c r="B798">
        <f>HYPERLINK("https://www.suredividend.com/sure-analysis-research-database/","Instructure Holdings Inc")</f>
        <v>0</v>
      </c>
      <c r="C798">
        <v>0.06822689408964601</v>
      </c>
      <c r="D798">
        <v>0.018532526475037</v>
      </c>
      <c r="E798">
        <v>-0.039243667499108</v>
      </c>
      <c r="F798">
        <v>0.148890784982935</v>
      </c>
      <c r="G798">
        <v>0.09471544715447101</v>
      </c>
      <c r="H798">
        <v>0.336476426799007</v>
      </c>
      <c r="I798">
        <v>0.283603431839847</v>
      </c>
    </row>
    <row r="799" spans="1:9">
      <c r="A799" s="1" t="s">
        <v>811</v>
      </c>
      <c r="B799">
        <f>HYPERLINK("https://www.suredividend.com/sure-analysis-research-database/","International Seaways Inc")</f>
        <v>0</v>
      </c>
      <c r="C799">
        <v>0.157419697371913</v>
      </c>
      <c r="D799">
        <v>0.227916512942409</v>
      </c>
      <c r="E799">
        <v>0.134261728292285</v>
      </c>
      <c r="F799">
        <v>0.231694087868378</v>
      </c>
      <c r="G799">
        <v>0.8412084408427321</v>
      </c>
      <c r="H799">
        <v>1.847012269578106</v>
      </c>
      <c r="I799">
        <v>1.343657610974338</v>
      </c>
    </row>
    <row r="800" spans="1:9">
      <c r="A800" s="1" t="s">
        <v>812</v>
      </c>
      <c r="B800">
        <f>HYPERLINK("https://www.suredividend.com/sure-analysis-research-database/","World Fuel Services Corp.")</f>
        <v>0</v>
      </c>
      <c r="C800">
        <v>0.042096219931271</v>
      </c>
      <c r="D800">
        <v>0.017745521667995</v>
      </c>
      <c r="E800">
        <v>-0.100875404902563</v>
      </c>
      <c r="F800">
        <v>-0.107379389515203</v>
      </c>
      <c r="G800">
        <v>0.05012098467238901</v>
      </c>
      <c r="H800">
        <v>-0.276358766170816</v>
      </c>
      <c r="I800">
        <v>0.144096771911622</v>
      </c>
    </row>
    <row r="801" spans="1:9">
      <c r="A801" s="1" t="s">
        <v>813</v>
      </c>
      <c r="B801">
        <f>HYPERLINK("https://www.suredividend.com/sure-analysis-research-database/","Intapp Inc")</f>
        <v>0</v>
      </c>
      <c r="C801">
        <v>-0.08273647814275101</v>
      </c>
      <c r="D801">
        <v>-0.023915900131405</v>
      </c>
      <c r="E801">
        <v>0.282901554404145</v>
      </c>
      <c r="F801">
        <v>0.489174017642341</v>
      </c>
      <c r="G801">
        <v>1.335849056603773</v>
      </c>
      <c r="H801">
        <v>0.078397212543554</v>
      </c>
      <c r="I801">
        <v>0.326428571428571</v>
      </c>
    </row>
    <row r="802" spans="1:9">
      <c r="A802" s="1" t="s">
        <v>814</v>
      </c>
      <c r="B802">
        <f>HYPERLINK("https://www.suredividend.com/sure-analysis-research-database/","Innoviva Inc")</f>
        <v>0</v>
      </c>
      <c r="C802">
        <v>0.038613081166272</v>
      </c>
      <c r="D802">
        <v>0.143104943625325</v>
      </c>
      <c r="E802">
        <v>0.029687499999999</v>
      </c>
      <c r="F802">
        <v>-0.005283018867924</v>
      </c>
      <c r="G802">
        <v>-0.07508771929824501</v>
      </c>
      <c r="H802">
        <v>-0.132323897300855</v>
      </c>
      <c r="I802">
        <v>-0.03935860058309</v>
      </c>
    </row>
    <row r="803" spans="1:9">
      <c r="A803" s="1" t="s">
        <v>815</v>
      </c>
      <c r="B803">
        <f>HYPERLINK("https://www.suredividend.com/sure-analysis-research-database/","Identiv Inc")</f>
        <v>0</v>
      </c>
      <c r="C803">
        <v>-0.164960182025028</v>
      </c>
      <c r="D803">
        <v>0.371962616822429</v>
      </c>
      <c r="E803">
        <v>-0.223280423280423</v>
      </c>
      <c r="F803">
        <v>0.013812154696132</v>
      </c>
      <c r="G803">
        <v>-0.478693181818181</v>
      </c>
      <c r="H803">
        <v>-0.551344743276283</v>
      </c>
      <c r="I803">
        <v>0.439215686274509</v>
      </c>
    </row>
    <row r="804" spans="1:9">
      <c r="A804" s="1" t="s">
        <v>816</v>
      </c>
      <c r="B804">
        <f>HYPERLINK("https://www.suredividend.com/sure-analysis-research-database/","IonQ Inc")</f>
        <v>0</v>
      </c>
      <c r="C804">
        <v>0.354814814814814</v>
      </c>
      <c r="D804">
        <v>2.380776340110905</v>
      </c>
      <c r="E804">
        <v>2.325454545454545</v>
      </c>
      <c r="F804">
        <v>4.301449275362319</v>
      </c>
      <c r="G804">
        <v>2.1</v>
      </c>
      <c r="H804">
        <v>1.366106080206985</v>
      </c>
      <c r="I804">
        <v>1.366106080206985</v>
      </c>
    </row>
    <row r="805" spans="1:9">
      <c r="A805" s="1" t="s">
        <v>817</v>
      </c>
      <c r="B805">
        <f>HYPERLINK("https://www.suredividend.com/sure-analysis-research-database/","Innospec Inc")</f>
        <v>0</v>
      </c>
      <c r="C805">
        <v>0.059970457902511</v>
      </c>
      <c r="D805">
        <v>0.104587980678946</v>
      </c>
      <c r="E805">
        <v>-0.047579441377559</v>
      </c>
      <c r="F805">
        <v>0.061310290292619</v>
      </c>
      <c r="G805">
        <v>0.112935444781279</v>
      </c>
      <c r="H805">
        <v>0.264916888473673</v>
      </c>
      <c r="I805">
        <v>0.4784800390085771</v>
      </c>
    </row>
    <row r="806" spans="1:9">
      <c r="A806" s="1" t="s">
        <v>818</v>
      </c>
      <c r="B806">
        <f>HYPERLINK("https://www.suredividend.com/sure-analysis-research-database/","Iovance Biotherapeutics Inc")</f>
        <v>0</v>
      </c>
      <c r="C806">
        <v>0.018309859154929</v>
      </c>
      <c r="D806">
        <v>0.107197549770291</v>
      </c>
      <c r="E806">
        <v>-0.093984962406015</v>
      </c>
      <c r="F806">
        <v>0.131455399061032</v>
      </c>
      <c r="G806">
        <v>-0.399501661129568</v>
      </c>
      <c r="H806">
        <v>-0.681638044914134</v>
      </c>
      <c r="I806">
        <v>-0.474181818181818</v>
      </c>
    </row>
    <row r="807" spans="1:9">
      <c r="A807" s="1" t="s">
        <v>819</v>
      </c>
      <c r="B807">
        <f>HYPERLINK("https://www.suredividend.com/sure-analysis-IPAR/","Inter Parfums, Inc.")</f>
        <v>0</v>
      </c>
      <c r="C807">
        <v>0.07904331340236201</v>
      </c>
      <c r="D807">
        <v>-0.016061640101173</v>
      </c>
      <c r="E807">
        <v>0.266404508324739</v>
      </c>
      <c r="F807">
        <v>0.5545342332641751</v>
      </c>
      <c r="G807">
        <v>0.7748448899747281</v>
      </c>
      <c r="H807">
        <v>0.983866837731275</v>
      </c>
      <c r="I807">
        <v>1.618174355054732</v>
      </c>
    </row>
    <row r="808" spans="1:9">
      <c r="A808" s="1" t="s">
        <v>820</v>
      </c>
      <c r="B808">
        <f>HYPERLINK("https://www.suredividend.com/sure-analysis-research-database/","Intrepid Potash Inc")</f>
        <v>0</v>
      </c>
      <c r="C808">
        <v>0.08652173913043401</v>
      </c>
      <c r="D808">
        <v>-0.020384163073304</v>
      </c>
      <c r="E808">
        <v>-0.242956679794001</v>
      </c>
      <c r="F808">
        <v>-0.134395566331832</v>
      </c>
      <c r="G808">
        <v>-0.429842573579739</v>
      </c>
      <c r="H808">
        <v>-0.265432098765432</v>
      </c>
      <c r="I808">
        <v>-0.309668508287292</v>
      </c>
    </row>
    <row r="809" spans="1:9">
      <c r="A809" s="1" t="s">
        <v>821</v>
      </c>
      <c r="B809">
        <f>HYPERLINK("https://www.suredividend.com/sure-analysis-research-database/","Century Therapeutics Inc")</f>
        <v>0</v>
      </c>
      <c r="C809">
        <v>-0.028662420382165</v>
      </c>
      <c r="D809">
        <v>-0.04687500000000001</v>
      </c>
      <c r="E809">
        <v>-0.369834710743801</v>
      </c>
      <c r="F809">
        <v>-0.405458089668616</v>
      </c>
      <c r="G809">
        <v>-0.7188940092165891</v>
      </c>
      <c r="H809">
        <v>-0.8973409626388421</v>
      </c>
      <c r="I809">
        <v>-0.8664038545773101</v>
      </c>
    </row>
    <row r="810" spans="1:9">
      <c r="A810" s="1" t="s">
        <v>822</v>
      </c>
      <c r="B810">
        <f>HYPERLINK("https://www.suredividend.com/sure-analysis-research-database/","Irobot Corp")</f>
        <v>0</v>
      </c>
      <c r="C810">
        <v>-0.146572625082653</v>
      </c>
      <c r="D810">
        <v>0.016272965879265</v>
      </c>
      <c r="E810">
        <v>-0.104325699745547</v>
      </c>
      <c r="F810">
        <v>-0.195512154581342</v>
      </c>
      <c r="G810">
        <v>-0.225445089017803</v>
      </c>
      <c r="H810">
        <v>-0.547028544688816</v>
      </c>
      <c r="I810">
        <v>-0.5263029116711521</v>
      </c>
    </row>
    <row r="811" spans="1:9">
      <c r="A811" s="1" t="s">
        <v>823</v>
      </c>
      <c r="B811">
        <f>HYPERLINK("https://www.suredividend.com/sure-analysis-research-database/","Iridium Communications Inc")</f>
        <v>0</v>
      </c>
      <c r="C811">
        <v>-0.18630003254149</v>
      </c>
      <c r="D811">
        <v>-0.223378466727645</v>
      </c>
      <c r="E811">
        <v>-0.156175811048174</v>
      </c>
      <c r="F811">
        <v>-0.020736650414145</v>
      </c>
      <c r="G811">
        <v>0.106974314477214</v>
      </c>
      <c r="H811">
        <v>0.211118753087735</v>
      </c>
      <c r="I811">
        <v>1.656150414276609</v>
      </c>
    </row>
    <row r="812" spans="1:9">
      <c r="A812" s="1" t="s">
        <v>824</v>
      </c>
      <c r="B812">
        <f>HYPERLINK("https://www.suredividend.com/sure-analysis-research-database/","Iradimed Corp")</f>
        <v>0</v>
      </c>
      <c r="C812">
        <v>0.006683375104427</v>
      </c>
      <c r="D812">
        <v>0.117033603707995</v>
      </c>
      <c r="E812">
        <v>0.204021732342471</v>
      </c>
      <c r="F812">
        <v>0.7560222089447831</v>
      </c>
      <c r="G812">
        <v>0.298089223435627</v>
      </c>
      <c r="H812">
        <v>0.491378163377074</v>
      </c>
      <c r="I812">
        <v>1.015581026775446</v>
      </c>
    </row>
    <row r="813" spans="1:9">
      <c r="A813" s="1" t="s">
        <v>825</v>
      </c>
      <c r="B813">
        <f>HYPERLINK("https://www.suredividend.com/sure-analysis-research-database/","IronNet Inc")</f>
        <v>0</v>
      </c>
      <c r="C813">
        <v>-0.311898734177215</v>
      </c>
      <c r="D813">
        <v>-0.542424242424242</v>
      </c>
      <c r="E813">
        <v>-0.68076109936575</v>
      </c>
      <c r="F813">
        <v>-0.409130434782608</v>
      </c>
      <c r="G813">
        <v>-0.943375</v>
      </c>
      <c r="H813">
        <v>-0.9892057188244631</v>
      </c>
      <c r="I813">
        <v>-0.9892057188244631</v>
      </c>
    </row>
    <row r="814" spans="1:9">
      <c r="A814" s="1" t="s">
        <v>826</v>
      </c>
      <c r="B814">
        <f>HYPERLINK("https://www.suredividend.com/sure-analysis-IRT/","Independence Realty Trust Inc")</f>
        <v>0</v>
      </c>
      <c r="C814">
        <v>-0.104978354978355</v>
      </c>
      <c r="D814">
        <v>0.01570847815674</v>
      </c>
      <c r="E814">
        <v>-0.12254176414729</v>
      </c>
      <c r="F814">
        <v>-0.00128010047581</v>
      </c>
      <c r="G814">
        <v>-0.186215854522553</v>
      </c>
      <c r="H814">
        <v>-0.11596658417826</v>
      </c>
      <c r="I814">
        <v>1.024578926752839</v>
      </c>
    </row>
    <row r="815" spans="1:9">
      <c r="A815" s="1" t="s">
        <v>827</v>
      </c>
      <c r="B815">
        <f>HYPERLINK("https://www.suredividend.com/sure-analysis-research-database/","iRhythm Technologies Inc")</f>
        <v>0</v>
      </c>
      <c r="C815">
        <v>-0.062860438292964</v>
      </c>
      <c r="D815">
        <v>-0.267027514659449</v>
      </c>
      <c r="E815">
        <v>-0.107878122426571</v>
      </c>
      <c r="F815">
        <v>0.040888224618341</v>
      </c>
      <c r="G815">
        <v>-0.369707156247979</v>
      </c>
      <c r="H815">
        <v>0.9080234833659491</v>
      </c>
      <c r="I815">
        <v>0.153846153846153</v>
      </c>
    </row>
    <row r="816" spans="1:9">
      <c r="A816" s="1" t="s">
        <v>828</v>
      </c>
      <c r="B816">
        <f>HYPERLINK("https://www.suredividend.com/sure-analysis-research-database/","Ironwood Pharmaceuticals Inc")</f>
        <v>0</v>
      </c>
      <c r="C816">
        <v>0.05967276227141401</v>
      </c>
      <c r="D816">
        <v>0.047573739295908</v>
      </c>
      <c r="E816">
        <v>-0.034210526315789</v>
      </c>
      <c r="F816">
        <v>-0.11138014527845</v>
      </c>
      <c r="G816">
        <v>-0.017841213202497</v>
      </c>
      <c r="H816">
        <v>-0.153076923076923</v>
      </c>
      <c r="I816">
        <v>-0.333462483805741</v>
      </c>
    </row>
    <row r="817" spans="1:9">
      <c r="A817" s="1" t="s">
        <v>829</v>
      </c>
      <c r="B817">
        <f>HYPERLINK("https://www.suredividend.com/sure-analysis-research-database/","IVERIC bio Inc")</f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>
      <c r="A818" s="1" t="s">
        <v>830</v>
      </c>
      <c r="B818">
        <f>HYPERLINK("https://www.suredividend.com/sure-analysis-research-database/","Inspirato Incorporated")</f>
        <v>0</v>
      </c>
      <c r="C818">
        <v>0.023095623987034</v>
      </c>
      <c r="D818">
        <v>0.383182689674062</v>
      </c>
      <c r="E818">
        <v>-0.178861788617886</v>
      </c>
      <c r="F818">
        <v>-0.15126050420168</v>
      </c>
      <c r="G818">
        <v>-0.7967806841046271</v>
      </c>
      <c r="H818">
        <v>-0.8994023904382471</v>
      </c>
      <c r="I818">
        <v>-0.9025096525096521</v>
      </c>
    </row>
    <row r="819" spans="1:9">
      <c r="A819" s="1" t="s">
        <v>831</v>
      </c>
      <c r="B819">
        <f>HYPERLINK("https://www.suredividend.com/sure-analysis-research-database/","Intra-Cellular Therapies Inc")</f>
        <v>0</v>
      </c>
      <c r="C819">
        <v>-0.05911487458060301</v>
      </c>
      <c r="D819">
        <v>-0.06893280632411</v>
      </c>
      <c r="E819">
        <v>0.203802125919869</v>
      </c>
      <c r="F819">
        <v>0.112811791383219</v>
      </c>
      <c r="G819">
        <v>0.047864768683274</v>
      </c>
      <c r="H819">
        <v>0.703993055555555</v>
      </c>
      <c r="I819">
        <v>1.817703349282296</v>
      </c>
    </row>
    <row r="820" spans="1:9">
      <c r="A820" s="1" t="s">
        <v>832</v>
      </c>
      <c r="B820">
        <f>HYPERLINK("https://www.suredividend.com/sure-analysis-research-database/","Integer Holdings Corp")</f>
        <v>0</v>
      </c>
      <c r="C820">
        <v>0.019552441229656</v>
      </c>
      <c r="D820">
        <v>0.108912108174554</v>
      </c>
      <c r="E820">
        <v>0.22734693877551</v>
      </c>
      <c r="F820">
        <v>0.317703768624014</v>
      </c>
      <c r="G820">
        <v>0.260444320245913</v>
      </c>
      <c r="H820">
        <v>-0.056676775070584</v>
      </c>
      <c r="I820">
        <v>0.275053003533568</v>
      </c>
    </row>
    <row r="821" spans="1:9">
      <c r="A821" s="1" t="s">
        <v>833</v>
      </c>
      <c r="B821">
        <f>HYPERLINK("https://www.suredividend.com/sure-analysis-research-database/","Investors Title Co.")</f>
        <v>0</v>
      </c>
      <c r="C821">
        <v>0.047755102040816</v>
      </c>
      <c r="D821">
        <v>0.073817455215774</v>
      </c>
      <c r="E821">
        <v>-0.018483256479081</v>
      </c>
      <c r="F821">
        <v>0.054357387586896</v>
      </c>
      <c r="G821">
        <v>0.02029460162007</v>
      </c>
      <c r="H821">
        <v>-0.048422223251934</v>
      </c>
      <c r="I821">
        <v>-0.122697094112125</v>
      </c>
    </row>
    <row r="822" spans="1:9">
      <c r="A822" s="1" t="s">
        <v>834</v>
      </c>
      <c r="B822">
        <f>HYPERLINK("https://www.suredividend.com/sure-analysis-research-database/","ITeos Therapeutics Inc")</f>
        <v>0</v>
      </c>
      <c r="C822">
        <v>0.007485029940119001</v>
      </c>
      <c r="D822">
        <v>-0.028860028860028</v>
      </c>
      <c r="E822">
        <v>-0.351949927780452</v>
      </c>
      <c r="F822">
        <v>-0.310803891449052</v>
      </c>
      <c r="G822">
        <v>-0.487628473543966</v>
      </c>
      <c r="H822">
        <v>-0.4570391286809191</v>
      </c>
      <c r="I822">
        <v>-0.293438320209973</v>
      </c>
    </row>
    <row r="823" spans="1:9">
      <c r="A823" s="1" t="s">
        <v>835</v>
      </c>
      <c r="B823">
        <f>HYPERLINK("https://www.suredividend.com/sure-analysis-research-database/","Itron Inc.")</f>
        <v>0</v>
      </c>
      <c r="C823">
        <v>0.07347167694896201</v>
      </c>
      <c r="D823">
        <v>0.417252869307663</v>
      </c>
      <c r="E823">
        <v>0.291715876497384</v>
      </c>
      <c r="F823">
        <v>0.511549851924975</v>
      </c>
      <c r="G823">
        <v>0.30603889457523</v>
      </c>
      <c r="H823">
        <v>-0.215734480639213</v>
      </c>
      <c r="I823">
        <v>0.283487007544006</v>
      </c>
    </row>
    <row r="824" spans="1:9">
      <c r="A824" s="1" t="s">
        <v>836</v>
      </c>
      <c r="B824">
        <f>HYPERLINK("https://www.suredividend.com/sure-analysis-research-database/","Invesco Mortgage Capital Inc")</f>
        <v>0</v>
      </c>
      <c r="C824">
        <v>0.004440497335701001</v>
      </c>
      <c r="D824">
        <v>0.201478743068392</v>
      </c>
      <c r="E824">
        <v>-0.194036870497188</v>
      </c>
      <c r="F824">
        <v>0.001975601761209</v>
      </c>
      <c r="G824">
        <v>-0.209278912706069</v>
      </c>
      <c r="H824">
        <v>-0.5356609134054811</v>
      </c>
      <c r="I824">
        <v>-0.8200812259293021</v>
      </c>
    </row>
    <row r="825" spans="1:9">
      <c r="A825" s="1" t="s">
        <v>837</v>
      </c>
      <c r="B825">
        <f>HYPERLINK("https://www.suredividend.com/sure-analysis-research-database/","InvenTrust Properties Corp")</f>
        <v>0</v>
      </c>
      <c r="C825">
        <v>0.04277848369335</v>
      </c>
      <c r="D825">
        <v>0.108999018026864</v>
      </c>
      <c r="E825">
        <v>0.015663997557785</v>
      </c>
      <c r="F825">
        <v>0.059859230719559</v>
      </c>
      <c r="G825">
        <v>-0.08878262543118101</v>
      </c>
      <c r="H825">
        <v>2.907936507936508</v>
      </c>
      <c r="I825">
        <v>2.907936507936508</v>
      </c>
    </row>
    <row r="826" spans="1:9">
      <c r="A826" s="1" t="s">
        <v>838</v>
      </c>
      <c r="B826">
        <f>HYPERLINK("https://www.suredividend.com/sure-analysis-research-database/","Invivyd Inc")</f>
        <v>0</v>
      </c>
      <c r="C826">
        <v>0.254237288135593</v>
      </c>
      <c r="D826">
        <v>0.264957264957265</v>
      </c>
      <c r="E826">
        <v>-0.295238095238095</v>
      </c>
      <c r="F826">
        <v>-0.013333333333333</v>
      </c>
      <c r="G826">
        <v>-0.585434173669467</v>
      </c>
      <c r="H826">
        <v>-0.92911877394636</v>
      </c>
      <c r="I826">
        <v>-0.92911877394636</v>
      </c>
    </row>
    <row r="827" spans="1:9">
      <c r="A827" s="1" t="s">
        <v>839</v>
      </c>
      <c r="B827">
        <f>HYPERLINK("https://www.suredividend.com/sure-analysis-JACK/","Jack In The Box, Inc.")</f>
        <v>0</v>
      </c>
      <c r="C827">
        <v>-0.027946162539812</v>
      </c>
      <c r="D827">
        <v>0.033424358274167</v>
      </c>
      <c r="E827">
        <v>0.215930866342709</v>
      </c>
      <c r="F827">
        <v>0.394498063238077</v>
      </c>
      <c r="G827">
        <v>0.30427290335477</v>
      </c>
      <c r="H827">
        <v>-0.062564714345306</v>
      </c>
      <c r="I827">
        <v>0.207753828085606</v>
      </c>
    </row>
    <row r="828" spans="1:9">
      <c r="A828" s="1" t="s">
        <v>840</v>
      </c>
      <c r="B828">
        <f>HYPERLINK("https://www.suredividend.com/sure-analysis-research-database/","Janux Therapeutics Inc")</f>
        <v>0</v>
      </c>
      <c r="C828">
        <v>0.031758957654723</v>
      </c>
      <c r="D828">
        <v>-0.155333333333333</v>
      </c>
      <c r="E828">
        <v>-0.3966666666666661</v>
      </c>
      <c r="F828">
        <v>-0.037965072133637</v>
      </c>
      <c r="G828">
        <v>0.06202849958088801</v>
      </c>
      <c r="H828">
        <v>-0.6159442255228851</v>
      </c>
      <c r="I828">
        <v>-0.496222664015904</v>
      </c>
    </row>
    <row r="829" spans="1:9">
      <c r="A829" s="1" t="s">
        <v>841</v>
      </c>
      <c r="B829">
        <f>HYPERLINK("https://www.suredividend.com/sure-analysis-research-database/","Janus International Group Inc")</f>
        <v>0</v>
      </c>
      <c r="C829">
        <v>0.04928909952606601</v>
      </c>
      <c r="D829">
        <v>0.198051948051948</v>
      </c>
      <c r="E829">
        <v>0.005449591280654</v>
      </c>
      <c r="F829">
        <v>0.16281512605042</v>
      </c>
      <c r="G829">
        <v>0.078947368421052</v>
      </c>
      <c r="H829">
        <v>-0.211538461538461</v>
      </c>
      <c r="I829">
        <v>0.133060388945752</v>
      </c>
    </row>
    <row r="830" spans="1:9">
      <c r="A830" s="1" t="s">
        <v>842</v>
      </c>
      <c r="B830">
        <f>HYPERLINK("https://www.suredividend.com/sure-analysis-research-database/","Sanfilippo (John B.) &amp; Son, Inc")</f>
        <v>0</v>
      </c>
      <c r="C830">
        <v>-0.086662724892305</v>
      </c>
      <c r="D830">
        <v>-0.021080315231512</v>
      </c>
      <c r="E830">
        <v>0.195110359538888</v>
      </c>
      <c r="F830">
        <v>0.364853845901399</v>
      </c>
      <c r="G830">
        <v>0.501669988126071</v>
      </c>
      <c r="H830">
        <v>0.236557172328931</v>
      </c>
      <c r="I830">
        <v>0.571958573447231</v>
      </c>
    </row>
    <row r="831" spans="1:9">
      <c r="A831" s="1" t="s">
        <v>843</v>
      </c>
      <c r="B831">
        <f>HYPERLINK("https://www.suredividend.com/sure-analysis-research-database/","John Bean Technologies Corp")</f>
        <v>0</v>
      </c>
      <c r="C831">
        <v>-0.09155215871209001</v>
      </c>
      <c r="D831">
        <v>0.05080900913779601</v>
      </c>
      <c r="E831">
        <v>-0.017316790224003</v>
      </c>
      <c r="F831">
        <v>0.22563645777571</v>
      </c>
      <c r="G831">
        <v>-0.017199233322162</v>
      </c>
      <c r="H831">
        <v>-0.230645285679659</v>
      </c>
      <c r="I831">
        <v>0.06099712648589901</v>
      </c>
    </row>
    <row r="832" spans="1:9">
      <c r="A832" s="1" t="s">
        <v>844</v>
      </c>
      <c r="B832">
        <f>HYPERLINK("https://www.suredividend.com/sure-analysis-research-database/","JELD-WEN Holding Inc.")</f>
        <v>0</v>
      </c>
      <c r="C832">
        <v>0.028455284552845</v>
      </c>
      <c r="D832">
        <v>0.404440919904837</v>
      </c>
      <c r="E832">
        <v>0.318689501116902</v>
      </c>
      <c r="F832">
        <v>0.8352331606217611</v>
      </c>
      <c r="G832">
        <v>0.223066298342541</v>
      </c>
      <c r="H832">
        <v>-0.339179104477611</v>
      </c>
      <c r="I832">
        <v>-0.342369105087263</v>
      </c>
    </row>
    <row r="833" spans="1:9">
      <c r="A833" s="1" t="s">
        <v>845</v>
      </c>
      <c r="B833">
        <f>HYPERLINK("https://www.suredividend.com/sure-analysis-JJSF/","J&amp;J Snack Foods Corp.")</f>
        <v>0</v>
      </c>
      <c r="C833">
        <v>0.106118063455947</v>
      </c>
      <c r="D833">
        <v>0.130218972256969</v>
      </c>
      <c r="E833">
        <v>0.256747450564175</v>
      </c>
      <c r="F833">
        <v>0.185561632811219</v>
      </c>
      <c r="G833">
        <v>0.308256119485548</v>
      </c>
      <c r="H833">
        <v>0.108940528066314</v>
      </c>
      <c r="I833">
        <v>0.345593165084852</v>
      </c>
    </row>
    <row r="834" spans="1:9">
      <c r="A834" s="1" t="s">
        <v>846</v>
      </c>
      <c r="B834">
        <f>HYPERLINK("https://www.suredividend.com/sure-analysis-research-database/","John Marshall Bancorp Inc")</f>
        <v>0</v>
      </c>
      <c r="C834">
        <v>-0.06555023923444901</v>
      </c>
      <c r="D834">
        <v>0.157134477630511</v>
      </c>
      <c r="E834">
        <v>-0.279612252124645</v>
      </c>
      <c r="F834">
        <v>-0.306645270774015</v>
      </c>
      <c r="G834">
        <v>-0.259565369042022</v>
      </c>
      <c r="H834">
        <v>-0.103622686194504</v>
      </c>
      <c r="I834">
        <v>-0.103622686194504</v>
      </c>
    </row>
    <row r="835" spans="1:9">
      <c r="A835" s="1" t="s">
        <v>847</v>
      </c>
      <c r="B835">
        <f>HYPERLINK("https://www.suredividend.com/sure-analysis-research-database/","JOANN Inc")</f>
        <v>0</v>
      </c>
      <c r="C835">
        <v>0.421800947867298</v>
      </c>
      <c r="D835">
        <v>-0.312849162011173</v>
      </c>
      <c r="E835">
        <v>-0.7242152466367711</v>
      </c>
      <c r="F835">
        <v>-0.568421052631578</v>
      </c>
      <c r="G835">
        <v>-0.8842559918696891</v>
      </c>
      <c r="H835">
        <v>-0.9189552474830001</v>
      </c>
      <c r="I835">
        <v>-0.8932986337020161</v>
      </c>
    </row>
    <row r="836" spans="1:9">
      <c r="A836" s="1" t="s">
        <v>848</v>
      </c>
      <c r="B836">
        <f>HYPERLINK("https://www.suredividend.com/sure-analysis-research-database/","Joby Aviation Inc")</f>
        <v>0</v>
      </c>
      <c r="C836">
        <v>-0.194525904203323</v>
      </c>
      <c r="D836">
        <v>1.009756097560975</v>
      </c>
      <c r="E836">
        <v>0.7531914893617021</v>
      </c>
      <c r="F836">
        <v>1.459701492537313</v>
      </c>
      <c r="G836">
        <v>0.3376623376623371</v>
      </c>
      <c r="H836">
        <v>-0.171026156941649</v>
      </c>
      <c r="I836">
        <v>-0.215238095238095</v>
      </c>
    </row>
    <row r="837" spans="1:9">
      <c r="A837" s="1" t="s">
        <v>849</v>
      </c>
      <c r="B837">
        <f>HYPERLINK("https://www.suredividend.com/sure-analysis-research-database/","St. Joe Co.")</f>
        <v>0</v>
      </c>
      <c r="C837">
        <v>0.24560327198364</v>
      </c>
      <c r="D837">
        <v>0.484027999425002</v>
      </c>
      <c r="E837">
        <v>0.291377179238742</v>
      </c>
      <c r="F837">
        <v>0.583398105953275</v>
      </c>
      <c r="G837">
        <v>0.52084514146032</v>
      </c>
      <c r="H837">
        <v>0.392833459102238</v>
      </c>
      <c r="I837">
        <v>2.452282439892537</v>
      </c>
    </row>
    <row r="838" spans="1:9">
      <c r="A838" s="1" t="s">
        <v>850</v>
      </c>
      <c r="B838">
        <f>HYPERLINK("https://www.suredividend.com/sure-analysis-research-database/","Johnson Outdoors Inc")</f>
        <v>0</v>
      </c>
      <c r="C838">
        <v>-0.035934549200353</v>
      </c>
      <c r="D838">
        <v>0.033796653614393</v>
      </c>
      <c r="E838">
        <v>-0.123516619415607</v>
      </c>
      <c r="F838">
        <v>-0.09862215753429901</v>
      </c>
      <c r="G838">
        <v>-0.131408649920503</v>
      </c>
      <c r="H838">
        <v>-0.483487977386679</v>
      </c>
      <c r="I838">
        <v>-0.230235911603666</v>
      </c>
    </row>
    <row r="839" spans="1:9">
      <c r="A839" s="1" t="s">
        <v>851</v>
      </c>
      <c r="B839">
        <f>HYPERLINK("https://www.suredividend.com/sure-analysis-research-database/","James River Group Holdings Ltd")</f>
        <v>0</v>
      </c>
      <c r="C839">
        <v>-0.029972752043596</v>
      </c>
      <c r="D839">
        <v>-0.119295832488088</v>
      </c>
      <c r="E839">
        <v>-0.23426698271078</v>
      </c>
      <c r="F839">
        <v>-0.142718161371265</v>
      </c>
      <c r="G839">
        <v>-0.243274495799748</v>
      </c>
      <c r="H839">
        <v>-0.4936824080237111</v>
      </c>
      <c r="I839">
        <v>-0.507947477539737</v>
      </c>
    </row>
    <row r="840" spans="1:9">
      <c r="A840" s="1" t="s">
        <v>852</v>
      </c>
      <c r="B840">
        <f>HYPERLINK("https://www.suredividend.com/sure-analysis-research-database/","Jackson Financial Inc")</f>
        <v>0</v>
      </c>
      <c r="C840">
        <v>0.04908972691807501</v>
      </c>
      <c r="D840">
        <v>-0.03351403156728201</v>
      </c>
      <c r="E840">
        <v>-0.283729313161446</v>
      </c>
      <c r="F840">
        <v>-0.037492170489456</v>
      </c>
      <c r="G840">
        <v>0.217984042031206</v>
      </c>
      <c r="H840">
        <v>0.026073131955485</v>
      </c>
      <c r="I840">
        <v>0.026073131955485</v>
      </c>
    </row>
    <row r="841" spans="1:9">
      <c r="A841" s="1" t="s">
        <v>853</v>
      </c>
      <c r="B841">
        <f>HYPERLINK("https://www.suredividend.com/sure-analysis-research-database/","Joint Corp")</f>
        <v>0</v>
      </c>
      <c r="C841">
        <v>-0.017062314540059</v>
      </c>
      <c r="D841">
        <v>-0.15009621552277</v>
      </c>
      <c r="E841">
        <v>-0.284170718530524</v>
      </c>
      <c r="F841">
        <v>-0.05221745350500701</v>
      </c>
      <c r="G841">
        <v>-0.2906852248394</v>
      </c>
      <c r="H841">
        <v>-0.8456969838127401</v>
      </c>
      <c r="I841">
        <v>0.6099635479951391</v>
      </c>
    </row>
    <row r="842" spans="1:9">
      <c r="A842" s="1" t="s">
        <v>854</v>
      </c>
      <c r="B842">
        <f>HYPERLINK("https://www.suredividend.com/sure-analysis-research-database/","Kadant, Inc.")</f>
        <v>0</v>
      </c>
      <c r="C842">
        <v>-0.028968718037077</v>
      </c>
      <c r="D842">
        <v>0.101654821754433</v>
      </c>
      <c r="E842">
        <v>-0.006981124206088001</v>
      </c>
      <c r="F842">
        <v>0.198076744759333</v>
      </c>
      <c r="G842">
        <v>0.071745225069026</v>
      </c>
      <c r="H842">
        <v>0.186073626122054</v>
      </c>
      <c r="I842">
        <v>1.404918336055276</v>
      </c>
    </row>
    <row r="843" spans="1:9">
      <c r="A843" s="1" t="s">
        <v>855</v>
      </c>
      <c r="B843">
        <f>HYPERLINK("https://www.suredividend.com/sure-analysis-KALU/","Kaiser Aluminum Corp")</f>
        <v>0</v>
      </c>
      <c r="C843">
        <v>0.09873372150181001</v>
      </c>
      <c r="D843">
        <v>0.303148248509632</v>
      </c>
      <c r="E843">
        <v>-0.12573447669121</v>
      </c>
      <c r="F843">
        <v>0.09076513015639001</v>
      </c>
      <c r="G843">
        <v>0.154657117038722</v>
      </c>
      <c r="H843">
        <v>-0.293889003088735</v>
      </c>
      <c r="I843">
        <v>-0.150287253237957</v>
      </c>
    </row>
    <row r="844" spans="1:9">
      <c r="A844" s="1" t="s">
        <v>856</v>
      </c>
      <c r="B844">
        <f>HYPERLINK("https://www.suredividend.com/sure-analysis-research-database/","KalVista Pharmaceuticals Inc")</f>
        <v>0</v>
      </c>
      <c r="C844">
        <v>0.224557522123894</v>
      </c>
      <c r="D844">
        <v>0.207197382769901</v>
      </c>
      <c r="E844">
        <v>0.406607369758576</v>
      </c>
      <c r="F844">
        <v>0.6375739644970411</v>
      </c>
      <c r="G844">
        <v>-0.157534246575342</v>
      </c>
      <c r="H844">
        <v>-0.4639225181598061</v>
      </c>
      <c r="I844">
        <v>0.006363636363636</v>
      </c>
    </row>
    <row r="845" spans="1:9">
      <c r="A845" s="1" t="s">
        <v>857</v>
      </c>
      <c r="B845">
        <f>HYPERLINK("https://www.suredividend.com/sure-analysis-research-database/","Kaman Corp.")</f>
        <v>0</v>
      </c>
      <c r="C845">
        <v>-0.08129084967320201</v>
      </c>
      <c r="D845">
        <v>-0.034303895847378</v>
      </c>
      <c r="E845">
        <v>-0.130626381952283</v>
      </c>
      <c r="F845">
        <v>0.027264297883808</v>
      </c>
      <c r="G845">
        <v>-0.257216460796618</v>
      </c>
      <c r="H845">
        <v>-0.45775870382872</v>
      </c>
      <c r="I845">
        <v>-0.619090525702497</v>
      </c>
    </row>
    <row r="846" spans="1:9">
      <c r="A846" s="1" t="s">
        <v>858</v>
      </c>
      <c r="B846">
        <f>HYPERLINK("https://www.suredividend.com/sure-analysis-research-database/","Openlane Inc.")</f>
        <v>0</v>
      </c>
      <c r="C846">
        <v>-0.017857142857142</v>
      </c>
      <c r="D846">
        <v>0.024844720496894</v>
      </c>
      <c r="E846">
        <v>-0.029411764705882</v>
      </c>
      <c r="F846">
        <v>0.137931034482758</v>
      </c>
      <c r="G846">
        <v>-0.07187500000000001</v>
      </c>
      <c r="H846">
        <v>-0.11659726353361</v>
      </c>
      <c r="I846">
        <v>-0.306858599154227</v>
      </c>
    </row>
    <row r="847" spans="1:9">
      <c r="A847" s="1" t="s">
        <v>859</v>
      </c>
      <c r="B847">
        <f>HYPERLINK("https://www.suredividend.com/sure-analysis-research-database/","KB Home")</f>
        <v>0</v>
      </c>
      <c r="C847">
        <v>0.033955052862991</v>
      </c>
      <c r="D847">
        <v>0.209752550614647</v>
      </c>
      <c r="E847">
        <v>0.350922733004991</v>
      </c>
      <c r="F847">
        <v>0.690051425306329</v>
      </c>
      <c r="G847">
        <v>0.7395168299233481</v>
      </c>
      <c r="H847">
        <v>0.290901376007759</v>
      </c>
      <c r="I847">
        <v>1.451930826444378</v>
      </c>
    </row>
    <row r="848" spans="1:9">
      <c r="A848" s="1" t="s">
        <v>860</v>
      </c>
      <c r="B848">
        <f>HYPERLINK("https://www.suredividend.com/sure-analysis-research-database/","Chinook Therapeutics Inc")</f>
        <v>0</v>
      </c>
      <c r="C848">
        <v>0.04216244180031</v>
      </c>
      <c r="D848">
        <v>1.106116048092002</v>
      </c>
      <c r="E848">
        <v>0.6731727574750831</v>
      </c>
      <c r="F848">
        <v>0.537786259541984</v>
      </c>
      <c r="G848">
        <v>1.091900311526479</v>
      </c>
      <c r="H848">
        <v>2.179952644041042</v>
      </c>
      <c r="I848">
        <v>0.478532110091743</v>
      </c>
    </row>
    <row r="849" spans="1:9">
      <c r="A849" s="1" t="s">
        <v>861</v>
      </c>
      <c r="B849">
        <f>HYPERLINK("https://www.suredividend.com/sure-analysis-research-database/","Kimball Electronics Inc")</f>
        <v>0</v>
      </c>
      <c r="C849">
        <v>0.063791228706052</v>
      </c>
      <c r="D849">
        <v>0.444389763779527</v>
      </c>
      <c r="E849">
        <v>0.155966916108704</v>
      </c>
      <c r="F849">
        <v>0.29924745462594</v>
      </c>
      <c r="G849">
        <v>0.347566574839302</v>
      </c>
      <c r="H849">
        <v>0.433805569125549</v>
      </c>
      <c r="I849">
        <v>0.486075949367088</v>
      </c>
    </row>
    <row r="850" spans="1:9">
      <c r="A850" s="1" t="s">
        <v>862</v>
      </c>
      <c r="B850">
        <f>HYPERLINK("https://www.suredividend.com/sure-analysis-research-database/","Kelly Services, Inc.")</f>
        <v>0</v>
      </c>
      <c r="C850">
        <v>0.016301292861157</v>
      </c>
      <c r="D850">
        <v>0.12718204488778</v>
      </c>
      <c r="E850">
        <v>-0.022544196356166</v>
      </c>
      <c r="F850">
        <v>0.08330287542616101</v>
      </c>
      <c r="G850">
        <v>-0.15563733502704</v>
      </c>
      <c r="H850">
        <v>-0.156743949591198</v>
      </c>
      <c r="I850">
        <v>-0.211279402526698</v>
      </c>
    </row>
    <row r="851" spans="1:9">
      <c r="A851" s="1" t="s">
        <v>863</v>
      </c>
      <c r="B851">
        <f>HYPERLINK("https://www.suredividend.com/sure-analysis-research-database/","Kforce Inc.")</f>
        <v>0</v>
      </c>
      <c r="C851">
        <v>-0.033216224848291</v>
      </c>
      <c r="D851">
        <v>0.05721056372339201</v>
      </c>
      <c r="E851">
        <v>0.056413603200999</v>
      </c>
      <c r="F851">
        <v>0.123847888840417</v>
      </c>
      <c r="G851">
        <v>0.016102556872539</v>
      </c>
      <c r="H851">
        <v>0.003650542607899</v>
      </c>
      <c r="I851">
        <v>0.575053074137285</v>
      </c>
    </row>
    <row r="852" spans="1:9">
      <c r="A852" s="1" t="s">
        <v>864</v>
      </c>
      <c r="B852">
        <f>HYPERLINK("https://www.suredividend.com/sure-analysis-research-database/","Korn Ferry")</f>
        <v>0</v>
      </c>
      <c r="C852">
        <v>0.075292882517385</v>
      </c>
      <c r="D852">
        <v>0.145911254214503</v>
      </c>
      <c r="E852">
        <v>-0.06987467507211301</v>
      </c>
      <c r="F852">
        <v>0.051030148755071</v>
      </c>
      <c r="G852">
        <v>-0.178765055326528</v>
      </c>
      <c r="H852">
        <v>-0.211631750729445</v>
      </c>
      <c r="I852">
        <v>-0.157521886895918</v>
      </c>
    </row>
    <row r="853" spans="1:9">
      <c r="A853" s="1" t="s">
        <v>865</v>
      </c>
      <c r="B853">
        <f>HYPERLINK("https://www.suredividend.com/sure-analysis-research-database/","OrthoPediatrics corp")</f>
        <v>0</v>
      </c>
      <c r="C853">
        <v>-0.07597296667443401</v>
      </c>
      <c r="D853">
        <v>-0.179768307819611</v>
      </c>
      <c r="E853">
        <v>-0.184491978609625</v>
      </c>
      <c r="F853">
        <v>-0.002013591744273</v>
      </c>
      <c r="G853">
        <v>-0.19410569105691</v>
      </c>
      <c r="H853">
        <v>-0.394748893298733</v>
      </c>
      <c r="I853">
        <v>0.4402470032691601</v>
      </c>
    </row>
    <row r="854" spans="1:9">
      <c r="A854" s="1" t="s">
        <v>866</v>
      </c>
      <c r="B854">
        <f>HYPERLINK("https://www.suredividend.com/sure-analysis-KLIC/","Kulicke &amp; Soffa Industries, Inc.")</f>
        <v>0</v>
      </c>
      <c r="C854">
        <v>-0.03700545702592</v>
      </c>
      <c r="D854">
        <v>0.204780720094897</v>
      </c>
      <c r="E854">
        <v>0.009373391294400001</v>
      </c>
      <c r="F854">
        <v>0.289195822156269</v>
      </c>
      <c r="G854">
        <v>0.194346155229044</v>
      </c>
      <c r="H854">
        <v>0.082673957348742</v>
      </c>
      <c r="I854">
        <v>1.327479257943393</v>
      </c>
    </row>
    <row r="855" spans="1:9">
      <c r="A855" s="1" t="s">
        <v>867</v>
      </c>
      <c r="B855">
        <f>HYPERLINK("https://www.suredividend.com/sure-analysis-research-database/","Kaleyra Inc")</f>
        <v>0</v>
      </c>
      <c r="C855">
        <v>-0.004405286343612</v>
      </c>
      <c r="D855">
        <v>2.964912280701754</v>
      </c>
      <c r="E855">
        <v>0.669950738916256</v>
      </c>
      <c r="F855">
        <v>1.565363804911272</v>
      </c>
      <c r="G855">
        <v>-0.202821869488536</v>
      </c>
      <c r="H855">
        <v>-0.805507745266781</v>
      </c>
      <c r="I855">
        <v>-0.316532258064516</v>
      </c>
    </row>
    <row r="856" spans="1:9">
      <c r="A856" s="1" t="s">
        <v>868</v>
      </c>
      <c r="B856">
        <f>HYPERLINK("https://www.suredividend.com/sure-analysis-research-database/","Kennametal Inc.")</f>
        <v>0</v>
      </c>
      <c r="C856">
        <v>-0.03550295857988101</v>
      </c>
      <c r="D856">
        <v>0.037819941423659</v>
      </c>
      <c r="E856">
        <v>-0.069647197861968</v>
      </c>
      <c r="F856">
        <v>0.16854747566756</v>
      </c>
      <c r="G856">
        <v>0.085768246666483</v>
      </c>
      <c r="H856">
        <v>-0.22834864940128</v>
      </c>
      <c r="I856">
        <v>-0.171426008432257</v>
      </c>
    </row>
    <row r="857" spans="1:9">
      <c r="A857" s="1" t="s">
        <v>869</v>
      </c>
      <c r="B857">
        <f>HYPERLINK("https://www.suredividend.com/sure-analysis-research-database/","Knowles Corp")</f>
        <v>0</v>
      </c>
      <c r="C857">
        <v>-0.07036011080332401</v>
      </c>
      <c r="D857">
        <v>0.035163479333744</v>
      </c>
      <c r="E857">
        <v>-0.145185939887926</v>
      </c>
      <c r="F857">
        <v>0.021924482338611</v>
      </c>
      <c r="G857">
        <v>0.010234798314268</v>
      </c>
      <c r="H857">
        <v>-0.166003976143141</v>
      </c>
      <c r="I857">
        <v>-0.04821327283040201</v>
      </c>
    </row>
    <row r="858" spans="1:9">
      <c r="A858" s="1" t="s">
        <v>870</v>
      </c>
      <c r="B858">
        <f>HYPERLINK("https://www.suredividend.com/sure-analysis-research-database/","Kiniksa Pharmaceuticals Ltd")</f>
        <v>0</v>
      </c>
      <c r="C858">
        <v>0.346704871060171</v>
      </c>
      <c r="D858">
        <v>0.378299120234604</v>
      </c>
      <c r="E858">
        <v>0.333333333333333</v>
      </c>
      <c r="F858">
        <v>0.255006675567423</v>
      </c>
      <c r="G858">
        <v>0.7602996254681641</v>
      </c>
      <c r="H858">
        <v>0.37326515704894</v>
      </c>
      <c r="I858">
        <v>0.37628111273792</v>
      </c>
    </row>
    <row r="859" spans="1:9">
      <c r="A859" s="1" t="s">
        <v>871</v>
      </c>
      <c r="B859">
        <f>HYPERLINK("https://www.suredividend.com/sure-analysis-research-database/","Kinsale Capital Group Inc")</f>
        <v>0</v>
      </c>
      <c r="C859">
        <v>0.019206319149511</v>
      </c>
      <c r="D859">
        <v>0.142454289093059</v>
      </c>
      <c r="E859">
        <v>0.297544697051879</v>
      </c>
      <c r="F859">
        <v>0.4413305366438121</v>
      </c>
      <c r="G859">
        <v>0.5687252551151051</v>
      </c>
      <c r="H859">
        <v>1.17025409201504</v>
      </c>
      <c r="I859">
        <v>5.333961512404155</v>
      </c>
    </row>
    <row r="860" spans="1:9">
      <c r="A860" s="1" t="s">
        <v>872</v>
      </c>
      <c r="B860">
        <f>HYPERLINK("https://www.suredividend.com/sure-analysis-research-database/","Kinnate Biopharma Inc")</f>
        <v>0</v>
      </c>
      <c r="C860">
        <v>-0.059800664451827</v>
      </c>
      <c r="D860">
        <v>-0.027491408934707</v>
      </c>
      <c r="E860">
        <v>-0.623670212765957</v>
      </c>
      <c r="F860">
        <v>-0.536065573770491</v>
      </c>
      <c r="G860">
        <v>-0.7455035971223021</v>
      </c>
      <c r="H860">
        <v>-0.8585</v>
      </c>
      <c r="I860">
        <v>-0.9274916730719961</v>
      </c>
    </row>
    <row r="861" spans="1:9">
      <c r="A861" s="1" t="s">
        <v>873</v>
      </c>
      <c r="B861">
        <f>HYPERLINK("https://www.suredividend.com/sure-analysis-research-database/","Kinetik Holdings Inc")</f>
        <v>0</v>
      </c>
      <c r="C861">
        <v>0.038280051391962</v>
      </c>
      <c r="D861">
        <v>0.286256813029278</v>
      </c>
      <c r="E861">
        <v>0.281422593842728</v>
      </c>
      <c r="F861">
        <v>0.162779367486999</v>
      </c>
      <c r="G861">
        <v>0.017331579052062</v>
      </c>
      <c r="H861">
        <v>-0.4287683735535711</v>
      </c>
      <c r="I861">
        <v>2.597989949748744</v>
      </c>
    </row>
    <row r="862" spans="1:9">
      <c r="A862" s="1" t="s">
        <v>874</v>
      </c>
      <c r="B862">
        <f>HYPERLINK("https://www.suredividend.com/sure-analysis-research-database/","Kodiak Sciences Inc")</f>
        <v>0</v>
      </c>
      <c r="C862">
        <v>-0.530935251798561</v>
      </c>
      <c r="D862">
        <v>-0.260770975056689</v>
      </c>
      <c r="E862">
        <v>-0.62004662004662</v>
      </c>
      <c r="F862">
        <v>-0.544692737430167</v>
      </c>
      <c r="G862">
        <v>-0.6218097447795821</v>
      </c>
      <c r="H862">
        <v>-0.9606375271673501</v>
      </c>
      <c r="I862">
        <v>-0.6791338582677161</v>
      </c>
    </row>
    <row r="863" spans="1:9">
      <c r="A863" s="1" t="s">
        <v>875</v>
      </c>
      <c r="B863">
        <f>HYPERLINK("https://www.suredividend.com/sure-analysis-research-database/","Eastman Kodak Co.")</f>
        <v>0</v>
      </c>
      <c r="C863">
        <v>0.07966457023060801</v>
      </c>
      <c r="D863">
        <v>0.5944272445820431</v>
      </c>
      <c r="E863">
        <v>0.277915632754342</v>
      </c>
      <c r="F863">
        <v>0.6885245901639341</v>
      </c>
      <c r="G863">
        <v>-0.147350993377483</v>
      </c>
      <c r="H863">
        <v>-0.305929919137466</v>
      </c>
      <c r="I863">
        <v>0.5846153846153841</v>
      </c>
    </row>
    <row r="864" spans="1:9">
      <c r="A864" s="1" t="s">
        <v>876</v>
      </c>
      <c r="B864">
        <f>HYPERLINK("https://www.suredividend.com/sure-analysis-research-database/","Koppers Holdings Inc")</f>
        <v>0</v>
      </c>
      <c r="C864">
        <v>0.11465892597968</v>
      </c>
      <c r="D864">
        <v>0.200836833168114</v>
      </c>
      <c r="E864">
        <v>0.09237075746239901</v>
      </c>
      <c r="F864">
        <v>0.366625857700082</v>
      </c>
      <c r="G864">
        <v>0.60099395041088</v>
      </c>
      <c r="H864">
        <v>0.256051288760957</v>
      </c>
      <c r="I864">
        <v>0.032568945488964</v>
      </c>
    </row>
    <row r="865" spans="1:9">
      <c r="A865" s="1" t="s">
        <v>877</v>
      </c>
      <c r="B865">
        <f>HYPERLINK("https://www.suredividend.com/sure-analysis-research-database/","Kore Group Holdings Inc")</f>
        <v>0</v>
      </c>
      <c r="C865">
        <v>-0.03846153846153801</v>
      </c>
      <c r="D865">
        <v>0.096491228070175</v>
      </c>
      <c r="E865">
        <v>-0.441964285714285</v>
      </c>
      <c r="F865">
        <v>-0.007936507936507001</v>
      </c>
      <c r="G865">
        <v>-0.5454545454545451</v>
      </c>
      <c r="H865">
        <v>-0.825905292479108</v>
      </c>
      <c r="I865">
        <v>-0.825905292479108</v>
      </c>
    </row>
    <row r="866" spans="1:9">
      <c r="A866" s="1" t="s">
        <v>878</v>
      </c>
      <c r="B866">
        <f>HYPERLINK("https://www.suredividend.com/sure-analysis-research-database/","Kosmos Energy Ltd")</f>
        <v>0</v>
      </c>
      <c r="C866">
        <v>0.193708609271523</v>
      </c>
      <c r="D866">
        <v>0.209731543624161</v>
      </c>
      <c r="E866">
        <v>-0.028301886792452</v>
      </c>
      <c r="F866">
        <v>0.133647798742138</v>
      </c>
      <c r="G866">
        <v>0.193708609271523</v>
      </c>
      <c r="H866">
        <v>2.262443438914027</v>
      </c>
      <c r="I866">
        <v>-0.018473392597029</v>
      </c>
    </row>
    <row r="867" spans="1:9">
      <c r="A867" s="1" t="s">
        <v>879</v>
      </c>
      <c r="B867">
        <f>HYPERLINK("https://www.suredividend.com/sure-analysis-research-database/","Karyopharm Therapeutics Inc")</f>
        <v>0</v>
      </c>
      <c r="C867">
        <v>0.05232558139534801</v>
      </c>
      <c r="D867">
        <v>-0.5054644808743171</v>
      </c>
      <c r="E867">
        <v>-0.467647058823529</v>
      </c>
      <c r="F867">
        <v>-0.467647058823529</v>
      </c>
      <c r="G867">
        <v>-0.5977777777777771</v>
      </c>
      <c r="H867">
        <v>-0.767052767052767</v>
      </c>
      <c r="I867">
        <v>-0.8972758229284901</v>
      </c>
    </row>
    <row r="868" spans="1:9">
      <c r="A868" s="1" t="s">
        <v>880</v>
      </c>
      <c r="B868">
        <f>HYPERLINK("https://www.suredividend.com/sure-analysis-KREF/","KKR Real Estate Finance Trust Inc")</f>
        <v>0</v>
      </c>
      <c r="C868">
        <v>-0.002448979591836</v>
      </c>
      <c r="D868">
        <v>0.211244151930853</v>
      </c>
      <c r="E868">
        <v>-0.197346382475614</v>
      </c>
      <c r="F868">
        <v>-0.057629575933309</v>
      </c>
      <c r="G868">
        <v>-0.272497797251922</v>
      </c>
      <c r="H868">
        <v>-0.279481132075471</v>
      </c>
      <c r="I868">
        <v>-0.03279168612428</v>
      </c>
    </row>
    <row r="869" spans="1:9">
      <c r="A869" s="1" t="s">
        <v>881</v>
      </c>
      <c r="B869">
        <f>HYPERLINK("https://www.suredividend.com/sure-analysis-KRG/","Kite Realty Group Trust")</f>
        <v>0</v>
      </c>
      <c r="C869">
        <v>0.069018507382909</v>
      </c>
      <c r="D869">
        <v>0.190186908935824</v>
      </c>
      <c r="E869">
        <v>0.10091743119266</v>
      </c>
      <c r="F869">
        <v>0.178764556514393</v>
      </c>
      <c r="G869">
        <v>0.276969326132645</v>
      </c>
      <c r="H869">
        <v>0.319565862831128</v>
      </c>
      <c r="I869">
        <v>0.839644335428483</v>
      </c>
    </row>
    <row r="870" spans="1:9">
      <c r="A870" s="1" t="s">
        <v>882</v>
      </c>
      <c r="B870">
        <f>HYPERLINK("https://www.suredividend.com/sure-analysis-research-database/","Kearny Financial Corp.")</f>
        <v>0</v>
      </c>
      <c r="C870">
        <v>0.169444444444444</v>
      </c>
      <c r="D870">
        <v>0.17360094780124</v>
      </c>
      <c r="E870">
        <v>-0.14599265675396</v>
      </c>
      <c r="F870">
        <v>-0.135052954893319</v>
      </c>
      <c r="G870">
        <v>-0.242533285354444</v>
      </c>
      <c r="H870">
        <v>-0.254656185822533</v>
      </c>
      <c r="I870">
        <v>-0.266799606405489</v>
      </c>
    </row>
    <row r="871" spans="1:9">
      <c r="A871" s="1" t="s">
        <v>883</v>
      </c>
      <c r="B871">
        <f>HYPERLINK("https://www.suredividend.com/sure-analysis-KRO/","Kronos Worldwide, Inc.")</f>
        <v>0</v>
      </c>
      <c r="C871">
        <v>-0.020089285714285</v>
      </c>
      <c r="D871">
        <v>-0.023641660921201</v>
      </c>
      <c r="E871">
        <v>-0.222995097258358</v>
      </c>
      <c r="F871">
        <v>-0.028739573884377</v>
      </c>
      <c r="G871">
        <v>-0.461848226489571</v>
      </c>
      <c r="H871">
        <v>-0.279914705158697</v>
      </c>
      <c r="I871">
        <v>-0.474056236447064</v>
      </c>
    </row>
    <row r="872" spans="1:9">
      <c r="A872" s="1" t="s">
        <v>884</v>
      </c>
      <c r="B872">
        <f>HYPERLINK("https://www.suredividend.com/sure-analysis-research-database/","Kronos Bio Inc")</f>
        <v>0</v>
      </c>
      <c r="C872">
        <v>-0.044444444444444</v>
      </c>
      <c r="D872">
        <v>0.023809523809523</v>
      </c>
      <c r="E872">
        <v>-0.242290748898678</v>
      </c>
      <c r="F872">
        <v>0.061728395061728</v>
      </c>
      <c r="G872">
        <v>-0.6673114119922631</v>
      </c>
      <c r="H872">
        <v>-0.9152291769344501</v>
      </c>
      <c r="I872">
        <v>-0.9364610269671221</v>
      </c>
    </row>
    <row r="873" spans="1:9">
      <c r="A873" s="1" t="s">
        <v>885</v>
      </c>
      <c r="B873">
        <f>HYPERLINK("https://www.suredividend.com/sure-analysis-research-database/","Keros Therapeutics Inc")</f>
        <v>0</v>
      </c>
      <c r="C873">
        <v>0.009781790820165</v>
      </c>
      <c r="D873">
        <v>-0.111062044601457</v>
      </c>
      <c r="E873">
        <v>-0.298972662371582</v>
      </c>
      <c r="F873">
        <v>-0.161599333610995</v>
      </c>
      <c r="G873">
        <v>0.236486486486486</v>
      </c>
      <c r="H873">
        <v>0.157561817136285</v>
      </c>
      <c r="I873">
        <v>1.004980079681275</v>
      </c>
    </row>
    <row r="874" spans="1:9">
      <c r="A874" s="1" t="s">
        <v>886</v>
      </c>
      <c r="B874">
        <f>HYPERLINK("https://www.suredividend.com/sure-analysis-research-database/","Karat Packaging Inc")</f>
        <v>0</v>
      </c>
      <c r="C874">
        <v>0.065405405405405</v>
      </c>
      <c r="D874">
        <v>0.413115952939152</v>
      </c>
      <c r="E874">
        <v>0.359188486549481</v>
      </c>
      <c r="F874">
        <v>0.437699680511182</v>
      </c>
      <c r="G874">
        <v>0.16361446636676</v>
      </c>
      <c r="H874">
        <v>-0.105554547104737</v>
      </c>
      <c r="I874">
        <v>0.141668887061086</v>
      </c>
    </row>
    <row r="875" spans="1:9">
      <c r="A875" s="1" t="s">
        <v>887</v>
      </c>
      <c r="B875">
        <f>HYPERLINK("https://www.suredividend.com/sure-analysis-research-database/","Karuna Therapeutics Inc")</f>
        <v>0</v>
      </c>
      <c r="C875">
        <v>-0.14347945707997</v>
      </c>
      <c r="D875">
        <v>-0.112214828897338</v>
      </c>
      <c r="E875">
        <v>-0.027084743997083</v>
      </c>
      <c r="F875">
        <v>-0.04941475826972001</v>
      </c>
      <c r="G875">
        <v>0.453958122518876</v>
      </c>
      <c r="H875">
        <v>0.7136697247706421</v>
      </c>
      <c r="I875">
        <v>8.330169830169829</v>
      </c>
    </row>
    <row r="876" spans="1:9">
      <c r="A876" s="1" t="s">
        <v>888</v>
      </c>
      <c r="B876">
        <f>HYPERLINK("https://www.suredividend.com/sure-analysis-research-database/","Kura Sushi USA Inc")</f>
        <v>0</v>
      </c>
      <c r="C876">
        <v>0.026272577996715</v>
      </c>
      <c r="D876">
        <v>0.420454545454545</v>
      </c>
      <c r="E876">
        <v>0.51748138556167</v>
      </c>
      <c r="F876">
        <v>0.96623322147651</v>
      </c>
      <c r="G876">
        <v>0.08809192200557101</v>
      </c>
      <c r="H876">
        <v>0.966645689112649</v>
      </c>
      <c r="I876">
        <v>3.780724120346762</v>
      </c>
    </row>
    <row r="877" spans="1:9">
      <c r="A877" s="1" t="s">
        <v>889</v>
      </c>
      <c r="B877">
        <f>HYPERLINK("https://www.suredividend.com/sure-analysis-research-database/","Krystal Biotech Inc")</f>
        <v>0</v>
      </c>
      <c r="C877">
        <v>0.06578834801950501</v>
      </c>
      <c r="D877">
        <v>0.4846859730663801</v>
      </c>
      <c r="E877">
        <v>0.5531729210821591</v>
      </c>
      <c r="F877">
        <v>0.5725826811411251</v>
      </c>
      <c r="G877">
        <v>0.68922033898305</v>
      </c>
      <c r="H877">
        <v>1.140549828178694</v>
      </c>
      <c r="I877">
        <v>6.894803548795944</v>
      </c>
    </row>
    <row r="878" spans="1:9">
      <c r="A878" s="1" t="s">
        <v>890</v>
      </c>
      <c r="B878">
        <f>HYPERLINK("https://www.suredividend.com/sure-analysis-KTB/","Kontoor Brands Inc")</f>
        <v>0</v>
      </c>
      <c r="C878">
        <v>0.120431115276476</v>
      </c>
      <c r="D878">
        <v>0.08662555274292201</v>
      </c>
      <c r="E878">
        <v>-0.018668286486475</v>
      </c>
      <c r="F878">
        <v>0.220589211236976</v>
      </c>
      <c r="G878">
        <v>0.320826635289438</v>
      </c>
      <c r="H878">
        <v>-0.096228426280815</v>
      </c>
      <c r="I878">
        <v>0.18074074074074</v>
      </c>
    </row>
    <row r="879" spans="1:9">
      <c r="A879" s="1" t="s">
        <v>891</v>
      </c>
      <c r="B879">
        <f>HYPERLINK("https://www.suredividend.com/sure-analysis-research-database/","Kratos Defense &amp; Security Solutions Inc")</f>
        <v>0</v>
      </c>
      <c r="C879">
        <v>0.019787985865724</v>
      </c>
      <c r="D879">
        <v>0.109999999999999</v>
      </c>
      <c r="E879">
        <v>0.197510373443983</v>
      </c>
      <c r="F879">
        <v>0.398255813953488</v>
      </c>
      <c r="G879">
        <v>-0.05500982318271101</v>
      </c>
      <c r="H879">
        <v>-0.467724087052748</v>
      </c>
      <c r="I879">
        <v>0.163709677419354</v>
      </c>
    </row>
    <row r="880" spans="1:9">
      <c r="A880" s="1" t="s">
        <v>892</v>
      </c>
      <c r="B880">
        <f>HYPERLINK("https://www.suredividend.com/sure-analysis-research-database/","Kura Oncology Inc")</f>
        <v>0</v>
      </c>
      <c r="C880">
        <v>-0.00566037735849</v>
      </c>
      <c r="D880">
        <v>-0.011257035647279</v>
      </c>
      <c r="E880">
        <v>-0.212257100149476</v>
      </c>
      <c r="F880">
        <v>-0.150684931506849</v>
      </c>
      <c r="G880">
        <v>-0.301061007957559</v>
      </c>
      <c r="H880">
        <v>-0.419283746556473</v>
      </c>
      <c r="I880">
        <v>-0.5097674418604651</v>
      </c>
    </row>
    <row r="881" spans="1:9">
      <c r="A881" s="1" t="s">
        <v>893</v>
      </c>
      <c r="B881">
        <f>HYPERLINK("https://www.suredividend.com/sure-analysis-research-database/","Kennedy-Wilson Holdings Inc")</f>
        <v>0</v>
      </c>
      <c r="C881">
        <v>-0.007242003621001001</v>
      </c>
      <c r="D881">
        <v>0.021263386621139</v>
      </c>
      <c r="E881">
        <v>-0.06784607277033801</v>
      </c>
      <c r="F881">
        <v>0.077339201393664</v>
      </c>
      <c r="G881">
        <v>-0.12617594407526</v>
      </c>
      <c r="H881">
        <v>-0.09996170049789301</v>
      </c>
      <c r="I881">
        <v>-0.043337675630408</v>
      </c>
    </row>
    <row r="882" spans="1:9">
      <c r="A882" s="1" t="s">
        <v>894</v>
      </c>
      <c r="B882">
        <f>HYPERLINK("https://www.suredividend.com/sure-analysis-KWR/","Quaker Houghton")</f>
        <v>0</v>
      </c>
      <c r="C882">
        <v>-0.055753072260042</v>
      </c>
      <c r="D882">
        <v>-0.003518879091057</v>
      </c>
      <c r="E882">
        <v>-0.108415592466664</v>
      </c>
      <c r="F882">
        <v>0.124289515256836</v>
      </c>
      <c r="G882">
        <v>0.214331179690915</v>
      </c>
      <c r="H882">
        <v>-0.261771494929555</v>
      </c>
      <c r="I882">
        <v>0.168678732793354</v>
      </c>
    </row>
    <row r="883" spans="1:9">
      <c r="A883" s="1" t="s">
        <v>895</v>
      </c>
      <c r="B883">
        <f>HYPERLINK("https://www.suredividend.com/sure-analysis-research-database/","Kymera Therapeutics Inc")</f>
        <v>0</v>
      </c>
      <c r="C883">
        <v>0.012722646310432</v>
      </c>
      <c r="D883">
        <v>-0.227184466019417</v>
      </c>
      <c r="E883">
        <v>-0.357200538358008</v>
      </c>
      <c r="F883">
        <v>-0.04326923076923</v>
      </c>
      <c r="G883">
        <v>-0.104947526236881</v>
      </c>
      <c r="H883">
        <v>-0.6020000000000001</v>
      </c>
      <c r="I883">
        <v>-0.282020444978953</v>
      </c>
    </row>
    <row r="884" spans="1:9">
      <c r="A884" s="1" t="s">
        <v>896</v>
      </c>
      <c r="B884">
        <f>HYPERLINK("https://www.suredividend.com/sure-analysis-research-database/","Kezar Life Sciences Inc")</f>
        <v>0</v>
      </c>
      <c r="C884">
        <v>-0.126016260162601</v>
      </c>
      <c r="D884">
        <v>-0.176245210727969</v>
      </c>
      <c r="E884">
        <v>-0.697183098591549</v>
      </c>
      <c r="F884">
        <v>-0.694602272727272</v>
      </c>
      <c r="G884">
        <v>-0.7826086956521741</v>
      </c>
      <c r="H884">
        <v>-0.5567010309278351</v>
      </c>
      <c r="I884">
        <v>-0.8680981595092021</v>
      </c>
    </row>
    <row r="885" spans="1:9">
      <c r="A885" s="1" t="s">
        <v>897</v>
      </c>
      <c r="B885">
        <f>HYPERLINK("https://www.suredividend.com/sure-analysis-LADR/","Ladder Capital Corp")</f>
        <v>0</v>
      </c>
      <c r="C885">
        <v>-0.014625228519195</v>
      </c>
      <c r="D885">
        <v>0.205115592720118</v>
      </c>
      <c r="E885">
        <v>-0.01238639695104</v>
      </c>
      <c r="F885">
        <v>0.12434552243476</v>
      </c>
      <c r="G885">
        <v>0.039757711375605</v>
      </c>
      <c r="H885">
        <v>0.16325495570351</v>
      </c>
      <c r="I885">
        <v>-0.029222387320455</v>
      </c>
    </row>
    <row r="886" spans="1:9">
      <c r="A886" s="1" t="s">
        <v>898</v>
      </c>
      <c r="B886">
        <f>HYPERLINK("https://www.suredividend.com/sure-analysis-LANC/","Lancaster Colony Corp.")</f>
        <v>0</v>
      </c>
      <c r="C886">
        <v>-0.03531700503816</v>
      </c>
      <c r="D886">
        <v>-0.083468403143098</v>
      </c>
      <c r="E886">
        <v>0.05171450837417901</v>
      </c>
      <c r="F886">
        <v>-0.007027670650913</v>
      </c>
      <c r="G886">
        <v>0.453052846072121</v>
      </c>
      <c r="H886">
        <v>0.031979133092703</v>
      </c>
      <c r="I886">
        <v>0.430020748943696</v>
      </c>
    </row>
    <row r="887" spans="1:9">
      <c r="A887" s="1" t="s">
        <v>899</v>
      </c>
      <c r="B887">
        <f>HYPERLINK("https://www.suredividend.com/sure-analysis-LAND/","Gladstone Land Corp")</f>
        <v>0</v>
      </c>
      <c r="C887">
        <v>0.010027169609025</v>
      </c>
      <c r="D887">
        <v>0.091831023015376</v>
      </c>
      <c r="E887">
        <v>-0.131773527994805</v>
      </c>
      <c r="F887">
        <v>-0.07663176654043201</v>
      </c>
      <c r="G887">
        <v>-0.3526674162918541</v>
      </c>
      <c r="H887">
        <v>-0.243140101249412</v>
      </c>
      <c r="I887">
        <v>0.656873326138225</v>
      </c>
    </row>
    <row r="888" spans="1:9">
      <c r="A888" s="1" t="s">
        <v>900</v>
      </c>
      <c r="B888">
        <f>HYPERLINK("https://www.suredividend.com/sure-analysis-research-database/","nLIGHT Inc")</f>
        <v>0</v>
      </c>
      <c r="C888">
        <v>-0.133418858242463</v>
      </c>
      <c r="D888">
        <v>0.4605405405405401</v>
      </c>
      <c r="E888">
        <v>0.040030792917628</v>
      </c>
      <c r="F888">
        <v>0.332347140039447</v>
      </c>
      <c r="G888">
        <v>0.03763440860215</v>
      </c>
      <c r="H888">
        <v>-0.570702256116936</v>
      </c>
      <c r="I888">
        <v>-0.559647979139504</v>
      </c>
    </row>
    <row r="889" spans="1:9">
      <c r="A889" s="1" t="s">
        <v>901</v>
      </c>
      <c r="B889">
        <f>HYPERLINK("https://www.suredividend.com/sure-analysis-research-database/","Laureate Education Inc")</f>
        <v>0</v>
      </c>
      <c r="C889">
        <v>0.09709543568464701</v>
      </c>
      <c r="D889">
        <v>0.111858704793944</v>
      </c>
      <c r="E889">
        <v>0.176156583629893</v>
      </c>
      <c r="F889">
        <v>0.374220374220374</v>
      </c>
      <c r="G889">
        <v>0.216751035434882</v>
      </c>
      <c r="H889">
        <v>0.316601932078478</v>
      </c>
      <c r="I889">
        <v>0.316601932078478</v>
      </c>
    </row>
    <row r="890" spans="1:9">
      <c r="A890" s="1" t="s">
        <v>902</v>
      </c>
      <c r="B890">
        <f>HYPERLINK("https://www.suredividend.com/sure-analysis-research-database/","CS Disco Inc")</f>
        <v>0</v>
      </c>
      <c r="C890">
        <v>0.08928571428571401</v>
      </c>
      <c r="D890">
        <v>0.6881918819188191</v>
      </c>
      <c r="E890">
        <v>0.05414746543778801</v>
      </c>
      <c r="F890">
        <v>0.4477848101265821</v>
      </c>
      <c r="G890">
        <v>-0.672043010752688</v>
      </c>
      <c r="H890">
        <v>-0.787998146431881</v>
      </c>
      <c r="I890">
        <v>-0.7768292682926831</v>
      </c>
    </row>
    <row r="891" spans="1:9">
      <c r="A891" s="1" t="s">
        <v>903</v>
      </c>
      <c r="B891">
        <f>HYPERLINK("https://www.suredividend.com/sure-analysis-research-database/","Luminar Technologies Inc")</f>
        <v>0</v>
      </c>
      <c r="C891">
        <v>0.081120943952802</v>
      </c>
      <c r="D891">
        <v>0.22986577181208</v>
      </c>
      <c r="E891">
        <v>-0.04308093994778001</v>
      </c>
      <c r="F891">
        <v>0.48080808080808</v>
      </c>
      <c r="G891">
        <v>-0.027851458885941</v>
      </c>
      <c r="H891">
        <v>-0.584467120181405</v>
      </c>
      <c r="I891">
        <v>-0.25204081632653</v>
      </c>
    </row>
    <row r="892" spans="1:9">
      <c r="A892" s="1" t="s">
        <v>904</v>
      </c>
      <c r="B892">
        <f>HYPERLINK("https://www.suredividend.com/sure-analysis-research-database/","Lakeland Bancorp, Inc.")</f>
        <v>0</v>
      </c>
      <c r="C892">
        <v>0.09897360703812301</v>
      </c>
      <c r="D892">
        <v>0.189729751180602</v>
      </c>
      <c r="E892">
        <v>-0.224087953952544</v>
      </c>
      <c r="F892">
        <v>-0.12204150242771</v>
      </c>
      <c r="G892">
        <v>-0.005605492719493</v>
      </c>
      <c r="H892">
        <v>-0.013289976895582</v>
      </c>
      <c r="I892">
        <v>-0.070877366969349</v>
      </c>
    </row>
    <row r="893" spans="1:9">
      <c r="A893" s="1" t="s">
        <v>905</v>
      </c>
      <c r="B893">
        <f>HYPERLINK("https://www.suredividend.com/sure-analysis-research-database/","Luther Burbank Corp")</f>
        <v>0</v>
      </c>
      <c r="C893">
        <v>0.126651982378854</v>
      </c>
      <c r="D893">
        <v>0.223684210526315</v>
      </c>
      <c r="E893">
        <v>-0.151741293532338</v>
      </c>
      <c r="F893">
        <v>-0.079207920792079</v>
      </c>
      <c r="G893">
        <v>-0.196771382134248</v>
      </c>
      <c r="H893">
        <v>-0.170121115266364</v>
      </c>
      <c r="I893">
        <v>0.07950108688770201</v>
      </c>
    </row>
    <row r="894" spans="1:9">
      <c r="A894" s="1" t="s">
        <v>906</v>
      </c>
      <c r="B894">
        <f>HYPERLINK("https://www.suredividend.com/sure-analysis-research-database/","Liberty Energy Inc")</f>
        <v>0</v>
      </c>
      <c r="C894">
        <v>0.210065645514223</v>
      </c>
      <c r="D894">
        <v>0.391778523489932</v>
      </c>
      <c r="E894">
        <v>0.08691379378120201</v>
      </c>
      <c r="F894">
        <v>0.03938902219744</v>
      </c>
      <c r="G894">
        <v>0.217543190124616</v>
      </c>
      <c r="H894">
        <v>0.630130390779298</v>
      </c>
      <c r="I894">
        <v>-0.127365685851646</v>
      </c>
    </row>
    <row r="895" spans="1:9">
      <c r="A895" s="1" t="s">
        <v>907</v>
      </c>
      <c r="B895">
        <f>HYPERLINK("https://www.suredividend.com/sure-analysis-research-database/","LendingClub Corp")</f>
        <v>0</v>
      </c>
      <c r="C895">
        <v>-0.234879032258064</v>
      </c>
      <c r="D895">
        <v>0.141353383458646</v>
      </c>
      <c r="E895">
        <v>-0.247770069375619</v>
      </c>
      <c r="F895">
        <v>-0.1375</v>
      </c>
      <c r="G895">
        <v>-0.490604026845637</v>
      </c>
      <c r="H895">
        <v>-0.708749040675364</v>
      </c>
      <c r="I895">
        <v>-0.613740458015267</v>
      </c>
    </row>
    <row r="896" spans="1:9">
      <c r="A896" s="1" t="s">
        <v>908</v>
      </c>
      <c r="B896">
        <f>HYPERLINK("https://www.suredividend.com/sure-analysis-research-database/","LCI Industries")</f>
        <v>0</v>
      </c>
      <c r="C896">
        <v>0.049268062332756</v>
      </c>
      <c r="D896">
        <v>0.193937890512707</v>
      </c>
      <c r="E896">
        <v>0.140109854869454</v>
      </c>
      <c r="F896">
        <v>0.469871601225113</v>
      </c>
      <c r="G896">
        <v>0.052186293482</v>
      </c>
      <c r="H896">
        <v>-0.004216320783959</v>
      </c>
      <c r="I896">
        <v>0.525547077751179</v>
      </c>
    </row>
    <row r="897" spans="1:9">
      <c r="A897" s="1" t="s">
        <v>909</v>
      </c>
      <c r="B897">
        <f>HYPERLINK("https://www.suredividend.com/sure-analysis-research-database/","Lifetime Brands, Inc.")</f>
        <v>0</v>
      </c>
      <c r="C897">
        <v>-0.131631394134952</v>
      </c>
      <c r="D897">
        <v>0.114969840979711</v>
      </c>
      <c r="E897">
        <v>-0.296334273263265</v>
      </c>
      <c r="F897">
        <v>-0.255270083290376</v>
      </c>
      <c r="G897">
        <v>-0.4436506247529871</v>
      </c>
      <c r="H897">
        <v>-0.6301436309251121</v>
      </c>
      <c r="I897">
        <v>-0.4735428933085281</v>
      </c>
    </row>
    <row r="898" spans="1:9">
      <c r="A898" s="1" t="s">
        <v>910</v>
      </c>
      <c r="B898">
        <f>HYPERLINK("https://www.suredividend.com/sure-analysis-research-database/","Lands` End, Inc.")</f>
        <v>0</v>
      </c>
      <c r="C898">
        <v>0.201024327784891</v>
      </c>
      <c r="D898">
        <v>0.283173734610123</v>
      </c>
      <c r="E898">
        <v>-0.006355932203389001</v>
      </c>
      <c r="F898">
        <v>0.235836627140975</v>
      </c>
      <c r="G898">
        <v>-0.353994490358126</v>
      </c>
      <c r="H898">
        <v>-0.767591674925668</v>
      </c>
      <c r="I898">
        <v>-0.620242914979757</v>
      </c>
    </row>
    <row r="899" spans="1:9">
      <c r="A899" s="1" t="s">
        <v>911</v>
      </c>
      <c r="B899">
        <f>HYPERLINK("https://www.suredividend.com/sure-analysis-research-database/","Legacy Housing Corp")</f>
        <v>0</v>
      </c>
      <c r="C899">
        <v>-0.027681660899653</v>
      </c>
      <c r="D899">
        <v>0.004468275245755</v>
      </c>
      <c r="E899">
        <v>0.07611297271421701</v>
      </c>
      <c r="F899">
        <v>0.185654008438818</v>
      </c>
      <c r="G899">
        <v>0.6639526276831971</v>
      </c>
      <c r="H899">
        <v>0.241303147432357</v>
      </c>
      <c r="I899">
        <v>0.8686616791354941</v>
      </c>
    </row>
    <row r="900" spans="1:9">
      <c r="A900" s="1" t="s">
        <v>912</v>
      </c>
      <c r="B900">
        <f>HYPERLINK("https://www.suredividend.com/sure-analysis-research-database/","Centrus Energy Corp")</f>
        <v>0</v>
      </c>
      <c r="C900">
        <v>0.076521204671174</v>
      </c>
      <c r="D900">
        <v>0.269662921348314</v>
      </c>
      <c r="E900">
        <v>-0.1371921182266</v>
      </c>
      <c r="F900">
        <v>0.078509852216748</v>
      </c>
      <c r="G900">
        <v>0.011258660508083</v>
      </c>
      <c r="H900">
        <v>0.54181338028169</v>
      </c>
      <c r="I900">
        <v>10.59933774834437</v>
      </c>
    </row>
    <row r="901" spans="1:9">
      <c r="A901" s="1" t="s">
        <v>913</v>
      </c>
      <c r="B901">
        <f>HYPERLINK("https://www.suredividend.com/sure-analysis-research-database/","Lifecore Biomedical Inc")</f>
        <v>0</v>
      </c>
      <c r="C901">
        <v>0.05743589743589701</v>
      </c>
      <c r="D901">
        <v>1.343181818181818</v>
      </c>
      <c r="E901">
        <v>0.6339144215530901</v>
      </c>
      <c r="F901">
        <v>0.591049382716049</v>
      </c>
      <c r="G901">
        <v>-0.00674373795761</v>
      </c>
      <c r="H901">
        <v>-0.04537037037037001</v>
      </c>
      <c r="I901">
        <v>-0.224812030075188</v>
      </c>
    </row>
    <row r="902" spans="1:9">
      <c r="A902" s="1" t="s">
        <v>914</v>
      </c>
      <c r="B902">
        <f>HYPERLINK("https://www.suredividend.com/sure-analysis-research-database/","LifeStance Health Group Inc")</f>
        <v>0</v>
      </c>
      <c r="C902">
        <v>0.027964205816554</v>
      </c>
      <c r="D902">
        <v>0.140198511166252</v>
      </c>
      <c r="E902">
        <v>0.661844484629294</v>
      </c>
      <c r="F902">
        <v>0.8603238866396751</v>
      </c>
      <c r="G902">
        <v>0.279944289693593</v>
      </c>
      <c r="H902">
        <v>-0.6196192052980131</v>
      </c>
      <c r="I902">
        <v>-0.580365296803653</v>
      </c>
    </row>
    <row r="903" spans="1:9">
      <c r="A903" s="1" t="s">
        <v>915</v>
      </c>
      <c r="B903">
        <f>HYPERLINK("https://www.suredividend.com/sure-analysis-research-database/","Lions Gate Entertainment Corp.")</f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>
      <c r="A904" s="1" t="s">
        <v>916</v>
      </c>
      <c r="B904">
        <f>HYPERLINK("https://www.suredividend.com/sure-analysis-research-database/","Lions Gate Entertainment Corp.")</f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>
      <c r="A905" s="1" t="s">
        <v>917</v>
      </c>
      <c r="B905">
        <f>HYPERLINK("https://www.suredividend.com/sure-analysis-research-database/","LGI Homes Inc")</f>
        <v>0</v>
      </c>
      <c r="C905">
        <v>-0.0146669690784</v>
      </c>
      <c r="D905">
        <v>0.117082369075169</v>
      </c>
      <c r="E905">
        <v>0.07003284072249501</v>
      </c>
      <c r="F905">
        <v>0.407451403887689</v>
      </c>
      <c r="G905">
        <v>0.221118710765483</v>
      </c>
      <c r="H905">
        <v>-0.200625613346417</v>
      </c>
      <c r="I905">
        <v>1.556994310378654</v>
      </c>
    </row>
    <row r="906" spans="1:9">
      <c r="A906" s="1" t="s">
        <v>918</v>
      </c>
      <c r="B906">
        <f>HYPERLINK("https://www.suredividend.com/sure-analysis-research-database/","Ligand Pharmaceuticals, Inc.")</f>
        <v>0</v>
      </c>
      <c r="C906">
        <v>-0.08559240401816401</v>
      </c>
      <c r="D906">
        <v>-0.119050775553493</v>
      </c>
      <c r="E906">
        <v>-0.06997900629811001</v>
      </c>
      <c r="F906">
        <v>-0.005239520958083</v>
      </c>
      <c r="G906">
        <v>-0.298606713109563</v>
      </c>
      <c r="H906">
        <v>-0.401620891490319</v>
      </c>
      <c r="I906">
        <v>-0.704719161038037</v>
      </c>
    </row>
    <row r="907" spans="1:9">
      <c r="A907" s="1" t="s">
        <v>919</v>
      </c>
      <c r="B907">
        <f>HYPERLINK("https://www.suredividend.com/sure-analysis-research-database/","Li-Cycle Holdings Corp")</f>
        <v>0</v>
      </c>
      <c r="C907">
        <v>0.028070175438596</v>
      </c>
      <c r="D907">
        <v>0.313901345291479</v>
      </c>
      <c r="E907">
        <v>0.017361111111111</v>
      </c>
      <c r="F907">
        <v>0.23109243697479</v>
      </c>
      <c r="G907">
        <v>-0.209176788124156</v>
      </c>
      <c r="H907">
        <v>-0.386387434554973</v>
      </c>
      <c r="I907">
        <v>-0.396778012249729</v>
      </c>
    </row>
    <row r="908" spans="1:9">
      <c r="A908" s="1" t="s">
        <v>920</v>
      </c>
      <c r="B908">
        <f>HYPERLINK("https://www.suredividend.com/sure-analysis-research-database/","AEye Inc")</f>
        <v>0</v>
      </c>
      <c r="C908">
        <v>1.380231971759959</v>
      </c>
      <c r="D908">
        <v>1.75058275058275</v>
      </c>
      <c r="E908">
        <v>-0.461740221233892</v>
      </c>
      <c r="F908">
        <v>-0.017894298793175</v>
      </c>
      <c r="G908">
        <v>-0.8141732283464561</v>
      </c>
      <c r="H908">
        <v>-0.9531281032770601</v>
      </c>
      <c r="I908">
        <v>-0.9558052434456921</v>
      </c>
    </row>
    <row r="909" spans="1:9">
      <c r="A909" s="1" t="s">
        <v>921</v>
      </c>
      <c r="B909">
        <f>HYPERLINK("https://www.suredividend.com/sure-analysis-research-database/","Liberty Latin America Ltd")</f>
        <v>0</v>
      </c>
      <c r="C909">
        <v>-0.059428571428571</v>
      </c>
      <c r="D909">
        <v>-0.031764705882352</v>
      </c>
      <c r="E909">
        <v>-0.150670794633642</v>
      </c>
      <c r="F909">
        <v>0.092961487383798</v>
      </c>
      <c r="G909">
        <v>0.08432147562582301</v>
      </c>
      <c r="H909">
        <v>-0.382595648912228</v>
      </c>
      <c r="I909">
        <v>-0.534849546718513</v>
      </c>
    </row>
    <row r="910" spans="1:9">
      <c r="A910" s="1" t="s">
        <v>922</v>
      </c>
      <c r="B910">
        <f>HYPERLINK("https://www.suredividend.com/sure-analysis-research-database/","Liberty Latin America Ltd")</f>
        <v>0</v>
      </c>
      <c r="C910">
        <v>-0.05677867902665101</v>
      </c>
      <c r="D910">
        <v>-0.040094339622641</v>
      </c>
      <c r="E910">
        <v>-0.160824742268041</v>
      </c>
      <c r="F910">
        <v>0.07105263157894701</v>
      </c>
      <c r="G910">
        <v>0.083888149134487</v>
      </c>
      <c r="H910">
        <v>-0.394345238095238</v>
      </c>
      <c r="I910">
        <v>-0.548835507864894</v>
      </c>
    </row>
    <row r="911" spans="1:9">
      <c r="A911" s="1" t="s">
        <v>923</v>
      </c>
      <c r="B911">
        <f>HYPERLINK("https://www.suredividend.com/sure-analysis-research-database/","Lindblad Expeditions Holdings Inc")</f>
        <v>0</v>
      </c>
      <c r="C911">
        <v>-0.08503100088573901</v>
      </c>
      <c r="D911">
        <v>-0.106401384083045</v>
      </c>
      <c r="E911">
        <v>-0.140599001663893</v>
      </c>
      <c r="F911">
        <v>0.341558441558441</v>
      </c>
      <c r="G911">
        <v>0.216725559481743</v>
      </c>
      <c r="H911">
        <v>-0.218608169440242</v>
      </c>
      <c r="I911">
        <v>-0.221552373775433</v>
      </c>
    </row>
    <row r="912" spans="1:9">
      <c r="A912" s="1" t="s">
        <v>924</v>
      </c>
      <c r="B912">
        <f>HYPERLINK("https://www.suredividend.com/sure-analysis-research-database/","LivaNova PLC")</f>
        <v>0</v>
      </c>
      <c r="C912">
        <v>0.115361977633902</v>
      </c>
      <c r="D912">
        <v>0.196842105263157</v>
      </c>
      <c r="E912">
        <v>-0.02218782249742</v>
      </c>
      <c r="F912">
        <v>0.023586604249189</v>
      </c>
      <c r="G912">
        <v>-0.09604070599459301</v>
      </c>
      <c r="H912">
        <v>-0.319080129356809</v>
      </c>
      <c r="I912">
        <v>-0.532060251872582</v>
      </c>
    </row>
    <row r="913" spans="1:9">
      <c r="A913" s="1" t="s">
        <v>925</v>
      </c>
      <c r="B913">
        <f>HYPERLINK("https://www.suredividend.com/sure-analysis-research-database/","Lakeland Financial Corp.")</f>
        <v>0</v>
      </c>
      <c r="C913">
        <v>0.150078150588098</v>
      </c>
      <c r="D913">
        <v>0.193123411283489</v>
      </c>
      <c r="E913">
        <v>-0.216083014943594</v>
      </c>
      <c r="F913">
        <v>-0.209118797541254</v>
      </c>
      <c r="G913">
        <v>-0.222833129049203</v>
      </c>
      <c r="H913">
        <v>-0.122995599170418</v>
      </c>
      <c r="I913">
        <v>0.322214781255436</v>
      </c>
    </row>
    <row r="914" spans="1:9">
      <c r="A914" s="1" t="s">
        <v>926</v>
      </c>
      <c r="B914">
        <f>HYPERLINK("https://www.suredividend.com/sure-analysis-research-database/","LL Flooring Holdings Inc")</f>
        <v>0</v>
      </c>
      <c r="C914">
        <v>-0.002610966057441</v>
      </c>
      <c r="D914">
        <v>0.09142857142857101</v>
      </c>
      <c r="E914">
        <v>-0.415902140672782</v>
      </c>
      <c r="F914">
        <v>-0.320284697508896</v>
      </c>
      <c r="G914">
        <v>-0.617617617617617</v>
      </c>
      <c r="H914">
        <v>-0.800313643491897</v>
      </c>
      <c r="I914">
        <v>-0.80400205233453</v>
      </c>
    </row>
    <row r="915" spans="1:9">
      <c r="A915" s="1" t="s">
        <v>927</v>
      </c>
      <c r="B915">
        <f>HYPERLINK("https://www.suredividend.com/sure-analysis-research-database/","Terran Orbital Corp")</f>
        <v>0</v>
      </c>
      <c r="C915">
        <v>-0.116883116883116</v>
      </c>
      <c r="D915">
        <v>-0.213872832369942</v>
      </c>
      <c r="E915">
        <v>-0.298969072164948</v>
      </c>
      <c r="F915">
        <v>-0.139240506329113</v>
      </c>
      <c r="G915">
        <v>-0.6894977168949771</v>
      </c>
      <c r="H915">
        <v>-0.8598949211908931</v>
      </c>
      <c r="I915">
        <v>-0.8616480162767041</v>
      </c>
    </row>
    <row r="916" spans="1:9">
      <c r="A916" s="1" t="s">
        <v>928</v>
      </c>
      <c r="B916">
        <f>HYPERLINK("https://www.suredividend.com/sure-analysis-research-database/","Lemaitre Vascular Inc")</f>
        <v>0</v>
      </c>
      <c r="C916">
        <v>-0.146097597373526</v>
      </c>
      <c r="D916">
        <v>-0.08910153445479001</v>
      </c>
      <c r="E916">
        <v>0.151511736484528</v>
      </c>
      <c r="F916">
        <v>0.252350071459681</v>
      </c>
      <c r="G916">
        <v>0.077778217277225</v>
      </c>
      <c r="H916">
        <v>0.045303168974846</v>
      </c>
      <c r="I916">
        <v>0.7004255521479681</v>
      </c>
    </row>
    <row r="917" spans="1:9">
      <c r="A917" s="1" t="s">
        <v>929</v>
      </c>
      <c r="B917">
        <f>HYPERLINK("https://www.suredividend.com/sure-analysis-research-database/","Lemonade Inc")</f>
        <v>0</v>
      </c>
      <c r="C917">
        <v>-0.010291595197255</v>
      </c>
      <c r="D917">
        <v>0.560865644724977</v>
      </c>
      <c r="E917">
        <v>-0.05718954248366</v>
      </c>
      <c r="F917">
        <v>0.265350877192982</v>
      </c>
      <c r="G917">
        <v>-0.217450271247739</v>
      </c>
      <c r="H917">
        <v>-0.8008742666513281</v>
      </c>
      <c r="I917">
        <v>-0.7506123037026361</v>
      </c>
    </row>
    <row r="918" spans="1:9">
      <c r="A918" s="1" t="s">
        <v>930</v>
      </c>
      <c r="B918">
        <f>HYPERLINK("https://www.suredividend.com/sure-analysis-LNN/","Lindsay Corporation")</f>
        <v>0</v>
      </c>
      <c r="C918">
        <v>0.09247583018074801</v>
      </c>
      <c r="D918">
        <v>0.07212749035539001</v>
      </c>
      <c r="E918">
        <v>-0.1656998972132</v>
      </c>
      <c r="F918">
        <v>-0.198026633291738</v>
      </c>
      <c r="G918">
        <v>-0.167517620183037</v>
      </c>
      <c r="H918">
        <v>-0.197099549152397</v>
      </c>
      <c r="I918">
        <v>0.519195405120722</v>
      </c>
    </row>
    <row r="919" spans="1:9">
      <c r="A919" s="1" t="s">
        <v>931</v>
      </c>
      <c r="B919">
        <f>HYPERLINK("https://www.suredividend.com/sure-analysis-research-database/","Lantheus Holdings Inc")</f>
        <v>0</v>
      </c>
      <c r="C919">
        <v>-0.127850065655962</v>
      </c>
      <c r="D919">
        <v>-0.114531571930675</v>
      </c>
      <c r="E919">
        <v>0.201644736842105</v>
      </c>
      <c r="F919">
        <v>0.433673469387755</v>
      </c>
      <c r="G919">
        <v>-0.037290815654236</v>
      </c>
      <c r="H919">
        <v>1.745584366779406</v>
      </c>
      <c r="I919">
        <v>4.372058823529412</v>
      </c>
    </row>
    <row r="920" spans="1:9">
      <c r="A920" s="1" t="s">
        <v>932</v>
      </c>
      <c r="B920">
        <f>HYPERLINK("https://www.suredividend.com/sure-analysis-research-database/","Light &amp; Wonder Inc")</f>
        <v>0</v>
      </c>
      <c r="C920">
        <v>0.008986809682562</v>
      </c>
      <c r="D920">
        <v>0.171293959279825</v>
      </c>
      <c r="E920">
        <v>0.024731341086412</v>
      </c>
      <c r="F920">
        <v>0.187883959044368</v>
      </c>
      <c r="G920">
        <v>0.295551833240275</v>
      </c>
      <c r="H920">
        <v>0.120933977455716</v>
      </c>
      <c r="I920">
        <v>0.971954674220963</v>
      </c>
    </row>
    <row r="921" spans="1:9">
      <c r="A921" s="1" t="s">
        <v>933</v>
      </c>
      <c r="B921">
        <f>HYPERLINK("https://www.suredividend.com/sure-analysis-research-database/","Live Oak Bancshares Inc")</f>
        <v>0</v>
      </c>
      <c r="C921">
        <v>0.389659048332708</v>
      </c>
      <c r="D921">
        <v>0.7114722629825481</v>
      </c>
      <c r="E921">
        <v>0.010351402887496</v>
      </c>
      <c r="F921">
        <v>0.230823347481109</v>
      </c>
      <c r="G921">
        <v>-0.047633720288303</v>
      </c>
      <c r="H921">
        <v>-0.357987935227577</v>
      </c>
      <c r="I921">
        <v>0.277494196339388</v>
      </c>
    </row>
    <row r="922" spans="1:9">
      <c r="A922" s="1" t="s">
        <v>934</v>
      </c>
      <c r="B922">
        <f>HYPERLINK("https://www.suredividend.com/sure-analysis-research-database/","Local Bounti Corp")</f>
        <v>0</v>
      </c>
      <c r="C922">
        <v>0.8529411764705881</v>
      </c>
      <c r="D922">
        <v>-0.2869370835160791</v>
      </c>
      <c r="E922">
        <v>-0.6307692307692301</v>
      </c>
      <c r="F922">
        <v>-0.7210846707249581</v>
      </c>
      <c r="G922">
        <v>-0.9144167091186961</v>
      </c>
      <c r="H922">
        <v>-0.4893617021276591</v>
      </c>
      <c r="I922">
        <v>-0.483076923076923</v>
      </c>
    </row>
    <row r="923" spans="1:9">
      <c r="A923" s="1" t="s">
        <v>935</v>
      </c>
      <c r="B923">
        <f>HYPERLINK("https://www.suredividend.com/sure-analysis-research-database/","El Pollo Loco Holdings Inc")</f>
        <v>0</v>
      </c>
      <c r="C923">
        <v>0.122494432071269</v>
      </c>
      <c r="D923">
        <v>0.009009009009008001</v>
      </c>
      <c r="E923">
        <v>-0.208169677926158</v>
      </c>
      <c r="F923">
        <v>0.012048192771084</v>
      </c>
      <c r="G923">
        <v>0.156931835137213</v>
      </c>
      <c r="H923">
        <v>-0.360860302323222</v>
      </c>
      <c r="I923">
        <v>0.020945590082242</v>
      </c>
    </row>
    <row r="924" spans="1:9">
      <c r="A924" s="1" t="s">
        <v>936</v>
      </c>
      <c r="B924">
        <f>HYPERLINK("https://www.suredividend.com/sure-analysis-research-database/","Lovesac Company")</f>
        <v>0</v>
      </c>
      <c r="C924">
        <v>0.06495987772258301</v>
      </c>
      <c r="D924">
        <v>0.05090497737556501</v>
      </c>
      <c r="E924">
        <v>-0.026205450733752</v>
      </c>
      <c r="F924">
        <v>0.266242616992276</v>
      </c>
      <c r="G924">
        <v>-0.182458198885303</v>
      </c>
      <c r="H924">
        <v>-0.530175320296695</v>
      </c>
      <c r="I924">
        <v>0.3935</v>
      </c>
    </row>
    <row r="925" spans="1:9">
      <c r="A925" s="1" t="s">
        <v>937</v>
      </c>
      <c r="B925">
        <f>HYPERLINK("https://www.suredividend.com/sure-analysis-research-database/","Dorian LPG Ltd")</f>
        <v>0</v>
      </c>
      <c r="C925">
        <v>0.07665639445300401</v>
      </c>
      <c r="D925">
        <v>0.332456152896364</v>
      </c>
      <c r="E925">
        <v>0.374585657096206</v>
      </c>
      <c r="F925">
        <v>0.6146829271110751</v>
      </c>
      <c r="G925">
        <v>1.116959152913374</v>
      </c>
      <c r="H925">
        <v>2.525568253487726</v>
      </c>
      <c r="I925">
        <v>4.595931687588844</v>
      </c>
    </row>
    <row r="926" spans="1:9">
      <c r="A926" s="1" t="s">
        <v>938</v>
      </c>
      <c r="B926">
        <f>HYPERLINK("https://www.suredividend.com/sure-analysis-research-database/","Open Lending Corp")</f>
        <v>0</v>
      </c>
      <c r="C926">
        <v>-0.00377358490566</v>
      </c>
      <c r="D926">
        <v>0.472803347280334</v>
      </c>
      <c r="E926">
        <v>0.06990881458966501</v>
      </c>
      <c r="F926">
        <v>0.5644444444444441</v>
      </c>
      <c r="G926">
        <v>-0.038251366120218</v>
      </c>
      <c r="H926">
        <v>-0.702199661590524</v>
      </c>
      <c r="I926">
        <v>-0.283095723014256</v>
      </c>
    </row>
    <row r="927" spans="1:9">
      <c r="A927" s="1" t="s">
        <v>939</v>
      </c>
      <c r="B927">
        <f>HYPERLINK("https://www.suredividend.com/sure-analysis-research-database/","Liveperson Inc")</f>
        <v>0</v>
      </c>
      <c r="C927">
        <v>-0.115720524017467</v>
      </c>
      <c r="D927">
        <v>-0.04481132075471701</v>
      </c>
      <c r="E927">
        <v>-0.7669735327963171</v>
      </c>
      <c r="F927">
        <v>-0.6005917159763311</v>
      </c>
      <c r="G927">
        <v>-0.7413793103448271</v>
      </c>
      <c r="H927">
        <v>-0.9371703381942291</v>
      </c>
      <c r="I927">
        <v>-0.8280254777070061</v>
      </c>
    </row>
    <row r="928" spans="1:9">
      <c r="A928" s="1" t="s">
        <v>940</v>
      </c>
      <c r="B928">
        <f>HYPERLINK("https://www.suredividend.com/sure-analysis-research-database/","Liquidia Corp")</f>
        <v>0</v>
      </c>
      <c r="C928">
        <v>0.008945686900958</v>
      </c>
      <c r="D928">
        <v>0.119858156028368</v>
      </c>
      <c r="E928">
        <v>0.107293127629733</v>
      </c>
      <c r="F928">
        <v>0.239403453689167</v>
      </c>
      <c r="G928">
        <v>0.51535508637236</v>
      </c>
      <c r="H928">
        <v>2.432608695652174</v>
      </c>
      <c r="I928">
        <v>1.322058823529411</v>
      </c>
    </row>
    <row r="929" spans="1:9">
      <c r="A929" s="1" t="s">
        <v>941</v>
      </c>
      <c r="B929">
        <f>HYPERLINK("https://www.suredividend.com/sure-analysis-research-database/","Liquidity Services Inc")</f>
        <v>0</v>
      </c>
      <c r="C929">
        <v>0.108484848484848</v>
      </c>
      <c r="D929">
        <v>0.389817629179331</v>
      </c>
      <c r="E929">
        <v>0.206464379947229</v>
      </c>
      <c r="F929">
        <v>0.3008534850640111</v>
      </c>
      <c r="G929">
        <v>-0.183846497099509</v>
      </c>
      <c r="H929">
        <v>-0.09275793650793601</v>
      </c>
      <c r="I929">
        <v>1.631654676258992</v>
      </c>
    </row>
    <row r="930" spans="1:9">
      <c r="A930" s="1" t="s">
        <v>942</v>
      </c>
      <c r="B930">
        <f>HYPERLINK("https://www.suredividend.com/sure-analysis-research-database/","Stride Inc")</f>
        <v>0</v>
      </c>
      <c r="C930">
        <v>0.05103411227504701</v>
      </c>
      <c r="D930">
        <v>-0.05277172597434</v>
      </c>
      <c r="E930">
        <v>-0.08681446907817901</v>
      </c>
      <c r="F930">
        <v>0.250959079283887</v>
      </c>
      <c r="G930">
        <v>-0.111489554950045</v>
      </c>
      <c r="H930">
        <v>0.251759436980166</v>
      </c>
      <c r="I930">
        <v>1.413942011104256</v>
      </c>
    </row>
    <row r="931" spans="1:9">
      <c r="A931" s="1" t="s">
        <v>943</v>
      </c>
      <c r="B931">
        <f>HYPERLINK("https://www.suredividend.com/sure-analysis-research-database/","Landsea Homes Corporation")</f>
        <v>0</v>
      </c>
      <c r="C931">
        <v>0.117706237424547</v>
      </c>
      <c r="D931">
        <v>0.876689189189189</v>
      </c>
      <c r="E931">
        <v>0.596264367816091</v>
      </c>
      <c r="F931">
        <v>1.132437619961612</v>
      </c>
      <c r="G931">
        <v>0.5714285714285711</v>
      </c>
      <c r="H931">
        <v>0.351581508515814</v>
      </c>
      <c r="I931">
        <v>0.16090740953595</v>
      </c>
    </row>
    <row r="932" spans="1:9">
      <c r="A932" s="1" t="s">
        <v>944</v>
      </c>
      <c r="B932">
        <f>HYPERLINK("https://www.suredividend.com/sure-analysis-LTC/","LTC Properties, Inc.")</f>
        <v>0</v>
      </c>
      <c r="C932">
        <v>0.013606035891524</v>
      </c>
      <c r="D932">
        <v>0.030902590724325</v>
      </c>
      <c r="E932">
        <v>-0.091056296216332</v>
      </c>
      <c r="F932">
        <v>-0.014982905507965</v>
      </c>
      <c r="G932">
        <v>-0.149026484276697</v>
      </c>
      <c r="H932">
        <v>0.037782940672586</v>
      </c>
      <c r="I932">
        <v>0.057559762488656</v>
      </c>
    </row>
    <row r="933" spans="1:9">
      <c r="A933" s="1" t="s">
        <v>945</v>
      </c>
      <c r="B933">
        <f>HYPERLINK("https://www.suredividend.com/sure-analysis-research-database/","Latch Inc")</f>
        <v>0</v>
      </c>
      <c r="C933">
        <v>-0.336285714285714</v>
      </c>
      <c r="D933">
        <v>0.248924731182795</v>
      </c>
      <c r="E933">
        <v>0.06804597701149401</v>
      </c>
      <c r="F933">
        <v>0.308916748837864</v>
      </c>
      <c r="G933">
        <v>-0.097864077669902</v>
      </c>
      <c r="H933">
        <v>-0.9310682492581601</v>
      </c>
      <c r="I933">
        <v>-0.9081818181818181</v>
      </c>
    </row>
    <row r="934" spans="1:9">
      <c r="A934" s="1" t="s">
        <v>946</v>
      </c>
      <c r="B934">
        <f>HYPERLINK("https://www.suredividend.com/sure-analysis-research-database/","Life Time Group Holdings Inc")</f>
        <v>0</v>
      </c>
      <c r="C934">
        <v>-0.134848484848484</v>
      </c>
      <c r="D934">
        <v>-0.14776119402985</v>
      </c>
      <c r="E934">
        <v>-0.13089802130898</v>
      </c>
      <c r="F934">
        <v>0.432274247491638</v>
      </c>
      <c r="G934">
        <v>0.103737113402061</v>
      </c>
      <c r="H934">
        <v>-0.034929577464788</v>
      </c>
      <c r="I934">
        <v>-0.034929577464788</v>
      </c>
    </row>
    <row r="935" spans="1:9">
      <c r="A935" s="1" t="s">
        <v>947</v>
      </c>
      <c r="B935">
        <f>HYPERLINK("https://www.suredividend.com/sure-analysis-research-database/","Livent Corp")</f>
        <v>0</v>
      </c>
      <c r="C935">
        <v>-0.187876639489542</v>
      </c>
      <c r="D935">
        <v>0.019128113879003</v>
      </c>
      <c r="E935">
        <v>-0.117828263380823</v>
      </c>
      <c r="F935">
        <v>0.152994464016104</v>
      </c>
      <c r="G935">
        <v>-0.05330578512396601</v>
      </c>
      <c r="H935">
        <v>0.151835093011563</v>
      </c>
      <c r="I935">
        <v>0.3500294637595751</v>
      </c>
    </row>
    <row r="936" spans="1:9">
      <c r="A936" s="1" t="s">
        <v>948</v>
      </c>
      <c r="B936">
        <f>HYPERLINK("https://www.suredividend.com/sure-analysis-research-database/","Pulmonx Corp")</f>
        <v>0</v>
      </c>
      <c r="C936">
        <v>0.020801232665639</v>
      </c>
      <c r="D936">
        <v>0.063402889245585</v>
      </c>
      <c r="E936">
        <v>0.503972758229284</v>
      </c>
      <c r="F936">
        <v>0.571767497034401</v>
      </c>
      <c r="G936">
        <v>-0.306645735217163</v>
      </c>
      <c r="H936">
        <v>-0.6619035468231691</v>
      </c>
      <c r="I936">
        <v>-0.6629356397863141</v>
      </c>
    </row>
    <row r="937" spans="1:9">
      <c r="A937" s="1" t="s">
        <v>949</v>
      </c>
      <c r="B937">
        <f>HYPERLINK("https://www.suredividend.com/sure-analysis-research-database/","Lulus Fashion Lounge Holdings Inc")</f>
        <v>0</v>
      </c>
      <c r="C937">
        <v>-0.07251908396946501</v>
      </c>
      <c r="D937">
        <v>-0.05078125</v>
      </c>
      <c r="E937">
        <v>-0.291545189504373</v>
      </c>
      <c r="F937">
        <v>-0.031872509960159</v>
      </c>
      <c r="G937">
        <v>-0.567615658362989</v>
      </c>
      <c r="H937">
        <v>-0.8139356814701371</v>
      </c>
      <c r="I937">
        <v>-0.8139356814701371</v>
      </c>
    </row>
    <row r="938" spans="1:9">
      <c r="A938" s="1" t="s">
        <v>950</v>
      </c>
      <c r="B938">
        <f>HYPERLINK("https://www.suredividend.com/sure-analysis-research-database/","LiveVox Holdings Inc")</f>
        <v>0</v>
      </c>
      <c r="C938">
        <v>0.09890109890109901</v>
      </c>
      <c r="D938">
        <v>0.09489051094890501</v>
      </c>
      <c r="E938">
        <v>0.04166666666666601</v>
      </c>
      <c r="F938">
        <v>0.010101010101009</v>
      </c>
      <c r="G938">
        <v>0.5</v>
      </c>
      <c r="H938">
        <v>-0.5419847328244271</v>
      </c>
      <c r="I938">
        <v>-0.6907216494845361</v>
      </c>
    </row>
    <row r="939" spans="1:9">
      <c r="A939" s="1" t="s">
        <v>951</v>
      </c>
      <c r="B939">
        <f>HYPERLINK("https://www.suredividend.com/sure-analysis-research-database/","Lightwave Logic Inc")</f>
        <v>0</v>
      </c>
      <c r="C939">
        <v>-0.075253256150506</v>
      </c>
      <c r="D939">
        <v>0.452272727272727</v>
      </c>
      <c r="E939">
        <v>-0.106293706293706</v>
      </c>
      <c r="F939">
        <v>0.482598607888631</v>
      </c>
      <c r="G939">
        <v>-0.4299732381801961</v>
      </c>
      <c r="H939">
        <v>5.983606557377048</v>
      </c>
      <c r="I939">
        <v>5.983606557377048</v>
      </c>
    </row>
    <row r="940" spans="1:9">
      <c r="A940" s="1" t="s">
        <v>952</v>
      </c>
      <c r="B940">
        <f>HYPERLINK("https://www.suredividend.com/sure-analysis-research-database/","Luxfer Holdings PLC")</f>
        <v>0</v>
      </c>
      <c r="C940">
        <v>-0.138850568173737</v>
      </c>
      <c r="D940">
        <v>-0.188027597674715</v>
      </c>
      <c r="E940">
        <v>-0.302194256211681</v>
      </c>
      <c r="F940">
        <v>-0.09335928726510401</v>
      </c>
      <c r="G940">
        <v>-0.237078849885341</v>
      </c>
      <c r="H940">
        <v>-0.370546133094927</v>
      </c>
      <c r="I940">
        <v>-0.302756730614219</v>
      </c>
    </row>
    <row r="941" spans="1:9">
      <c r="A941" s="1" t="s">
        <v>953</v>
      </c>
      <c r="B941">
        <f>HYPERLINK("https://www.suredividend.com/sure-analysis-LXP/","LXP Industrial Trust")</f>
        <v>0</v>
      </c>
      <c r="C941">
        <v>0.004056795131845</v>
      </c>
      <c r="D941">
        <v>0.039282789896911</v>
      </c>
      <c r="E941">
        <v>-0.12978508328572</v>
      </c>
      <c r="F941">
        <v>0.013513513513513</v>
      </c>
      <c r="G941">
        <v>-0.025542595600177</v>
      </c>
      <c r="H941">
        <v>-0.178682241284906</v>
      </c>
      <c r="I941">
        <v>0.4113621783448571</v>
      </c>
    </row>
    <row r="942" spans="1:9">
      <c r="A942" s="1" t="s">
        <v>954</v>
      </c>
      <c r="B942">
        <f>HYPERLINK("https://www.suredividend.com/sure-analysis-research-database/","Lexicon Pharmaceuticals Inc")</f>
        <v>0</v>
      </c>
      <c r="C942">
        <v>-0.172413793103448</v>
      </c>
      <c r="D942">
        <v>-0.2992700729927</v>
      </c>
      <c r="E942">
        <v>-0.186440677966101</v>
      </c>
      <c r="F942">
        <v>0.00523560209424</v>
      </c>
      <c r="G942">
        <v>-0.286245353159851</v>
      </c>
      <c r="H942">
        <v>-0.4681440443213291</v>
      </c>
      <c r="I942">
        <v>-0.8236914600550961</v>
      </c>
    </row>
    <row r="943" spans="1:9">
      <c r="A943" s="1" t="s">
        <v>955</v>
      </c>
      <c r="B943">
        <f>HYPERLINK("https://www.suredividend.com/sure-analysis-research-database/","LSB Industries, Inc.")</f>
        <v>0</v>
      </c>
      <c r="C943">
        <v>0.092184368737475</v>
      </c>
      <c r="D943">
        <v>0.195175438596491</v>
      </c>
      <c r="E943">
        <v>-0.104354971240755</v>
      </c>
      <c r="F943">
        <v>-0.180451127819548</v>
      </c>
      <c r="G943">
        <v>-0.222539229671897</v>
      </c>
      <c r="H943">
        <v>0.7113609244489101</v>
      </c>
      <c r="I943">
        <v>1.093054515429076</v>
      </c>
    </row>
    <row r="944" spans="1:9">
      <c r="A944" s="1" t="s">
        <v>956</v>
      </c>
      <c r="B944">
        <f>HYPERLINK("https://www.suredividend.com/sure-analysis-research-database/","Lyell Immunopharma Inc")</f>
        <v>0</v>
      </c>
      <c r="C944">
        <v>-0.14516129032258</v>
      </c>
      <c r="D944">
        <v>0.142241379310344</v>
      </c>
      <c r="E944">
        <v>-0.220588235294117</v>
      </c>
      <c r="F944">
        <v>-0.236311239193083</v>
      </c>
      <c r="G944">
        <v>-0.5760000000000001</v>
      </c>
      <c r="H944">
        <v>-0.8295819935691311</v>
      </c>
      <c r="I944">
        <v>-0.843102427471876</v>
      </c>
    </row>
    <row r="945" spans="1:9">
      <c r="A945" s="1" t="s">
        <v>957</v>
      </c>
      <c r="B945">
        <f>HYPERLINK("https://www.suredividend.com/sure-analysis-research-database/","LegalZoom.com Inc.")</f>
        <v>0</v>
      </c>
      <c r="C945">
        <v>0.311073541842772</v>
      </c>
      <c r="D945">
        <v>0.9987113402061851</v>
      </c>
      <c r="E945">
        <v>0.7705479452054791</v>
      </c>
      <c r="F945">
        <v>1.003875968992248</v>
      </c>
      <c r="G945">
        <v>0.470142180094786</v>
      </c>
      <c r="H945">
        <v>-0.587060702875399</v>
      </c>
      <c r="I945">
        <v>-0.590224570673712</v>
      </c>
    </row>
    <row r="946" spans="1:9">
      <c r="A946" s="1" t="s">
        <v>958</v>
      </c>
      <c r="B946">
        <f>HYPERLINK("https://www.suredividend.com/sure-analysis-research-database/","La-Z-Boy Inc.")</f>
        <v>0</v>
      </c>
      <c r="C946">
        <v>0.172280701754385</v>
      </c>
      <c r="D946">
        <v>0.216581337256301</v>
      </c>
      <c r="E946">
        <v>0.135270871348427</v>
      </c>
      <c r="F946">
        <v>0.4825168619098331</v>
      </c>
      <c r="G946">
        <v>0.1871893000167</v>
      </c>
      <c r="H946">
        <v>0.023531105726075</v>
      </c>
      <c r="I946">
        <v>0.196213363504214</v>
      </c>
    </row>
    <row r="947" spans="1:9">
      <c r="A947" s="1" t="s">
        <v>959</v>
      </c>
      <c r="B947">
        <f>HYPERLINK("https://www.suredividend.com/sure-analysis-MAC/","Macerich Co.")</f>
        <v>0</v>
      </c>
      <c r="C947">
        <v>0.102451838879159</v>
      </c>
      <c r="D947">
        <v>0.250322760045285</v>
      </c>
      <c r="E947">
        <v>-0.068718100451216</v>
      </c>
      <c r="F947">
        <v>0.152940960997811</v>
      </c>
      <c r="G947">
        <v>0.301910986101919</v>
      </c>
      <c r="H947">
        <v>-0.157425563668243</v>
      </c>
      <c r="I947">
        <v>-0.7175597521525131</v>
      </c>
    </row>
    <row r="948" spans="1:9">
      <c r="A948" s="1" t="s">
        <v>960</v>
      </c>
      <c r="B948">
        <f>HYPERLINK("https://www.suredividend.com/sure-analysis-research-database/","WM Technology Inc")</f>
        <v>0</v>
      </c>
      <c r="C948">
        <v>0.25</v>
      </c>
      <c r="D948">
        <v>0.6897081413210441</v>
      </c>
      <c r="E948">
        <v>-0.214285714285714</v>
      </c>
      <c r="F948">
        <v>0.08910891089108901</v>
      </c>
      <c r="G948">
        <v>-0.6986301369863011</v>
      </c>
      <c r="H948">
        <v>-0.918093819806403</v>
      </c>
      <c r="I948">
        <v>-0.8878695208970431</v>
      </c>
    </row>
    <row r="949" spans="1:9">
      <c r="A949" s="1" t="s">
        <v>961</v>
      </c>
      <c r="B949">
        <f>HYPERLINK("https://www.suredividend.com/sure-analysis-research-database/","Marathon Digital Holdings Inc")</f>
        <v>0</v>
      </c>
      <c r="C949">
        <v>0.08093994778067801</v>
      </c>
      <c r="D949">
        <v>0.7340314136125651</v>
      </c>
      <c r="E949">
        <v>1.342291371994342</v>
      </c>
      <c r="F949">
        <v>3.842105263157895</v>
      </c>
      <c r="G949">
        <v>0.246987951807228</v>
      </c>
      <c r="H949">
        <v>-0.3896056026538881</v>
      </c>
      <c r="I949">
        <v>3.019417475728155</v>
      </c>
    </row>
    <row r="950" spans="1:9">
      <c r="A950" s="1" t="s">
        <v>962</v>
      </c>
      <c r="B950">
        <f>HYPERLINK("https://www.suredividend.com/sure-analysis-research-database/","908 Devices Inc")</f>
        <v>0</v>
      </c>
      <c r="C950">
        <v>-0.094691535150645</v>
      </c>
      <c r="D950">
        <v>-0.036641221374045</v>
      </c>
      <c r="E950">
        <v>-0.3955938697318001</v>
      </c>
      <c r="F950">
        <v>-0.171916010498687</v>
      </c>
      <c r="G950">
        <v>-0.7373022481265611</v>
      </c>
      <c r="H950">
        <v>-0.7964516129032251</v>
      </c>
      <c r="I950">
        <v>-0.871224489795918</v>
      </c>
    </row>
    <row r="951" spans="1:9">
      <c r="A951" s="1" t="s">
        <v>963</v>
      </c>
      <c r="B951">
        <f>HYPERLINK("https://www.suredividend.com/sure-analysis-research-database/","Mativ Holdings Inc")</f>
        <v>0</v>
      </c>
      <c r="C951">
        <v>0.151028277634961</v>
      </c>
      <c r="D951">
        <v>0.035140446191191</v>
      </c>
      <c r="E951">
        <v>-0.315550120380632</v>
      </c>
      <c r="F951">
        <v>-0.108249809550838</v>
      </c>
      <c r="G951">
        <v>-0.058750571529175</v>
      </c>
      <c r="H951">
        <v>-0.5238411740465521</v>
      </c>
      <c r="I951">
        <v>-0.483331602450929</v>
      </c>
    </row>
    <row r="952" spans="1:9">
      <c r="A952" s="1" t="s">
        <v>964</v>
      </c>
      <c r="B952">
        <f>HYPERLINK("https://www.suredividend.com/sure-analysis-MATW/","Matthews International Corp.")</f>
        <v>0</v>
      </c>
      <c r="C952">
        <v>0.051839851886137</v>
      </c>
      <c r="D952">
        <v>0.221307995335114</v>
      </c>
      <c r="E952">
        <v>0.191890424753558</v>
      </c>
      <c r="F952">
        <v>0.520957081904124</v>
      </c>
      <c r="G952">
        <v>0.770694135476607</v>
      </c>
      <c r="H952">
        <v>0.399874334713187</v>
      </c>
      <c r="I952">
        <v>-0.026568573906897</v>
      </c>
    </row>
    <row r="953" spans="1:9">
      <c r="A953" s="1" t="s">
        <v>965</v>
      </c>
      <c r="B953">
        <f>HYPERLINK("https://www.suredividend.com/sure-analysis-research-database/","Matson Inc")</f>
        <v>0</v>
      </c>
      <c r="C953">
        <v>0.217593091598455</v>
      </c>
      <c r="D953">
        <v>0.505312961493962</v>
      </c>
      <c r="E953">
        <v>0.3642169391927501</v>
      </c>
      <c r="F953">
        <v>0.555612078755899</v>
      </c>
      <c r="G953">
        <v>0.186006067133723</v>
      </c>
      <c r="H953">
        <v>0.413447327668945</v>
      </c>
      <c r="I953">
        <v>1.956881632351401</v>
      </c>
    </row>
    <row r="954" spans="1:9">
      <c r="A954" s="1" t="s">
        <v>966</v>
      </c>
      <c r="B954">
        <f>HYPERLINK("https://www.suredividend.com/sure-analysis-research-database/","MediaAlpha Inc")</f>
        <v>0</v>
      </c>
      <c r="C954">
        <v>-0.006335797254487001</v>
      </c>
      <c r="D954">
        <v>0.53257328990228</v>
      </c>
      <c r="E954">
        <v>-0.3249641319942611</v>
      </c>
      <c r="F954">
        <v>-0.05427135678391901</v>
      </c>
      <c r="G954">
        <v>-0.200509770603228</v>
      </c>
      <c r="H954">
        <v>-0.696940418679549</v>
      </c>
      <c r="I954">
        <v>-0.704645323289391</v>
      </c>
    </row>
    <row r="955" spans="1:9">
      <c r="A955" s="1" t="s">
        <v>967</v>
      </c>
      <c r="B955">
        <f>HYPERLINK("https://www.suredividend.com/sure-analysis-research-database/","MBIA Inc.")</f>
        <v>0</v>
      </c>
      <c r="C955">
        <v>-0.050448430493273</v>
      </c>
      <c r="D955">
        <v>-0.08728448275862001</v>
      </c>
      <c r="E955">
        <v>-0.348962336664104</v>
      </c>
      <c r="F955">
        <v>-0.340856031128404</v>
      </c>
      <c r="G955">
        <v>-0.325099601593625</v>
      </c>
      <c r="H955">
        <v>-0.350460122699386</v>
      </c>
      <c r="I955">
        <v>-0.1728515625</v>
      </c>
    </row>
    <row r="956" spans="1:9">
      <c r="A956" s="1" t="s">
        <v>968</v>
      </c>
      <c r="B956">
        <f>HYPERLINK("https://www.suredividend.com/sure-analysis-research-database/","Merchants Bancorp")</f>
        <v>0</v>
      </c>
      <c r="C956">
        <v>0.202394747006566</v>
      </c>
      <c r="D956">
        <v>0.352132007696684</v>
      </c>
      <c r="E956">
        <v>0.020190798291926</v>
      </c>
      <c r="F956">
        <v>0.291599417473311</v>
      </c>
      <c r="G956">
        <v>0.140322279325843</v>
      </c>
      <c r="H956">
        <v>-0.08762653942871801</v>
      </c>
      <c r="I956">
        <v>0.278817555909755</v>
      </c>
    </row>
    <row r="957" spans="1:9">
      <c r="A957" s="1" t="s">
        <v>969</v>
      </c>
      <c r="B957">
        <f>HYPERLINK("https://www.suredividend.com/sure-analysis-research-database/","Malibu Boats Inc")</f>
        <v>0</v>
      </c>
      <c r="C957">
        <v>-0.06194243393368101</v>
      </c>
      <c r="D957">
        <v>-0.026380153738644</v>
      </c>
      <c r="E957">
        <v>-0.126078093147248</v>
      </c>
      <c r="F957">
        <v>0.045590994371482</v>
      </c>
      <c r="G957">
        <v>-0.118614581685908</v>
      </c>
      <c r="H957">
        <v>-0.335756853396901</v>
      </c>
      <c r="I957">
        <v>0.47942659941598</v>
      </c>
    </row>
    <row r="958" spans="1:9">
      <c r="A958" s="1" t="s">
        <v>970</v>
      </c>
      <c r="B958">
        <f>HYPERLINK("https://www.suredividend.com/sure-analysis-research-database/","Mercantile Bank Corp.")</f>
        <v>0</v>
      </c>
      <c r="C958">
        <v>0.27801724137931</v>
      </c>
      <c r="D958">
        <v>0.421477169670359</v>
      </c>
      <c r="E958">
        <v>0.038868515101258</v>
      </c>
      <c r="F958">
        <v>0.100308012023601</v>
      </c>
      <c r="G958">
        <v>0.06114560778769901</v>
      </c>
      <c r="H958">
        <v>0.220654377785325</v>
      </c>
      <c r="I958">
        <v>0.254747622221516</v>
      </c>
    </row>
    <row r="959" spans="1:9">
      <c r="A959" s="1" t="s">
        <v>971</v>
      </c>
      <c r="B959">
        <f>HYPERLINK("https://www.suredividend.com/sure-analysis-research-database/","Moelis &amp; Co")</f>
        <v>0</v>
      </c>
      <c r="C959">
        <v>0.06489221293444701</v>
      </c>
      <c r="D959">
        <v>0.3658858648729481</v>
      </c>
      <c r="E959">
        <v>0.01131224082643</v>
      </c>
      <c r="F959">
        <v>0.300445659853273</v>
      </c>
      <c r="G959">
        <v>0.145541239247979</v>
      </c>
      <c r="H959">
        <v>-0.053368062073712</v>
      </c>
      <c r="I959">
        <v>0.146300747072682</v>
      </c>
    </row>
    <row r="960" spans="1:9">
      <c r="A960" s="1" t="s">
        <v>972</v>
      </c>
      <c r="B960">
        <f>HYPERLINK("https://www.suredividend.com/sure-analysis-research-database/","Metropolitan Bank Holding Corp")</f>
        <v>0</v>
      </c>
      <c r="C960">
        <v>0.337186354665914</v>
      </c>
      <c r="D960">
        <v>1.235155513666352</v>
      </c>
      <c r="E960">
        <v>-0.198275862068965</v>
      </c>
      <c r="F960">
        <v>-0.19158002386228</v>
      </c>
      <c r="G960">
        <v>-0.345612582781457</v>
      </c>
      <c r="H960">
        <v>-0.342983792769081</v>
      </c>
      <c r="I960">
        <v>-0.022061855670103</v>
      </c>
    </row>
    <row r="961" spans="1:9">
      <c r="A961" s="1" t="s">
        <v>973</v>
      </c>
      <c r="B961">
        <f>HYPERLINK("https://www.suredividend.com/sure-analysis-research-database/","Macatawa Bank Corp.")</f>
        <v>0</v>
      </c>
      <c r="C961">
        <v>0.04086021505376301</v>
      </c>
      <c r="D961">
        <v>0.105818111198693</v>
      </c>
      <c r="E961">
        <v>-0.09818425735287201</v>
      </c>
      <c r="F961">
        <v>-0.09899847350981</v>
      </c>
      <c r="G961">
        <v>0.06025257669854001</v>
      </c>
      <c r="H961">
        <v>0.266932792356521</v>
      </c>
      <c r="I961">
        <v>-0.064788514675477</v>
      </c>
    </row>
    <row r="962" spans="1:9">
      <c r="A962" s="1" t="s">
        <v>974</v>
      </c>
      <c r="B962">
        <f>HYPERLINK("https://www.suredividend.com/sure-analysis-research-database/","MetroCity Bankshares Inc")</f>
        <v>0</v>
      </c>
      <c r="C962">
        <v>0.202902705406879</v>
      </c>
      <c r="D962">
        <v>0.458302100227604</v>
      </c>
      <c r="E962">
        <v>0.082935666536781</v>
      </c>
      <c r="F962">
        <v>0.038799652438994</v>
      </c>
      <c r="G962">
        <v>0.105115030080817</v>
      </c>
      <c r="H962">
        <v>0.156750504051329</v>
      </c>
      <c r="I962">
        <v>0.8202386724165791</v>
      </c>
    </row>
    <row r="963" spans="1:9">
      <c r="A963" s="1" t="s">
        <v>975</v>
      </c>
      <c r="B963">
        <f>HYPERLINK("https://www.suredividend.com/sure-analysis-research-database/","MasterCraft Boat Holdings Inc")</f>
        <v>0</v>
      </c>
      <c r="C963">
        <v>-0.08533419857235501</v>
      </c>
      <c r="D963">
        <v>-0.047635135135135</v>
      </c>
      <c r="E963">
        <v>-0.08740692780835201</v>
      </c>
      <c r="F963">
        <v>0.089679165056049</v>
      </c>
      <c r="G963">
        <v>0.152493867538838</v>
      </c>
      <c r="H963">
        <v>0.047955390334572</v>
      </c>
      <c r="I963">
        <v>0.145469321414059</v>
      </c>
    </row>
    <row r="964" spans="1:9">
      <c r="A964" s="1" t="s">
        <v>976</v>
      </c>
      <c r="B964">
        <f>HYPERLINK("https://www.suredividend.com/sure-analysis-research-database/","Seres Therapeutics Inc")</f>
        <v>0</v>
      </c>
      <c r="C964">
        <v>0.03469387755102001</v>
      </c>
      <c r="D964">
        <v>-0.028735632183907</v>
      </c>
      <c r="E964">
        <v>-0.07818181818181801</v>
      </c>
      <c r="F964">
        <v>-0.094642857142857</v>
      </c>
      <c r="G964">
        <v>0.139325842696629</v>
      </c>
      <c r="H964">
        <v>-0.27155172413793</v>
      </c>
      <c r="I964">
        <v>-0.328476821192052</v>
      </c>
    </row>
    <row r="965" spans="1:9">
      <c r="A965" s="1" t="s">
        <v>977</v>
      </c>
      <c r="B965">
        <f>HYPERLINK("https://www.suredividend.com/sure-analysis-research-database/","Monarch Casino &amp; Resort, Inc.")</f>
        <v>0</v>
      </c>
      <c r="C965">
        <v>-0.027675276752767</v>
      </c>
      <c r="D965">
        <v>-0.007829041311733001</v>
      </c>
      <c r="E965">
        <v>-0.05487804878048701</v>
      </c>
      <c r="F965">
        <v>-0.039636881532319</v>
      </c>
      <c r="G965">
        <v>0.126503498228276</v>
      </c>
      <c r="H965">
        <v>0.155953302928606</v>
      </c>
      <c r="I965">
        <v>0.540308601311656</v>
      </c>
    </row>
    <row r="966" spans="1:9">
      <c r="A966" s="1" t="s">
        <v>978</v>
      </c>
      <c r="B966">
        <f>HYPERLINK("https://www.suredividend.com/sure-analysis-research-database/","Marcus Corp.")</f>
        <v>0</v>
      </c>
      <c r="C966">
        <v>0.08689839572192501</v>
      </c>
      <c r="D966">
        <v>-0.06674013361801701</v>
      </c>
      <c r="E966">
        <v>0.05182128094495701</v>
      </c>
      <c r="F966">
        <v>0.137341307312978</v>
      </c>
      <c r="G966">
        <v>-0.033592468440196</v>
      </c>
      <c r="H966">
        <v>0.05291786463594601</v>
      </c>
      <c r="I966">
        <v>-0.547128191130842</v>
      </c>
    </row>
    <row r="967" spans="1:9">
      <c r="A967" s="1" t="s">
        <v>979</v>
      </c>
      <c r="B967">
        <f>HYPERLINK("https://www.suredividend.com/sure-analysis-MCY/","Mercury General Corp.")</f>
        <v>0</v>
      </c>
      <c r="C967">
        <v>0.026446280991735</v>
      </c>
      <c r="D967">
        <v>0.07263148803869</v>
      </c>
      <c r="E967">
        <v>-0.178386674252146</v>
      </c>
      <c r="F967">
        <v>-0.07244212098581</v>
      </c>
      <c r="G967">
        <v>-0.082194574750152</v>
      </c>
      <c r="H967">
        <v>-0.441266390868799</v>
      </c>
      <c r="I967">
        <v>-0.247060991697058</v>
      </c>
    </row>
    <row r="968" spans="1:9">
      <c r="A968" s="1" t="s">
        <v>980</v>
      </c>
      <c r="B968">
        <f>HYPERLINK("https://www.suredividend.com/sure-analysis-research-database/","Pediatrix Medical Group Inc")</f>
        <v>0</v>
      </c>
      <c r="C968">
        <v>0.056671449067431</v>
      </c>
      <c r="D968">
        <v>0.053648068669527</v>
      </c>
      <c r="E968">
        <v>-0.07416719044626001</v>
      </c>
      <c r="F968">
        <v>-0.008748317631224</v>
      </c>
      <c r="G968">
        <v>-0.342117016525234</v>
      </c>
      <c r="H968">
        <v>-0.512413108242303</v>
      </c>
      <c r="I968">
        <v>-0.688121956383654</v>
      </c>
    </row>
    <row r="969" spans="1:9">
      <c r="A969" s="1" t="s">
        <v>981</v>
      </c>
      <c r="B969">
        <f>HYPERLINK("https://www.suredividend.com/sure-analysis-MDC/","M.D.C. Holdings, Inc.")</f>
        <v>0</v>
      </c>
      <c r="C969">
        <v>0.05659574468085</v>
      </c>
      <c r="D969">
        <v>0.202351437204617</v>
      </c>
      <c r="E969">
        <v>0.262485668016606</v>
      </c>
      <c r="F969">
        <v>0.6112652293116591</v>
      </c>
      <c r="G969">
        <v>0.520723920932155</v>
      </c>
      <c r="H969">
        <v>0.02258500263574</v>
      </c>
      <c r="I969">
        <v>1.337722250728478</v>
      </c>
    </row>
    <row r="970" spans="1:9">
      <c r="A970" s="1" t="s">
        <v>982</v>
      </c>
      <c r="B970">
        <f>HYPERLINK("https://www.suredividend.com/sure-analysis-research-database/","Madrigal Pharmaceuticals Inc")</f>
        <v>0</v>
      </c>
      <c r="C970">
        <v>-0.143989724510585</v>
      </c>
      <c r="D970">
        <v>-0.365870463941203</v>
      </c>
      <c r="E970">
        <v>-0.309231923942957</v>
      </c>
      <c r="F970">
        <v>-0.334125753660637</v>
      </c>
      <c r="G970">
        <v>1.985787115711416</v>
      </c>
      <c r="H970">
        <v>1.263379786860288</v>
      </c>
      <c r="I970">
        <v>-0.229785199059498</v>
      </c>
    </row>
    <row r="971" spans="1:9">
      <c r="A971" s="1" t="s">
        <v>983</v>
      </c>
      <c r="B971">
        <f>HYPERLINK("https://www.suredividend.com/sure-analysis-research-database/","Veradigm Inc")</f>
        <v>0</v>
      </c>
      <c r="C971">
        <v>0.05691699604743</v>
      </c>
      <c r="D971">
        <v>0.128270042194092</v>
      </c>
      <c r="E971">
        <v>-0.227167630057803</v>
      </c>
      <c r="F971">
        <v>-0.242063492063492</v>
      </c>
      <c r="G971">
        <v>-0.152724968314321</v>
      </c>
      <c r="H971">
        <v>-0.229838709677419</v>
      </c>
      <c r="I971">
        <v>-0.034657039711191</v>
      </c>
    </row>
    <row r="972" spans="1:9">
      <c r="A972" s="1" t="s">
        <v>984</v>
      </c>
      <c r="B972">
        <f>HYPERLINK("https://www.suredividend.com/sure-analysis-research-database/","Mimedx Group Inc")</f>
        <v>0</v>
      </c>
      <c r="C972">
        <v>0.174242424242424</v>
      </c>
      <c r="D972">
        <v>0.459510357815442</v>
      </c>
      <c r="E972">
        <v>0.9088669950738921</v>
      </c>
      <c r="F972">
        <v>1.787769784172662</v>
      </c>
      <c r="G972">
        <v>1.100271002710027</v>
      </c>
      <c r="H972">
        <v>-0.382470119521912</v>
      </c>
      <c r="I972">
        <v>0.8629807692307691</v>
      </c>
    </row>
    <row r="973" spans="1:9">
      <c r="A973" s="1" t="s">
        <v>985</v>
      </c>
      <c r="B973">
        <f>HYPERLINK("https://www.suredividend.com/sure-analysis-research-database/","23andMe Holding Co")</f>
        <v>0</v>
      </c>
      <c r="C973">
        <v>0.01775147928994</v>
      </c>
      <c r="D973">
        <v>-0.14</v>
      </c>
      <c r="E973">
        <v>-0.360594795539033</v>
      </c>
      <c r="F973">
        <v>-0.203703703703703</v>
      </c>
      <c r="G973">
        <v>-0.4803625377643501</v>
      </c>
      <c r="H973">
        <v>-0.8018433179723501</v>
      </c>
      <c r="I973">
        <v>-0.824489795918367</v>
      </c>
    </row>
    <row r="974" spans="1:9">
      <c r="A974" s="1" t="s">
        <v>986</v>
      </c>
      <c r="B974">
        <f>HYPERLINK("https://www.suredividend.com/sure-analysis-MED/","Medifast Inc")</f>
        <v>0</v>
      </c>
      <c r="C974">
        <v>0.060228233305156</v>
      </c>
      <c r="D974">
        <v>0.200130131710514</v>
      </c>
      <c r="E974">
        <v>-0.102091659313852</v>
      </c>
      <c r="F974">
        <v>-0.09827734486982301</v>
      </c>
      <c r="G974">
        <v>-0.3766443536738781</v>
      </c>
      <c r="H974">
        <v>-0.612808423905703</v>
      </c>
      <c r="I974">
        <v>-0.434707728571822</v>
      </c>
    </row>
    <row r="975" spans="1:9">
      <c r="A975" s="1" t="s">
        <v>987</v>
      </c>
      <c r="B975">
        <f>HYPERLINK("https://www.suredividend.com/sure-analysis-research-database/","Medpace Holdings Inc")</f>
        <v>0</v>
      </c>
      <c r="C975">
        <v>0.07948460508701401</v>
      </c>
      <c r="D975">
        <v>0.255791317889819</v>
      </c>
      <c r="E975">
        <v>0.09301931548627501</v>
      </c>
      <c r="F975">
        <v>0.214820394520032</v>
      </c>
      <c r="G975">
        <v>0.584039287906691</v>
      </c>
      <c r="H975">
        <v>0.460824275362319</v>
      </c>
      <c r="I975">
        <v>3.3463028465555</v>
      </c>
    </row>
    <row r="976" spans="1:9">
      <c r="A976" s="1" t="s">
        <v>988</v>
      </c>
      <c r="B976">
        <f>HYPERLINK("https://www.suredividend.com/sure-analysis-research-database/","Montrose Environmental Group Inc")</f>
        <v>0</v>
      </c>
      <c r="C976">
        <v>-0.141830822711471</v>
      </c>
      <c r="D976">
        <v>0.245124411566913</v>
      </c>
      <c r="E976">
        <v>-0.293455447433695</v>
      </c>
      <c r="F976">
        <v>-0.16580310880829</v>
      </c>
      <c r="G976">
        <v>-0.094842336836959</v>
      </c>
      <c r="H976">
        <v>-0.292915791483673</v>
      </c>
      <c r="I976">
        <v>0.683181818181818</v>
      </c>
    </row>
    <row r="977" spans="1:9">
      <c r="A977" s="1" t="s">
        <v>989</v>
      </c>
      <c r="B977">
        <f>HYPERLINK("https://www.suredividend.com/sure-analysis-research-database/","Methode Electronics, Inc.")</f>
        <v>0</v>
      </c>
      <c r="C977">
        <v>-0.005728682403047001</v>
      </c>
      <c r="D977">
        <v>-0.18729881661882</v>
      </c>
      <c r="E977">
        <v>-0.337741729263225</v>
      </c>
      <c r="F977">
        <v>-0.245031212208858</v>
      </c>
      <c r="G977">
        <v>-0.185335548368705</v>
      </c>
      <c r="H977">
        <v>-0.284502518810137</v>
      </c>
      <c r="I977">
        <v>-0.09016055990119301</v>
      </c>
    </row>
    <row r="978" spans="1:9">
      <c r="A978" s="1" t="s">
        <v>990</v>
      </c>
      <c r="B978">
        <f>HYPERLINK("https://www.suredividend.com/sure-analysis-research-database/","Ramaco Resources Inc")</f>
        <v>0</v>
      </c>
      <c r="C978">
        <v>0.042740046838407</v>
      </c>
      <c r="D978">
        <v>0.102103960396039</v>
      </c>
      <c r="E978">
        <v>0.102103960396039</v>
      </c>
      <c r="F978">
        <v>0.102103960396039</v>
      </c>
      <c r="G978">
        <v>0.102103960396039</v>
      </c>
      <c r="H978">
        <v>0.102103960396039</v>
      </c>
      <c r="I978">
        <v>0.102103960396039</v>
      </c>
    </row>
    <row r="979" spans="1:9">
      <c r="A979" s="1" t="s">
        <v>991</v>
      </c>
      <c r="B979">
        <f>HYPERLINK("https://www.suredividend.com/sure-analysis-research-database/","MFA Financial Inc")</f>
        <v>0</v>
      </c>
      <c r="C979">
        <v>-0.060877350044762</v>
      </c>
      <c r="D979">
        <v>0.06207413257196</v>
      </c>
      <c r="E979">
        <v>-0.06942497737877601</v>
      </c>
      <c r="F979">
        <v>0.138423137446416</v>
      </c>
      <c r="G979">
        <v>-0.03374967760952</v>
      </c>
      <c r="H979">
        <v>-0.266274507060971</v>
      </c>
      <c r="I979">
        <v>-0.365338657470429</v>
      </c>
    </row>
    <row r="980" spans="1:9">
      <c r="A980" s="1" t="s">
        <v>992</v>
      </c>
      <c r="B980">
        <f>HYPERLINK("https://www.suredividend.com/sure-analysis-MGEE/","MGE Energy, Inc.")</f>
        <v>0</v>
      </c>
      <c r="C980">
        <v>-0.010041420861051</v>
      </c>
      <c r="D980">
        <v>0.032401462405114</v>
      </c>
      <c r="E980">
        <v>0.09011597772497901</v>
      </c>
      <c r="F980">
        <v>0.139512640542781</v>
      </c>
      <c r="G980">
        <v>-0.012608119223156</v>
      </c>
      <c r="H980">
        <v>0.04179875729140201</v>
      </c>
      <c r="I980">
        <v>0.360836482219576</v>
      </c>
    </row>
    <row r="981" spans="1:9">
      <c r="A981" s="1" t="s">
        <v>993</v>
      </c>
      <c r="B981">
        <f>HYPERLINK("https://www.suredividend.com/sure-analysis-research-database/","Magnite Inc")</f>
        <v>0</v>
      </c>
      <c r="C981">
        <v>0.077988338192419</v>
      </c>
      <c r="D981">
        <v>0.7441037735849051</v>
      </c>
      <c r="E981">
        <v>0.121304018195602</v>
      </c>
      <c r="F981">
        <v>0.396600566572237</v>
      </c>
      <c r="G981">
        <v>0.659932659932659</v>
      </c>
      <c r="H981">
        <v>-0.499661705006765</v>
      </c>
      <c r="I981">
        <v>3.131284916201116</v>
      </c>
    </row>
    <row r="982" spans="1:9">
      <c r="A982" s="1" t="s">
        <v>994</v>
      </c>
      <c r="B982">
        <f>HYPERLINK("https://www.suredividend.com/sure-analysis-research-database/","Macrogenics Inc")</f>
        <v>0</v>
      </c>
      <c r="C982">
        <v>-0.027881040892193</v>
      </c>
      <c r="D982">
        <v>-0.240928882438316</v>
      </c>
      <c r="E982">
        <v>-0.064400715563506</v>
      </c>
      <c r="F982">
        <v>-0.220566318926974</v>
      </c>
      <c r="G982">
        <v>0.3946666666666661</v>
      </c>
      <c r="H982">
        <v>-0.7899598393574291</v>
      </c>
      <c r="I982">
        <v>-0.729994837377387</v>
      </c>
    </row>
    <row r="983" spans="1:9">
      <c r="A983" s="1" t="s">
        <v>995</v>
      </c>
      <c r="B983">
        <f>HYPERLINK("https://www.suredividend.com/sure-analysis-research-database/","MGP Ingredients, Inc.")</f>
        <v>0</v>
      </c>
      <c r="C983">
        <v>0.132668282677605</v>
      </c>
      <c r="D983">
        <v>0.276222490677031</v>
      </c>
      <c r="E983">
        <v>0.25544069078689</v>
      </c>
      <c r="F983">
        <v>0.14615910752612</v>
      </c>
      <c r="G983">
        <v>0.19843352338864</v>
      </c>
      <c r="H983">
        <v>1.073643443931064</v>
      </c>
      <c r="I983">
        <v>0.658740918840615</v>
      </c>
    </row>
    <row r="984" spans="1:9">
      <c r="A984" s="1" t="s">
        <v>996</v>
      </c>
      <c r="B984">
        <f>HYPERLINK("https://www.suredividend.com/sure-analysis-MGRC/","McGrath Rentcorp")</f>
        <v>0</v>
      </c>
      <c r="C984">
        <v>0.04292531967975501</v>
      </c>
      <c r="D984">
        <v>0.09597863309837201</v>
      </c>
      <c r="E984">
        <v>-0.065262190157497</v>
      </c>
      <c r="F984">
        <v>-0.008506923819903001</v>
      </c>
      <c r="G984">
        <v>0.168579599897241</v>
      </c>
      <c r="H984">
        <v>0.282950974377071</v>
      </c>
      <c r="I984">
        <v>0.8271603058085341</v>
      </c>
    </row>
    <row r="985" spans="1:9">
      <c r="A985" s="1" t="s">
        <v>997</v>
      </c>
      <c r="B985">
        <f>HYPERLINK("https://www.suredividend.com/sure-analysis-research-database/","MeiraGTx Holdings plc")</f>
        <v>0</v>
      </c>
      <c r="C985">
        <v>-0.108469539375928</v>
      </c>
      <c r="D985">
        <v>0.027397260273972</v>
      </c>
      <c r="E985">
        <v>-0.261083743842364</v>
      </c>
      <c r="F985">
        <v>-0.079754601226993</v>
      </c>
      <c r="G985">
        <v>-0.358288770053475</v>
      </c>
      <c r="H985">
        <v>-0.5695839311334291</v>
      </c>
      <c r="I985">
        <v>-0.326599326599326</v>
      </c>
    </row>
    <row r="986" spans="1:9">
      <c r="A986" s="1" t="s">
        <v>998</v>
      </c>
      <c r="B986">
        <f>HYPERLINK("https://www.suredividend.com/sure-analysis-research-database/","Magnolia Oil &amp; Gas Corp")</f>
        <v>0</v>
      </c>
      <c r="C986">
        <v>0.108121095627102</v>
      </c>
      <c r="D986">
        <v>0.168020746803898</v>
      </c>
      <c r="E986">
        <v>0.009256625161389</v>
      </c>
      <c r="F986">
        <v>-0.005807361164404</v>
      </c>
      <c r="G986">
        <v>0.019943297167954</v>
      </c>
      <c r="H986">
        <v>0.693981444071432</v>
      </c>
      <c r="I986">
        <v>0.823400570899918</v>
      </c>
    </row>
    <row r="987" spans="1:9">
      <c r="A987" s="1" t="s">
        <v>999</v>
      </c>
      <c r="B987">
        <f>HYPERLINK("https://www.suredividend.com/sure-analysis-research-database/","MI Homes Inc.")</f>
        <v>0</v>
      </c>
      <c r="C987">
        <v>0.100591715976331</v>
      </c>
      <c r="D987">
        <v>0.414554130629287</v>
      </c>
      <c r="E987">
        <v>0.5322241964141491</v>
      </c>
      <c r="F987">
        <v>1.05413598960589</v>
      </c>
      <c r="G987">
        <v>1.138895152198421</v>
      </c>
      <c r="H987">
        <v>0.473667857697685</v>
      </c>
      <c r="I987">
        <v>2.66963249516441</v>
      </c>
    </row>
    <row r="988" spans="1:9">
      <c r="A988" s="1" t="s">
        <v>1000</v>
      </c>
      <c r="B988">
        <f>HYPERLINK("https://www.suredividend.com/sure-analysis-research-database/","Mirion Technologies Inc.")</f>
        <v>0</v>
      </c>
      <c r="C988">
        <v>-0.0625</v>
      </c>
      <c r="D988">
        <v>-0.07363420427553401</v>
      </c>
      <c r="E988">
        <v>-0.046454767726161</v>
      </c>
      <c r="F988">
        <v>0.180030257186081</v>
      </c>
      <c r="G988">
        <v>0.054054054054053</v>
      </c>
      <c r="H988">
        <v>-0.22</v>
      </c>
      <c r="I988">
        <v>-0.21608040201005</v>
      </c>
    </row>
    <row r="989" spans="1:9">
      <c r="A989" s="1" t="s">
        <v>1001</v>
      </c>
      <c r="B989">
        <f>HYPERLINK("https://www.suredividend.com/sure-analysis-research-database/","Mirum Pharmaceuticals Inc")</f>
        <v>0</v>
      </c>
      <c r="C989">
        <v>-0.030019493177387</v>
      </c>
      <c r="D989">
        <v>-0.129765652325988</v>
      </c>
      <c r="E989">
        <v>0.038830897703548</v>
      </c>
      <c r="F989">
        <v>0.275897435897435</v>
      </c>
      <c r="G989">
        <v>0.06781115879828301</v>
      </c>
      <c r="H989">
        <v>0.6575616255829441</v>
      </c>
      <c r="I989">
        <v>0.8834216502649501</v>
      </c>
    </row>
    <row r="990" spans="1:9">
      <c r="A990" s="1" t="s">
        <v>1002</v>
      </c>
      <c r="B990">
        <f>HYPERLINK("https://www.suredividend.com/sure-analysis-research-database/","Mitek Systems Inc")</f>
        <v>0</v>
      </c>
      <c r="C990">
        <v>0.041852181656277</v>
      </c>
      <c r="D990">
        <v>0.308724832214765</v>
      </c>
      <c r="E990">
        <v>0.09653233364573501</v>
      </c>
      <c r="F990">
        <v>0.207430340557275</v>
      </c>
      <c r="G990">
        <v>0.029023746701847</v>
      </c>
      <c r="H990">
        <v>-0.462068965517241</v>
      </c>
      <c r="I990">
        <v>0.401197604790419</v>
      </c>
    </row>
    <row r="991" spans="1:9">
      <c r="A991" s="1" t="s">
        <v>1003</v>
      </c>
      <c r="B991">
        <f>HYPERLINK("https://www.suredividend.com/sure-analysis-research-database/","Markforged Holding Corporation")</f>
        <v>0</v>
      </c>
      <c r="C991">
        <v>0.6810344827586201</v>
      </c>
      <c r="D991">
        <v>1.403846153846153</v>
      </c>
      <c r="E991">
        <v>0.344827586206896</v>
      </c>
      <c r="F991">
        <v>0.6810344827586201</v>
      </c>
      <c r="G991">
        <v>-0.207317073170731</v>
      </c>
      <c r="H991">
        <v>-0.810863239573229</v>
      </c>
      <c r="I991">
        <v>-0.8119575699132111</v>
      </c>
    </row>
    <row r="992" spans="1:9">
      <c r="A992" s="1" t="s">
        <v>1004</v>
      </c>
      <c r="B992">
        <f>HYPERLINK("https://www.suredividend.com/sure-analysis-research-database/","Marketwise Inc")</f>
        <v>0</v>
      </c>
      <c r="C992">
        <v>-0.05500000000000001</v>
      </c>
      <c r="D992">
        <v>0.162290142057683</v>
      </c>
      <c r="E992">
        <v>-0.26967811739248</v>
      </c>
      <c r="F992">
        <v>0.134589986793132</v>
      </c>
      <c r="G992">
        <v>-0.385105898428604</v>
      </c>
      <c r="H992">
        <v>-0.8591160838743821</v>
      </c>
      <c r="I992">
        <v>-0.8084912351808691</v>
      </c>
    </row>
    <row r="993" spans="1:9">
      <c r="A993" s="1" t="s">
        <v>1005</v>
      </c>
      <c r="B993">
        <f>HYPERLINK("https://www.suredividend.com/sure-analysis-research-database/","MoneyLion Inc")</f>
        <v>0</v>
      </c>
      <c r="C993">
        <v>0.119812059514487</v>
      </c>
      <c r="D993">
        <v>0.115444617784711</v>
      </c>
      <c r="E993">
        <v>-0.464900464002394</v>
      </c>
      <c r="F993">
        <v>-0.231182795698924</v>
      </c>
      <c r="G993">
        <v>-0.738095238095238</v>
      </c>
      <c r="H993">
        <v>-0.9519004372687521</v>
      </c>
      <c r="I993">
        <v>-0.9513605442176871</v>
      </c>
    </row>
    <row r="994" spans="1:9">
      <c r="A994" s="1" t="s">
        <v>1006</v>
      </c>
      <c r="B994">
        <f>HYPERLINK("https://www.suredividend.com/sure-analysis-research-database/","Mesa Laboratories, Inc.")</f>
        <v>0</v>
      </c>
      <c r="C994">
        <v>0.033021806853582</v>
      </c>
      <c r="D994">
        <v>-0.212772271351415</v>
      </c>
      <c r="E994">
        <v>-0.329032545260204</v>
      </c>
      <c r="F994">
        <v>-0.201225622446619</v>
      </c>
      <c r="G994">
        <v>-0.379031159396203</v>
      </c>
      <c r="H994">
        <v>-0.541777876964043</v>
      </c>
      <c r="I994">
        <v>-0.307337605029948</v>
      </c>
    </row>
    <row r="995" spans="1:9">
      <c r="A995" s="1" t="s">
        <v>1007</v>
      </c>
      <c r="B995">
        <f>HYPERLINK("https://www.suredividend.com/sure-analysis-MLI/","Mueller Industries, Inc.")</f>
        <v>0</v>
      </c>
      <c r="C995">
        <v>-0.10042368029314</v>
      </c>
      <c r="D995">
        <v>0.08349803257390001</v>
      </c>
      <c r="E995">
        <v>0.1285524045665</v>
      </c>
      <c r="F995">
        <v>0.342596153024515</v>
      </c>
      <c r="G995">
        <v>0.190247124756261</v>
      </c>
      <c r="H995">
        <v>0.88409550944446</v>
      </c>
      <c r="I995">
        <v>1.58003494344679</v>
      </c>
    </row>
    <row r="996" spans="1:9">
      <c r="A996" s="1" t="s">
        <v>1008</v>
      </c>
      <c r="B996">
        <f>HYPERLINK("https://www.suredividend.com/sure-analysis-research-database/","MillerKnoll Inc")</f>
        <v>0</v>
      </c>
      <c r="C996">
        <v>0.317941952506596</v>
      </c>
      <c r="D996">
        <v>0.269837234576689</v>
      </c>
      <c r="E996">
        <v>-0.141509190749954</v>
      </c>
      <c r="F996">
        <v>-0.014428412874583</v>
      </c>
      <c r="G996">
        <v>-0.324292333186783</v>
      </c>
      <c r="H996">
        <v>-0.5472549783824451</v>
      </c>
      <c r="I996">
        <v>-0.437265527303042</v>
      </c>
    </row>
    <row r="997" spans="1:9">
      <c r="A997" s="1" t="s">
        <v>1009</v>
      </c>
      <c r="B997">
        <f>HYPERLINK("https://www.suredividend.com/sure-analysis-research-database/","MeridianLink Inc")</f>
        <v>0</v>
      </c>
      <c r="C997">
        <v>-0.145480908651522</v>
      </c>
      <c r="D997">
        <v>0.155555555555555</v>
      </c>
      <c r="E997">
        <v>0.04122497055359201</v>
      </c>
      <c r="F997">
        <v>0.287691187181354</v>
      </c>
      <c r="G997">
        <v>-0.026431718061673</v>
      </c>
      <c r="H997">
        <v>-0.277187244480785</v>
      </c>
      <c r="I997">
        <v>-0.28130081300813</v>
      </c>
    </row>
    <row r="998" spans="1:9">
      <c r="A998" s="1" t="s">
        <v>1010</v>
      </c>
      <c r="B998">
        <f>HYPERLINK("https://www.suredividend.com/sure-analysis-MLR/","Miller Industries Inc.")</f>
        <v>0</v>
      </c>
      <c r="C998">
        <v>0.06336633663366301</v>
      </c>
      <c r="D998">
        <v>0.104535677765893</v>
      </c>
      <c r="E998">
        <v>0.298037577134648</v>
      </c>
      <c r="F998">
        <v>0.425116011040004</v>
      </c>
      <c r="G998">
        <v>0.5957988758511771</v>
      </c>
      <c r="H998">
        <v>0.05415478323784501</v>
      </c>
      <c r="I998">
        <v>0.6491109541504161</v>
      </c>
    </row>
    <row r="999" spans="1:9">
      <c r="A999" s="1" t="s">
        <v>1011</v>
      </c>
      <c r="B999">
        <f>HYPERLINK("https://www.suredividend.com/sure-analysis-research-database/","Mineralys Therapeutics Inc")</f>
        <v>0</v>
      </c>
      <c r="C999">
        <v>-0.145898559799624</v>
      </c>
      <c r="D999">
        <v>-0.039436619718309</v>
      </c>
      <c r="E999">
        <v>-0.260303687635574</v>
      </c>
      <c r="F999">
        <v>-0.260303687635574</v>
      </c>
      <c r="G999">
        <v>-0.260303687635574</v>
      </c>
      <c r="H999">
        <v>-0.260303687635574</v>
      </c>
      <c r="I999">
        <v>-0.260303687635574</v>
      </c>
    </row>
    <row r="1000" spans="1:9">
      <c r="A1000" s="1" t="s">
        <v>1012</v>
      </c>
      <c r="B1000">
        <f>HYPERLINK("https://www.suredividend.com/sure-analysis-research-database/","Marcus &amp; Millichap Inc")</f>
        <v>0</v>
      </c>
      <c r="C1000">
        <v>0.151580905145691</v>
      </c>
      <c r="D1000">
        <v>0.230539913878767</v>
      </c>
      <c r="E1000">
        <v>0.010829342620809</v>
      </c>
      <c r="F1000">
        <v>0.08682614584826501</v>
      </c>
      <c r="G1000">
        <v>-0.07404868784100001</v>
      </c>
      <c r="H1000">
        <v>-0.035365600332364</v>
      </c>
      <c r="I1000">
        <v>-0.040009509461656</v>
      </c>
    </row>
    <row r="1001" spans="1:9">
      <c r="A1001" s="1" t="s">
        <v>1013</v>
      </c>
      <c r="B1001">
        <f>HYPERLINK("https://www.suredividend.com/sure-analysis-MMS/","Maximus Inc.")</f>
        <v>0</v>
      </c>
      <c r="C1001">
        <v>-0.061999057048562</v>
      </c>
      <c r="D1001">
        <v>-0.02855733806644</v>
      </c>
      <c r="E1001">
        <v>0.07038184305280701</v>
      </c>
      <c r="F1001">
        <v>0.092714595250714</v>
      </c>
      <c r="G1001">
        <v>0.211095571237469</v>
      </c>
      <c r="H1001">
        <v>-0.06404659302610001</v>
      </c>
      <c r="I1001">
        <v>0.321538351680652</v>
      </c>
    </row>
    <row r="1002" spans="1:9">
      <c r="A1002" s="1" t="s">
        <v>1014</v>
      </c>
      <c r="B1002">
        <f>HYPERLINK("https://www.suredividend.com/sure-analysis-research-database/","Merit Medical Systems, Inc.")</f>
        <v>0</v>
      </c>
      <c r="C1002">
        <v>-0.124954550963519</v>
      </c>
      <c r="D1002">
        <v>-0.134188751648878</v>
      </c>
      <c r="E1002">
        <v>-0.015409791354152</v>
      </c>
      <c r="F1002">
        <v>0.022373265363919</v>
      </c>
      <c r="G1002">
        <v>0.219388616787704</v>
      </c>
      <c r="H1002">
        <v>0.066784869976359</v>
      </c>
      <c r="I1002">
        <v>0.295067264573991</v>
      </c>
    </row>
    <row r="1003" spans="1:9">
      <c r="A1003" s="1" t="s">
        <v>1015</v>
      </c>
      <c r="B1003">
        <f>HYPERLINK("https://www.suredividend.com/sure-analysis-research-database/","Mannkind Corp")</f>
        <v>0</v>
      </c>
      <c r="C1003">
        <v>0.180904522613065</v>
      </c>
      <c r="D1003">
        <v>0.195928753180661</v>
      </c>
      <c r="E1003">
        <v>-0.09266409266409201</v>
      </c>
      <c r="F1003">
        <v>-0.108159392789373</v>
      </c>
      <c r="G1003">
        <v>0.146341463414634</v>
      </c>
      <c r="H1003">
        <v>0.177944862155388</v>
      </c>
      <c r="I1003">
        <v>3.086956521739131</v>
      </c>
    </row>
    <row r="1004" spans="1:9">
      <c r="A1004" s="1" t="s">
        <v>1016</v>
      </c>
      <c r="B1004">
        <f>HYPERLINK("https://www.suredividend.com/sure-analysis-research-database/","Monro Inc")</f>
        <v>0</v>
      </c>
      <c r="C1004">
        <v>-0.125938483894405</v>
      </c>
      <c r="D1004">
        <v>-0.244772102814788</v>
      </c>
      <c r="E1004">
        <v>-0.313097399705368</v>
      </c>
      <c r="F1004">
        <v>-0.186051232087037</v>
      </c>
      <c r="G1004">
        <v>-0.278743827154325</v>
      </c>
      <c r="H1004">
        <v>-0.374301094843055</v>
      </c>
      <c r="I1004">
        <v>-0.434764563543958</v>
      </c>
    </row>
    <row r="1005" spans="1:9">
      <c r="A1005" s="1" t="s">
        <v>1017</v>
      </c>
      <c r="B1005">
        <f>HYPERLINK("https://www.suredividend.com/sure-analysis-research-database/","Montauk Renewables Inc")</f>
        <v>0</v>
      </c>
      <c r="C1005">
        <v>0.177931034482758</v>
      </c>
      <c r="D1005">
        <v>0.311827956989247</v>
      </c>
      <c r="E1005">
        <v>-0.227848101265822</v>
      </c>
      <c r="F1005">
        <v>-0.225747960108794</v>
      </c>
      <c r="G1005">
        <v>-0.385611510791367</v>
      </c>
      <c r="H1005">
        <v>0.138666666666666</v>
      </c>
      <c r="I1005">
        <v>-0.271952259164535</v>
      </c>
    </row>
    <row r="1006" spans="1:9">
      <c r="A1006" s="1" t="s">
        <v>1018</v>
      </c>
      <c r="B1006">
        <f>HYPERLINK("https://www.suredividend.com/sure-analysis-research-database/","Momentus Inc")</f>
        <v>0</v>
      </c>
      <c r="C1006">
        <v>0.282131661442006</v>
      </c>
      <c r="D1006">
        <v>0.001469147894221</v>
      </c>
      <c r="E1006">
        <v>-0.617757009345794</v>
      </c>
      <c r="F1006">
        <v>-0.475573791511732</v>
      </c>
      <c r="G1006">
        <v>-0.793434343434343</v>
      </c>
      <c r="H1006">
        <v>-0.9591816367265461</v>
      </c>
      <c r="I1006">
        <v>-0.9583078491335371</v>
      </c>
    </row>
    <row r="1007" spans="1:9">
      <c r="A1007" s="1" t="s">
        <v>1019</v>
      </c>
      <c r="B1007">
        <f>HYPERLINK("https://www.suredividend.com/sure-analysis-research-database/","Modine Manufacturing Co.")</f>
        <v>0</v>
      </c>
      <c r="C1007">
        <v>0.249349898873158</v>
      </c>
      <c r="D1007">
        <v>1.056110318592487</v>
      </c>
      <c r="E1007">
        <v>0.8791829639287261</v>
      </c>
      <c r="F1007">
        <v>1.177240684793555</v>
      </c>
      <c r="G1007">
        <v>2.219657483246463</v>
      </c>
      <c r="H1007">
        <v>1.564650059311981</v>
      </c>
      <c r="I1007">
        <v>1.408913649025069</v>
      </c>
    </row>
    <row r="1008" spans="1:9">
      <c r="A1008" s="1" t="s">
        <v>1020</v>
      </c>
      <c r="B1008">
        <f>HYPERLINK("https://www.suredividend.com/sure-analysis-research-database/","Topgolf Callaway Brands Corp")</f>
        <v>0</v>
      </c>
      <c r="C1008">
        <v>-0.05286783042394001</v>
      </c>
      <c r="D1008">
        <v>-0.147283340817243</v>
      </c>
      <c r="E1008">
        <v>-0.253537735849056</v>
      </c>
      <c r="F1008">
        <v>-0.038481012658227</v>
      </c>
      <c r="G1008">
        <v>-0.184628595963933</v>
      </c>
      <c r="H1008">
        <v>-0.427839710756251</v>
      </c>
      <c r="I1008">
        <v>-0.121800978551411</v>
      </c>
    </row>
    <row r="1009" spans="1:9">
      <c r="A1009" s="1" t="s">
        <v>1021</v>
      </c>
      <c r="B1009">
        <f>HYPERLINK("https://www.suredividend.com/sure-analysis-research-database/","Model N Inc")</f>
        <v>0</v>
      </c>
      <c r="C1009">
        <v>-0.06708897207025601</v>
      </c>
      <c r="D1009">
        <v>0.08470036826247</v>
      </c>
      <c r="E1009">
        <v>-0.197821242881901</v>
      </c>
      <c r="F1009">
        <v>-0.201183431952662</v>
      </c>
      <c r="G1009">
        <v>0.234285714285714</v>
      </c>
      <c r="H1009">
        <v>0.025965801139961</v>
      </c>
      <c r="I1009">
        <v>0.785123966942148</v>
      </c>
    </row>
    <row r="1010" spans="1:9">
      <c r="A1010" s="1" t="s">
        <v>1022</v>
      </c>
      <c r="B1010">
        <f>HYPERLINK("https://www.suredividend.com/sure-analysis-research-database/","ModivCare Inc")</f>
        <v>0</v>
      </c>
      <c r="C1010">
        <v>-0.177280550774526</v>
      </c>
      <c r="D1010">
        <v>-0.448196248196248</v>
      </c>
      <c r="E1010">
        <v>-0.6532148363108731</v>
      </c>
      <c r="F1010">
        <v>-0.5738326089379241</v>
      </c>
      <c r="G1010">
        <v>-0.628629697970282</v>
      </c>
      <c r="H1010">
        <v>-0.7832813828279961</v>
      </c>
      <c r="I1010">
        <v>-0.4677800974251911</v>
      </c>
    </row>
    <row r="1011" spans="1:9">
      <c r="A1011" s="1" t="s">
        <v>1023</v>
      </c>
      <c r="B1011">
        <f>HYPERLINK("https://www.suredividend.com/sure-analysis-research-database/","MidWestOne Financial Group Inc")</f>
        <v>0</v>
      </c>
      <c r="C1011">
        <v>0.114259173246632</v>
      </c>
      <c r="D1011">
        <v>0.31503935799329</v>
      </c>
      <c r="E1011">
        <v>-0.226161483550689</v>
      </c>
      <c r="F1011">
        <v>-0.218849210871639</v>
      </c>
      <c r="G1011">
        <v>-0.201597470671436</v>
      </c>
      <c r="H1011">
        <v>-0.115171543857837</v>
      </c>
      <c r="I1011">
        <v>-0.120214170456212</v>
      </c>
    </row>
    <row r="1012" spans="1:9">
      <c r="A1012" s="1" t="s">
        <v>1024</v>
      </c>
      <c r="B1012">
        <f>HYPERLINK("https://www.suredividend.com/sure-analysis-research-database/","Moog, Inc.")</f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>
      <c r="A1013" s="1" t="s">
        <v>1025</v>
      </c>
      <c r="B1013">
        <f>HYPERLINK("https://www.suredividend.com/sure-analysis-research-database/","Morphic Holding Inc")</f>
        <v>0</v>
      </c>
      <c r="C1013">
        <v>0.008581436077057001</v>
      </c>
      <c r="D1013">
        <v>0.125024418831803</v>
      </c>
      <c r="E1013">
        <v>0.6668596237337191</v>
      </c>
      <c r="F1013">
        <v>1.152897196261682</v>
      </c>
      <c r="G1013">
        <v>1.013636363636363</v>
      </c>
      <c r="H1013">
        <v>0.074239880619287</v>
      </c>
      <c r="I1013">
        <v>2.199444444444444</v>
      </c>
    </row>
    <row r="1014" spans="1:9">
      <c r="A1014" s="1" t="s">
        <v>1026</v>
      </c>
      <c r="B1014">
        <f>HYPERLINK("https://www.suredividend.com/sure-analysis-research-database/","Movado Group, Inc.")</f>
        <v>0</v>
      </c>
      <c r="C1014">
        <v>-0.000362844702467</v>
      </c>
      <c r="D1014">
        <v>0.111550441392443</v>
      </c>
      <c r="E1014">
        <v>-0.232201283101739</v>
      </c>
      <c r="F1014">
        <v>-0.123401520285857</v>
      </c>
      <c r="G1014">
        <v>-0.200081298452425</v>
      </c>
      <c r="H1014">
        <v>-0.05872143279339301</v>
      </c>
      <c r="I1014">
        <v>-0.372114117974173</v>
      </c>
    </row>
    <row r="1015" spans="1:9">
      <c r="A1015" s="1" t="s">
        <v>1027</v>
      </c>
      <c r="B1015">
        <f>HYPERLINK("https://www.suredividend.com/sure-analysis-research-database/","Motorcar Parts of America Inc.")</f>
        <v>0</v>
      </c>
      <c r="C1015">
        <v>0.115712545676004</v>
      </c>
      <c r="D1015">
        <v>1.035555555555555</v>
      </c>
      <c r="E1015">
        <v>-0.418781725888324</v>
      </c>
      <c r="F1015">
        <v>-0.227655986509274</v>
      </c>
      <c r="G1015">
        <v>-0.385647216633132</v>
      </c>
      <c r="H1015">
        <v>-0.5907059874888291</v>
      </c>
      <c r="I1015">
        <v>-0.57276119402985</v>
      </c>
    </row>
    <row r="1016" spans="1:9">
      <c r="A1016" s="1" t="s">
        <v>1028</v>
      </c>
      <c r="B1016">
        <f>HYPERLINK("https://www.suredividend.com/sure-analysis-research-database/","Mid Penn Bancorp, Inc.")</f>
        <v>0</v>
      </c>
      <c r="C1016">
        <v>0.047556142668427</v>
      </c>
      <c r="D1016">
        <v>0.254078787143979</v>
      </c>
      <c r="E1016">
        <v>-0.244737928188196</v>
      </c>
      <c r="F1016">
        <v>-0.184760259889793</v>
      </c>
      <c r="G1016">
        <v>-0.14477373711229</v>
      </c>
      <c r="H1016">
        <v>-0.028868605391636</v>
      </c>
      <c r="I1016">
        <v>-0.150681703777485</v>
      </c>
    </row>
    <row r="1017" spans="1:9">
      <c r="A1017" s="1" t="s">
        <v>1029</v>
      </c>
      <c r="B1017">
        <f>HYPERLINK("https://www.suredividend.com/sure-analysis-research-database/","MultiPlan Corp")</f>
        <v>0</v>
      </c>
      <c r="C1017">
        <v>-0.07142857142857101</v>
      </c>
      <c r="D1017">
        <v>1.335888835649257</v>
      </c>
      <c r="E1017">
        <v>0.423357664233576</v>
      </c>
      <c r="F1017">
        <v>0.695652173913043</v>
      </c>
      <c r="G1017">
        <v>-0.6107784431137721</v>
      </c>
      <c r="H1017">
        <v>-0.748711340206185</v>
      </c>
      <c r="I1017">
        <v>-0.799382716049382</v>
      </c>
    </row>
    <row r="1018" spans="1:9">
      <c r="A1018" s="1" t="s">
        <v>1030</v>
      </c>
      <c r="B1018">
        <f>HYPERLINK("https://www.suredividend.com/sure-analysis-research-database/","Marine Products Corp")</f>
        <v>0</v>
      </c>
      <c r="C1018">
        <v>-0.049911920140927</v>
      </c>
      <c r="D1018">
        <v>0.179618410212666</v>
      </c>
      <c r="E1018">
        <v>0.209095868299718</v>
      </c>
      <c r="F1018">
        <v>0.402225534717648</v>
      </c>
      <c r="G1018">
        <v>0.4212555888372581</v>
      </c>
      <c r="H1018">
        <v>0.09118620978021101</v>
      </c>
      <c r="I1018">
        <v>-0.019096695968475</v>
      </c>
    </row>
    <row r="1019" spans="1:9">
      <c r="A1019" s="1" t="s">
        <v>1031</v>
      </c>
      <c r="B1019">
        <f>HYPERLINK("https://www.suredividend.com/sure-analysis-research-database/","Marqeta Inc")</f>
        <v>0</v>
      </c>
      <c r="C1019">
        <v>0.06365503080082101</v>
      </c>
      <c r="D1019">
        <v>0.275862068965517</v>
      </c>
      <c r="E1019">
        <v>-0.232592592592592</v>
      </c>
      <c r="F1019">
        <v>-0.152209492635024</v>
      </c>
      <c r="G1019">
        <v>-0.537912578055307</v>
      </c>
      <c r="H1019">
        <v>-0.805263157894736</v>
      </c>
      <c r="I1019">
        <v>-0.8302752293577981</v>
      </c>
    </row>
    <row r="1020" spans="1:9">
      <c r="A1020" s="1" t="s">
        <v>1032</v>
      </c>
      <c r="B1020">
        <f>HYPERLINK("https://www.suredividend.com/sure-analysis-research-database/","MRC Global Inc")</f>
        <v>0</v>
      </c>
      <c r="C1020">
        <v>0.09171597633136001</v>
      </c>
      <c r="D1020">
        <v>0.225913621262458</v>
      </c>
      <c r="E1020">
        <v>-0.16766917293233</v>
      </c>
      <c r="F1020">
        <v>-0.044041450777202</v>
      </c>
      <c r="G1020">
        <v>-0.02208480565371</v>
      </c>
      <c r="H1020">
        <v>0.278290993071593</v>
      </c>
      <c r="I1020">
        <v>-0.46</v>
      </c>
    </row>
    <row r="1021" spans="1:9">
      <c r="A1021" s="1" t="s">
        <v>1033</v>
      </c>
      <c r="B1021">
        <f>HYPERLINK("https://www.suredividend.com/sure-analysis-research-database/","Mersana Therapeutics Inc")</f>
        <v>0</v>
      </c>
      <c r="C1021">
        <v>-0.679824561403508</v>
      </c>
      <c r="D1021">
        <v>-0.8289062500000001</v>
      </c>
      <c r="E1021">
        <v>-0.844017094017094</v>
      </c>
      <c r="F1021">
        <v>-0.8131399317406141</v>
      </c>
      <c r="G1021">
        <v>-0.7792338709677421</v>
      </c>
      <c r="H1021">
        <v>-0.8996333638863421</v>
      </c>
      <c r="I1021">
        <v>-0.9045335658238881</v>
      </c>
    </row>
    <row r="1022" spans="1:9">
      <c r="A1022" s="1" t="s">
        <v>1034</v>
      </c>
      <c r="B1022">
        <f>HYPERLINK("https://www.suredividend.com/sure-analysis-research-database/","Marten Transport, Ltd.")</f>
        <v>0</v>
      </c>
      <c r="C1022">
        <v>0.07746150256649501</v>
      </c>
      <c r="D1022">
        <v>0.128041780048951</v>
      </c>
      <c r="E1022">
        <v>0.014521408642544</v>
      </c>
      <c r="F1022">
        <v>0.177112327817371</v>
      </c>
      <c r="G1022">
        <v>0.08692582166696401</v>
      </c>
      <c r="H1022">
        <v>0.5610105667367501</v>
      </c>
      <c r="I1022">
        <v>0.738613175510327</v>
      </c>
    </row>
    <row r="1023" spans="1:9">
      <c r="A1023" s="1" t="s">
        <v>1035</v>
      </c>
      <c r="B1023">
        <f>HYPERLINK("https://www.suredividend.com/sure-analysis-research-database/","Midland States Bancorp Inc")</f>
        <v>0</v>
      </c>
      <c r="C1023">
        <v>0.167652859960552</v>
      </c>
      <c r="D1023">
        <v>0.261056880694859</v>
      </c>
      <c r="E1023">
        <v>-0.06423134983047001</v>
      </c>
      <c r="F1023">
        <v>-0.071263285876769</v>
      </c>
      <c r="G1023">
        <v>-0.041958805846964</v>
      </c>
      <c r="H1023">
        <v>0.055197337052666</v>
      </c>
      <c r="I1023">
        <v>-0.112992339819826</v>
      </c>
    </row>
    <row r="1024" spans="1:9">
      <c r="A1024" s="1" t="s">
        <v>1036</v>
      </c>
      <c r="B1024">
        <f>HYPERLINK("https://www.suredividend.com/sure-analysis-MSEX/","Middlesex Water Co.")</f>
        <v>0</v>
      </c>
      <c r="C1024">
        <v>-0.020342346812205</v>
      </c>
      <c r="D1024">
        <v>0.11271721090908</v>
      </c>
      <c r="E1024">
        <v>-0.107289190603591</v>
      </c>
      <c r="F1024">
        <v>0.016171511429677</v>
      </c>
      <c r="G1024">
        <v>-0.128506168207799</v>
      </c>
      <c r="H1024">
        <v>-0.232069135168666</v>
      </c>
      <c r="I1024">
        <v>1.008912674107461</v>
      </c>
    </row>
    <row r="1025" spans="1:9">
      <c r="A1025" s="1" t="s">
        <v>1037</v>
      </c>
      <c r="B1025">
        <f>HYPERLINK("https://www.suredividend.com/sure-analysis-research-database/","Madison Square Garden Entertainment Corp.")</f>
        <v>0</v>
      </c>
      <c r="C1025">
        <v>0.001791044776119</v>
      </c>
      <c r="D1025">
        <v>0.019441069258809</v>
      </c>
      <c r="E1025">
        <v>0.04875</v>
      </c>
      <c r="F1025">
        <v>0.04875</v>
      </c>
      <c r="G1025">
        <v>0.04875</v>
      </c>
      <c r="H1025">
        <v>0.04875</v>
      </c>
      <c r="I1025">
        <v>0.04875</v>
      </c>
    </row>
    <row r="1026" spans="1:9">
      <c r="A1026" s="1" t="s">
        <v>1038</v>
      </c>
      <c r="B1026">
        <f>HYPERLINK("https://www.suredividend.com/sure-analysis-research-database/","Microstrategy Inc.")</f>
        <v>0</v>
      </c>
      <c r="C1026">
        <v>0.031944738513656</v>
      </c>
      <c r="D1026">
        <v>0.281544782251438</v>
      </c>
      <c r="E1026">
        <v>0.369258322798145</v>
      </c>
      <c r="F1026">
        <v>1.754185208730663</v>
      </c>
      <c r="G1026">
        <v>0.243018362662586</v>
      </c>
      <c r="H1026">
        <v>-0.376203884427094</v>
      </c>
      <c r="I1026">
        <v>1.890577507598784</v>
      </c>
    </row>
    <row r="1027" spans="1:9">
      <c r="A1027" s="1" t="s">
        <v>1039</v>
      </c>
      <c r="B1027">
        <f>HYPERLINK("https://www.suredividend.com/sure-analysis-research-database/","Matador Resources Co")</f>
        <v>0</v>
      </c>
      <c r="C1027">
        <v>0.097495698719173</v>
      </c>
      <c r="D1027">
        <v>0.330697126751161</v>
      </c>
      <c r="E1027">
        <v>-0.07083713673470701</v>
      </c>
      <c r="F1027">
        <v>0.009190116581585001</v>
      </c>
      <c r="G1027">
        <v>0.05010544953695401</v>
      </c>
      <c r="H1027">
        <v>0.9620240186462341</v>
      </c>
      <c r="I1027">
        <v>0.8717702101299251</v>
      </c>
    </row>
    <row r="1028" spans="1:9">
      <c r="A1028" s="1" t="s">
        <v>1040</v>
      </c>
      <c r="B1028">
        <f>HYPERLINK("https://www.suredividend.com/sure-analysis-research-database/","Meritage Homes Corp.")</f>
        <v>0</v>
      </c>
      <c r="C1028">
        <v>0.024663359319631</v>
      </c>
      <c r="D1028">
        <v>0.148350744982419</v>
      </c>
      <c r="E1028">
        <v>0.28178417832563</v>
      </c>
      <c r="F1028">
        <v>0.5753985895726</v>
      </c>
      <c r="G1028">
        <v>0.707639139873338</v>
      </c>
      <c r="H1028">
        <v>0.30763171056642</v>
      </c>
      <c r="I1028">
        <v>2.393729417094463</v>
      </c>
    </row>
    <row r="1029" spans="1:9">
      <c r="A1029" s="1" t="s">
        <v>1041</v>
      </c>
      <c r="B1029">
        <f>HYPERLINK("https://www.suredividend.com/sure-analysis-research-database/","Materion Corp")</f>
        <v>0</v>
      </c>
      <c r="C1029">
        <v>-0.09683588317107</v>
      </c>
      <c r="D1029">
        <v>-0.120311573956481</v>
      </c>
      <c r="E1029">
        <v>0.143211753845273</v>
      </c>
      <c r="F1029">
        <v>0.188674302097169</v>
      </c>
      <c r="G1029">
        <v>0.227306929500135</v>
      </c>
      <c r="H1029">
        <v>0.409710039333488</v>
      </c>
      <c r="I1029">
        <v>0.684891276674066</v>
      </c>
    </row>
    <row r="1030" spans="1:9">
      <c r="A1030" s="1" t="s">
        <v>1042</v>
      </c>
      <c r="B1030">
        <f>HYPERLINK("https://www.suredividend.com/sure-analysis-research-database/","MACOM Technology Solutions Holdings Inc")</f>
        <v>0</v>
      </c>
      <c r="C1030">
        <v>0.147352264006139</v>
      </c>
      <c r="D1030">
        <v>0.310483870967742</v>
      </c>
      <c r="E1030">
        <v>0.13274738596757</v>
      </c>
      <c r="F1030">
        <v>0.186884725309622</v>
      </c>
      <c r="G1030">
        <v>0.224606815203145</v>
      </c>
      <c r="H1030">
        <v>0.227019041365725</v>
      </c>
      <c r="I1030">
        <v>2.529272898961284</v>
      </c>
    </row>
    <row r="1031" spans="1:9">
      <c r="A1031" s="1" t="s">
        <v>1043</v>
      </c>
      <c r="B1031">
        <f>HYPERLINK("https://www.suredividend.com/sure-analysis-research-database/","Matterport Inc")</f>
        <v>0</v>
      </c>
      <c r="C1031">
        <v>0.044585987261146</v>
      </c>
      <c r="D1031">
        <v>0.419913419913419</v>
      </c>
      <c r="E1031">
        <v>-0.103825136612021</v>
      </c>
      <c r="F1031">
        <v>0.171428571428571</v>
      </c>
      <c r="G1031">
        <v>-0.315240083507306</v>
      </c>
      <c r="H1031">
        <v>-0.7813333333333331</v>
      </c>
      <c r="I1031">
        <v>-0.695201278667806</v>
      </c>
    </row>
    <row r="1032" spans="1:9">
      <c r="A1032" s="1" t="s">
        <v>1044</v>
      </c>
      <c r="B1032">
        <f>HYPERLINK("https://www.suredividend.com/sure-analysis-research-database/","Manitowoc Co., Inc.")</f>
        <v>0</v>
      </c>
      <c r="C1032">
        <v>-0.06094329623741401</v>
      </c>
      <c r="D1032">
        <v>0.02903600464576</v>
      </c>
      <c r="E1032">
        <v>0.256737588652482</v>
      </c>
      <c r="F1032">
        <v>0.9344978165938861</v>
      </c>
      <c r="G1032">
        <v>0.550306211723534</v>
      </c>
      <c r="H1032">
        <v>-0.252951096121416</v>
      </c>
      <c r="I1032">
        <v>-0.283461382935705</v>
      </c>
    </row>
    <row r="1033" spans="1:9">
      <c r="A1033" s="1" t="s">
        <v>1045</v>
      </c>
      <c r="B1033">
        <f>HYPERLINK("https://www.suredividend.com/sure-analysis-research-database/","Minerals Technologies, Inc.")</f>
        <v>0</v>
      </c>
      <c r="C1033">
        <v>0.041579679888656</v>
      </c>
      <c r="D1033">
        <v>-0.000452442605735</v>
      </c>
      <c r="E1033">
        <v>-0.05033373940409101</v>
      </c>
      <c r="F1033">
        <v>-0.012328163742034</v>
      </c>
      <c r="G1033">
        <v>-0.05442990193678401</v>
      </c>
      <c r="H1033">
        <v>-0.238051846072982</v>
      </c>
      <c r="I1033">
        <v>-0.167381723562944</v>
      </c>
    </row>
    <row r="1034" spans="1:9">
      <c r="A1034" s="1" t="s">
        <v>1046</v>
      </c>
      <c r="B1034">
        <f>HYPERLINK("https://www.suredividend.com/sure-analysis-research-database/","Mullen Automotive Inc")</f>
        <v>0</v>
      </c>
      <c r="C1034">
        <v>0.352824578790882</v>
      </c>
      <c r="D1034">
        <v>-0.914553990610328</v>
      </c>
      <c r="E1034">
        <v>-0.9866143662662411</v>
      </c>
      <c r="F1034">
        <v>-0.9809090909090911</v>
      </c>
      <c r="G1034">
        <v>-0.9940851478713031</v>
      </c>
      <c r="H1034">
        <v>-0.9884322033898301</v>
      </c>
      <c r="I1034">
        <v>-0.980541696364932</v>
      </c>
    </row>
    <row r="1035" spans="1:9">
      <c r="A1035" s="1" t="s">
        <v>1047</v>
      </c>
      <c r="B1035">
        <f>HYPERLINK("https://www.suredividend.com/sure-analysis-research-database/","Murphy Oil Corp.")</f>
        <v>0</v>
      </c>
      <c r="C1035">
        <v>0.134101623886851</v>
      </c>
      <c r="D1035">
        <v>0.277693188390401</v>
      </c>
      <c r="E1035">
        <v>0.05582716621353</v>
      </c>
      <c r="F1035">
        <v>0.021951904536003</v>
      </c>
      <c r="G1035">
        <v>0.396148178719864</v>
      </c>
      <c r="H1035">
        <v>1.148147780660716</v>
      </c>
      <c r="I1035">
        <v>0.5547576301615791</v>
      </c>
    </row>
    <row r="1036" spans="1:9">
      <c r="A1036" s="1" t="s">
        <v>1048</v>
      </c>
      <c r="B1036">
        <f>HYPERLINK("https://www.suredividend.com/sure-analysis-research-database/","Murphy USA Inc")</f>
        <v>0</v>
      </c>
      <c r="C1036">
        <v>-0.049451080132642</v>
      </c>
      <c r="D1036">
        <v>0.053915120656772</v>
      </c>
      <c r="E1036">
        <v>0.166633146132013</v>
      </c>
      <c r="F1036">
        <v>0.059084542028886</v>
      </c>
      <c r="G1036">
        <v>0.031898147371481</v>
      </c>
      <c r="H1036">
        <v>0.9792150577206811</v>
      </c>
      <c r="I1036">
        <v>2.514533682981324</v>
      </c>
    </row>
    <row r="1037" spans="1:9">
      <c r="A1037" s="1" t="s">
        <v>1049</v>
      </c>
      <c r="B1037">
        <f>HYPERLINK("https://www.suredividend.com/sure-analysis-research-database/","MVB Financial Corp.")</f>
        <v>0</v>
      </c>
      <c r="C1037">
        <v>0.211824953445065</v>
      </c>
      <c r="D1037">
        <v>0.550069077223572</v>
      </c>
      <c r="E1037">
        <v>0.09337130519886901</v>
      </c>
      <c r="F1037">
        <v>0.212039373818459</v>
      </c>
      <c r="G1037">
        <v>-0.168561864363469</v>
      </c>
      <c r="H1037">
        <v>-0.32492537352141</v>
      </c>
      <c r="I1037">
        <v>0.7087901266986151</v>
      </c>
    </row>
    <row r="1038" spans="1:9">
      <c r="A1038" s="1" t="s">
        <v>1050</v>
      </c>
      <c r="B1038">
        <f>HYPERLINK("https://www.suredividend.com/sure-analysis-research-database/","Microvision Inc.")</f>
        <v>0</v>
      </c>
      <c r="C1038">
        <v>-0.20935412026726</v>
      </c>
      <c r="D1038">
        <v>0.774999999999999</v>
      </c>
      <c r="E1038">
        <v>0.08895705521472301</v>
      </c>
      <c r="F1038">
        <v>0.5106382978723401</v>
      </c>
      <c r="G1038">
        <v>-0.3545454545454541</v>
      </c>
      <c r="H1038">
        <v>-0.7153167602245381</v>
      </c>
      <c r="I1038">
        <v>2.651887665877996</v>
      </c>
    </row>
    <row r="1039" spans="1:9">
      <c r="A1039" s="1" t="s">
        <v>1051</v>
      </c>
      <c r="B1039">
        <f>HYPERLINK("https://www.suredividend.com/sure-analysis-research-database/","Microvast Holdings Inc")</f>
        <v>0</v>
      </c>
      <c r="C1039">
        <v>0.574850299401197</v>
      </c>
      <c r="D1039">
        <v>1.435185185185185</v>
      </c>
      <c r="E1039">
        <v>0.5114942528735631</v>
      </c>
      <c r="F1039">
        <v>0.7189542483660131</v>
      </c>
      <c r="G1039">
        <v>-0.096219931271477</v>
      </c>
      <c r="H1039">
        <v>-0.688757396449704</v>
      </c>
      <c r="I1039">
        <v>-0.7308085977482081</v>
      </c>
    </row>
    <row r="1040" spans="1:9">
      <c r="A1040" s="1" t="s">
        <v>1052</v>
      </c>
      <c r="B1040">
        <f>HYPERLINK("https://www.suredividend.com/sure-analysis-MWA/","Mueller Water Products Inc")</f>
        <v>0</v>
      </c>
      <c r="C1040">
        <v>-0.020974706971005</v>
      </c>
      <c r="D1040">
        <v>0.165780272088854</v>
      </c>
      <c r="E1040">
        <v>0.144171358946814</v>
      </c>
      <c r="F1040">
        <v>0.4876265466816641</v>
      </c>
      <c r="G1040">
        <v>0.240260399978117</v>
      </c>
      <c r="H1040">
        <v>0.08911978258780801</v>
      </c>
      <c r="I1040">
        <v>0.401720574466957</v>
      </c>
    </row>
    <row r="1041" spans="1:9">
      <c r="A1041" s="1" t="s">
        <v>1053</v>
      </c>
      <c r="B1041">
        <f>HYPERLINK("https://www.suredividend.com/sure-analysis-research-database/","MaxCyte Inc")</f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>
      <c r="A1042" s="1" t="s">
        <v>1054</v>
      </c>
      <c r="B1042">
        <f>HYPERLINK("https://www.suredividend.com/sure-analysis-research-database/","MaxLinear Inc")</f>
        <v>0</v>
      </c>
      <c r="C1042">
        <v>-0.245707149547299</v>
      </c>
      <c r="D1042">
        <v>0.0008285004142500001</v>
      </c>
      <c r="E1042">
        <v>-0.405950331940004</v>
      </c>
      <c r="F1042">
        <v>-0.288365243004418</v>
      </c>
      <c r="G1042">
        <v>-0.430054258079735</v>
      </c>
      <c r="H1042">
        <v>-0.5083435083435081</v>
      </c>
      <c r="I1042">
        <v>0.419506462984723</v>
      </c>
    </row>
    <row r="1043" spans="1:9">
      <c r="A1043" s="1" t="s">
        <v>1055</v>
      </c>
      <c r="B1043">
        <f>HYPERLINK("https://www.suredividend.com/sure-analysis-research-database/","Myers Industries Inc.")</f>
        <v>0</v>
      </c>
      <c r="C1043">
        <v>-0.04623983739837401</v>
      </c>
      <c r="D1043">
        <v>0.003743315508021</v>
      </c>
      <c r="E1043">
        <v>-0.21956208992707</v>
      </c>
      <c r="F1043">
        <v>-0.144083138392226</v>
      </c>
      <c r="G1043">
        <v>-0.139977090492554</v>
      </c>
      <c r="H1043">
        <v>-0.06607157961777001</v>
      </c>
      <c r="I1043">
        <v>-0.010584688046893</v>
      </c>
    </row>
    <row r="1044" spans="1:9">
      <c r="A1044" s="1" t="s">
        <v>1056</v>
      </c>
      <c r="B1044">
        <f>HYPERLINK("https://www.suredividend.com/sure-analysis-research-database/","First Western Financial Inc")</f>
        <v>0</v>
      </c>
      <c r="C1044">
        <v>0.114516129032258</v>
      </c>
      <c r="D1044">
        <v>0.411164057181756</v>
      </c>
      <c r="E1044">
        <v>-0.240102639296187</v>
      </c>
      <c r="F1044">
        <v>-0.263587921847246</v>
      </c>
      <c r="G1044">
        <v>-0.24398249452954</v>
      </c>
      <c r="H1044">
        <v>-0.21566401816118</v>
      </c>
      <c r="I1044">
        <v>0.198265895953757</v>
      </c>
    </row>
    <row r="1045" spans="1:9">
      <c r="A1045" s="1" t="s">
        <v>1057</v>
      </c>
      <c r="B1045">
        <f>HYPERLINK("https://www.suredividend.com/sure-analysis-research-database/","Myriad Genetics, Inc.")</f>
        <v>0</v>
      </c>
      <c r="C1045">
        <v>-0.10594315245478</v>
      </c>
      <c r="D1045">
        <v>-0.051621745089081</v>
      </c>
      <c r="E1045">
        <v>0.040080160320641</v>
      </c>
      <c r="F1045">
        <v>0.430737422467264</v>
      </c>
      <c r="G1045">
        <v>-0.199382954107211</v>
      </c>
      <c r="H1045">
        <v>-0.4107294919103031</v>
      </c>
      <c r="I1045">
        <v>-0.5281818181818181</v>
      </c>
    </row>
    <row r="1046" spans="1:9">
      <c r="A1046" s="1" t="s">
        <v>1058</v>
      </c>
      <c r="B1046">
        <f>HYPERLINK("https://www.suredividend.com/sure-analysis-research-database/","PLAYSTUDIOS Inc")</f>
        <v>0</v>
      </c>
      <c r="C1046">
        <v>-0.061099796334012</v>
      </c>
      <c r="D1046">
        <v>0.08470588235294101</v>
      </c>
      <c r="E1046">
        <v>0.013186813186813</v>
      </c>
      <c r="F1046">
        <v>0.188144329896907</v>
      </c>
      <c r="G1046">
        <v>0.185089974293059</v>
      </c>
      <c r="H1046">
        <v>-0.207903780068728</v>
      </c>
      <c r="I1046">
        <v>-0.550243902439024</v>
      </c>
    </row>
    <row r="1047" spans="1:9">
      <c r="A1047" s="1" t="s">
        <v>1059</v>
      </c>
      <c r="B1047">
        <f>HYPERLINK("https://www.suredividend.com/sure-analysis-research-database/","MYR Group Inc")</f>
        <v>0</v>
      </c>
      <c r="C1047">
        <v>0.038191681735985</v>
      </c>
      <c r="D1047">
        <v>0.083081798973739</v>
      </c>
      <c r="E1047">
        <v>0.433293389255043</v>
      </c>
      <c r="F1047">
        <v>0.558922558922559</v>
      </c>
      <c r="G1047">
        <v>0.507034859302814</v>
      </c>
      <c r="H1047">
        <v>0.4915307076795171</v>
      </c>
      <c r="I1047">
        <v>3.08859136875089</v>
      </c>
    </row>
    <row r="1048" spans="1:9">
      <c r="A1048" s="1" t="s">
        <v>1060</v>
      </c>
      <c r="B1048">
        <f>HYPERLINK("https://www.suredividend.com/sure-analysis-research-database/","N-able Inc")</f>
        <v>0</v>
      </c>
      <c r="C1048">
        <v>-0.03744798890429901</v>
      </c>
      <c r="D1048">
        <v>0.116653258246178</v>
      </c>
      <c r="E1048">
        <v>0.293569431500466</v>
      </c>
      <c r="F1048">
        <v>0.350194552529182</v>
      </c>
      <c r="G1048">
        <v>0.363457760314342</v>
      </c>
      <c r="H1048">
        <v>-0.023909985935302</v>
      </c>
      <c r="I1048">
        <v>-0.132499999999999</v>
      </c>
    </row>
    <row r="1049" spans="1:9">
      <c r="A1049" s="1" t="s">
        <v>1061</v>
      </c>
      <c r="B1049">
        <f>HYPERLINK("https://www.suredividend.com/sure-analysis-research-database/","Duckhorn Portfolio Inc (The)")</f>
        <v>0</v>
      </c>
      <c r="C1049">
        <v>-0.018706157443491</v>
      </c>
      <c r="D1049">
        <v>-0.16122584943371</v>
      </c>
      <c r="E1049">
        <v>-0.226658476658476</v>
      </c>
      <c r="F1049">
        <v>-0.24019312009656</v>
      </c>
      <c r="G1049">
        <v>-0.322024771136241</v>
      </c>
      <c r="H1049">
        <v>-0.4554498269896191</v>
      </c>
      <c r="I1049">
        <v>-0.267171129220023</v>
      </c>
    </row>
    <row r="1050" spans="1:9">
      <c r="A1050" s="1" t="s">
        <v>1062</v>
      </c>
      <c r="B1050">
        <f>HYPERLINK("https://www.suredividend.com/sure-analysis-research-database/","Inari Medical Inc")</f>
        <v>0</v>
      </c>
      <c r="C1050">
        <v>0.192979361439407</v>
      </c>
      <c r="D1050">
        <v>0.074686159224535</v>
      </c>
      <c r="E1050">
        <v>0.153701808256567</v>
      </c>
      <c r="F1050">
        <v>0.06403398363750701</v>
      </c>
      <c r="G1050">
        <v>-0.172012732615083</v>
      </c>
      <c r="H1050">
        <v>-0.240112359550561</v>
      </c>
      <c r="I1050">
        <v>0.590919783580333</v>
      </c>
    </row>
    <row r="1051" spans="1:9">
      <c r="A1051" s="1" t="s">
        <v>1063</v>
      </c>
      <c r="B1051">
        <f>HYPERLINK("https://www.suredividend.com/sure-analysis-research-database/","Nordic American Tankers Ltd")</f>
        <v>0</v>
      </c>
      <c r="C1051">
        <v>0.201634877384196</v>
      </c>
      <c r="D1051">
        <v>0.372506302324857</v>
      </c>
      <c r="E1051">
        <v>0.542821158690176</v>
      </c>
      <c r="F1051">
        <v>0.557973574507171</v>
      </c>
      <c r="G1051">
        <v>0.927700310355378</v>
      </c>
      <c r="H1051">
        <v>0.9751869933264661</v>
      </c>
      <c r="I1051">
        <v>1.633150226892763</v>
      </c>
    </row>
    <row r="1052" spans="1:9">
      <c r="A1052" s="1" t="s">
        <v>1064</v>
      </c>
      <c r="B1052">
        <f>HYPERLINK("https://www.suredividend.com/sure-analysis-research-database/","Nature`s Sunshine Products, Inc.")</f>
        <v>0</v>
      </c>
      <c r="C1052">
        <v>0.015239477503628</v>
      </c>
      <c r="D1052">
        <v>0.308699719363891</v>
      </c>
      <c r="E1052">
        <v>0.439300411522633</v>
      </c>
      <c r="F1052">
        <v>0.681490384615384</v>
      </c>
      <c r="G1052">
        <v>0.319811320754717</v>
      </c>
      <c r="H1052">
        <v>-0.194124423963133</v>
      </c>
      <c r="I1052">
        <v>0.737888198757763</v>
      </c>
    </row>
    <row r="1053" spans="1:9">
      <c r="A1053" s="1" t="s">
        <v>1065</v>
      </c>
      <c r="B1053">
        <f>HYPERLINK("https://www.suredividend.com/sure-analysis-research-database/","Nautilus Biotechnology Inc")</f>
        <v>0</v>
      </c>
      <c r="C1053">
        <v>-0.167108753315649</v>
      </c>
      <c r="D1053">
        <v>0.4208144796380091</v>
      </c>
      <c r="E1053">
        <v>0.5023923444976071</v>
      </c>
      <c r="F1053">
        <v>0.744444444444444</v>
      </c>
      <c r="G1053">
        <v>0.109540636042402</v>
      </c>
      <c r="H1053">
        <v>-0.5895424836601301</v>
      </c>
      <c r="I1053">
        <v>-0.714545454545454</v>
      </c>
    </row>
    <row r="1054" spans="1:9">
      <c r="A1054" s="1" t="s">
        <v>1066</v>
      </c>
      <c r="B1054">
        <f>HYPERLINK("https://www.suredividend.com/sure-analysis-NAVI/","Navient Corp")</f>
        <v>0</v>
      </c>
      <c r="C1054">
        <v>-0.02288451303885</v>
      </c>
      <c r="D1054">
        <v>0.237063389391979</v>
      </c>
      <c r="E1054">
        <v>9.804882831600001E-05</v>
      </c>
      <c r="F1054">
        <v>0.150260625501202</v>
      </c>
      <c r="G1054">
        <v>0.197706353192905</v>
      </c>
      <c r="H1054">
        <v>-0.036346936097624</v>
      </c>
      <c r="I1054">
        <v>0.7588228532015171</v>
      </c>
    </row>
    <row r="1055" spans="1:9">
      <c r="A1055" s="1" t="s">
        <v>1067</v>
      </c>
      <c r="B1055">
        <f>HYPERLINK("https://www.suredividend.com/sure-analysis-research-database/","National Bank Holdings Corp")</f>
        <v>0</v>
      </c>
      <c r="C1055">
        <v>0.176450742240215</v>
      </c>
      <c r="D1055">
        <v>0.232103232371772</v>
      </c>
      <c r="E1055">
        <v>-0.19668630219984</v>
      </c>
      <c r="F1055">
        <v>-0.159070081512564</v>
      </c>
      <c r="G1055">
        <v>-0.144502317228452</v>
      </c>
      <c r="H1055">
        <v>0.026790183803393</v>
      </c>
      <c r="I1055">
        <v>-0.03091511405576</v>
      </c>
    </row>
    <row r="1056" spans="1:9">
      <c r="A1056" s="1" t="s">
        <v>1068</v>
      </c>
      <c r="B1056">
        <f>HYPERLINK("https://www.suredividend.com/sure-analysis-research-database/","Northeast Bank")</f>
        <v>0</v>
      </c>
      <c r="C1056">
        <v>0.128418549346016</v>
      </c>
      <c r="D1056">
        <v>0.324675252162891</v>
      </c>
      <c r="E1056">
        <v>-0.00217649594667</v>
      </c>
      <c r="F1056">
        <v>0.127943766832985</v>
      </c>
      <c r="G1056">
        <v>0.153395528374259</v>
      </c>
      <c r="H1056">
        <v>0.468753772484004</v>
      </c>
      <c r="I1056">
        <v>1.239855742905156</v>
      </c>
    </row>
    <row r="1057" spans="1:9">
      <c r="A1057" s="1" t="s">
        <v>1069</v>
      </c>
      <c r="B1057">
        <f>HYPERLINK("https://www.suredividend.com/sure-analysis-research-database/","Nabors Industries Ltd")</f>
        <v>0</v>
      </c>
      <c r="C1057">
        <v>0.265454929726302</v>
      </c>
      <c r="D1057">
        <v>0.292359162529678</v>
      </c>
      <c r="E1057">
        <v>-0.297365487296837</v>
      </c>
      <c r="F1057">
        <v>-0.226770840059404</v>
      </c>
      <c r="G1057">
        <v>-0.100570827700165</v>
      </c>
      <c r="H1057">
        <v>0.3685714285714281</v>
      </c>
      <c r="I1057">
        <v>-0.617015329301253</v>
      </c>
    </row>
    <row r="1058" spans="1:9">
      <c r="A1058" s="1" t="s">
        <v>1070</v>
      </c>
      <c r="B1058">
        <f>HYPERLINK("https://www.suredividend.com/sure-analysis-research-database/","NBT Bancorp. Inc.")</f>
        <v>0</v>
      </c>
      <c r="C1058">
        <v>0.144838212634822</v>
      </c>
      <c r="D1058">
        <v>0.267606594966424</v>
      </c>
      <c r="E1058">
        <v>-0.07883578729165301</v>
      </c>
      <c r="F1058">
        <v>-0.122962333415961</v>
      </c>
      <c r="G1058">
        <v>-0.05126004923743201</v>
      </c>
      <c r="H1058">
        <v>0.110546454621547</v>
      </c>
      <c r="I1058">
        <v>0.096038330363359</v>
      </c>
    </row>
    <row r="1059" spans="1:9">
      <c r="A1059" s="1" t="s">
        <v>1071</v>
      </c>
      <c r="B1059">
        <f>HYPERLINK("https://www.suredividend.com/sure-analysis-NC/","Nacco Industries Inc.")</f>
        <v>0</v>
      </c>
      <c r="C1059">
        <v>-0.025166329187156</v>
      </c>
      <c r="D1059">
        <v>0</v>
      </c>
      <c r="E1059">
        <v>-0.116137441939147</v>
      </c>
      <c r="F1059">
        <v>-0.108463249902777</v>
      </c>
      <c r="G1059">
        <v>-0.154105849722009</v>
      </c>
      <c r="H1059">
        <v>0.322990193384264</v>
      </c>
      <c r="I1059">
        <v>0.028665268658675</v>
      </c>
    </row>
    <row r="1060" spans="1:9">
      <c r="A1060" s="1" t="s">
        <v>1072</v>
      </c>
      <c r="B1060">
        <f>HYPERLINK("https://www.suredividend.com/sure-analysis-research-database/","Noodles &amp; Company")</f>
        <v>0</v>
      </c>
      <c r="C1060">
        <v>-0.023529411764705</v>
      </c>
      <c r="D1060">
        <v>-0.30398322851153</v>
      </c>
      <c r="E1060">
        <v>-0.478806907378336</v>
      </c>
      <c r="F1060">
        <v>-0.395264116575592</v>
      </c>
      <c r="G1060">
        <v>-0.350293542074364</v>
      </c>
      <c r="H1060">
        <v>-0.7262984336356141</v>
      </c>
      <c r="I1060">
        <v>-0.664646464646464</v>
      </c>
    </row>
    <row r="1061" spans="1:9">
      <c r="A1061" s="1" t="s">
        <v>1073</v>
      </c>
      <c r="B1061">
        <f>HYPERLINK("https://www.suredividend.com/sure-analysis-research-database/","Noble Corp Plc")</f>
        <v>0</v>
      </c>
      <c r="C1061">
        <v>0.243039169419537</v>
      </c>
      <c r="D1061">
        <v>0.482690683929073</v>
      </c>
      <c r="E1061">
        <v>0.340117018570338</v>
      </c>
      <c r="F1061">
        <v>0.396976929196499</v>
      </c>
      <c r="G1061">
        <v>0.7636424506193501</v>
      </c>
      <c r="H1061">
        <v>0.7636424506193501</v>
      </c>
      <c r="I1061">
        <v>0.7636424506193501</v>
      </c>
    </row>
    <row r="1062" spans="1:9">
      <c r="A1062" s="1" t="s">
        <v>1074</v>
      </c>
      <c r="B1062">
        <f>HYPERLINK("https://www.suredividend.com/sure-analysis-research-database/","Neogenomics Inc.")</f>
        <v>0</v>
      </c>
      <c r="C1062">
        <v>0.009505703422053001</v>
      </c>
      <c r="D1062">
        <v>0.129787234042553</v>
      </c>
      <c r="E1062">
        <v>0.269322709163346</v>
      </c>
      <c r="F1062">
        <v>0.724025974025974</v>
      </c>
      <c r="G1062">
        <v>0.593</v>
      </c>
      <c r="H1062">
        <v>-0.6551201558778951</v>
      </c>
      <c r="I1062">
        <v>0.106249999999999</v>
      </c>
    </row>
    <row r="1063" spans="1:9">
      <c r="A1063" s="1" t="s">
        <v>1075</v>
      </c>
      <c r="B1063">
        <f>HYPERLINK("https://www.suredividend.com/sure-analysis-research-database/","Neogen Corp.")</f>
        <v>0</v>
      </c>
      <c r="C1063">
        <v>0.039888682745825</v>
      </c>
      <c r="D1063">
        <v>0.283342873497424</v>
      </c>
      <c r="E1063">
        <v>0.104977821586988</v>
      </c>
      <c r="F1063">
        <v>0.4720945502298091</v>
      </c>
      <c r="G1063">
        <v>0.010820559062218</v>
      </c>
      <c r="H1063">
        <v>-0.482694970004614</v>
      </c>
      <c r="I1063">
        <v>-0.449883449883449</v>
      </c>
    </row>
    <row r="1064" spans="1:9">
      <c r="A1064" s="1" t="s">
        <v>1076</v>
      </c>
      <c r="B1064">
        <f>HYPERLINK("https://www.suredividend.com/sure-analysis-research-database/","Eneti Inc")</f>
        <v>0</v>
      </c>
      <c r="C1064">
        <v>-0.022653721682847</v>
      </c>
      <c r="D1064">
        <v>0.473188697423139</v>
      </c>
      <c r="E1064">
        <v>0.235388564474397</v>
      </c>
      <c r="F1064">
        <v>0.204663083259371</v>
      </c>
      <c r="G1064">
        <v>0.8668768448544981</v>
      </c>
      <c r="H1064">
        <v>-0.250234301780693</v>
      </c>
      <c r="I1064">
        <v>-0.6669547728441311</v>
      </c>
    </row>
    <row r="1065" spans="1:9">
      <c r="A1065" s="1" t="s">
        <v>1077</v>
      </c>
      <c r="B1065">
        <f>HYPERLINK("https://www.suredividend.com/sure-analysis-research-database/","NexTier Oilfield Solutions Inc")</f>
        <v>0</v>
      </c>
      <c r="C1065">
        <v>0.296943231441048</v>
      </c>
      <c r="D1065">
        <v>0.6163265306122451</v>
      </c>
      <c r="E1065">
        <v>0.295528898582333</v>
      </c>
      <c r="F1065">
        <v>0.285714285714285</v>
      </c>
      <c r="G1065">
        <v>0.356164383561643</v>
      </c>
      <c r="H1065">
        <v>2.085714285714286</v>
      </c>
      <c r="I1065">
        <v>-0.155650319829424</v>
      </c>
    </row>
    <row r="1066" spans="1:9">
      <c r="A1066" s="1" t="s">
        <v>1078</v>
      </c>
      <c r="B1066">
        <f>HYPERLINK("https://www.suredividend.com/sure-analysis-research-database/","NextDecade Corporation")</f>
        <v>0</v>
      </c>
      <c r="C1066">
        <v>-0.321867321867321</v>
      </c>
      <c r="D1066">
        <v>-0.056410256410256</v>
      </c>
      <c r="E1066">
        <v>-0.204610951008645</v>
      </c>
      <c r="F1066">
        <v>0.11740890688259</v>
      </c>
      <c r="G1066">
        <v>-0.259060402684563</v>
      </c>
      <c r="H1066">
        <v>0.8157894736842101</v>
      </c>
      <c r="I1066">
        <v>-0.121019108280254</v>
      </c>
    </row>
    <row r="1067" spans="1:9">
      <c r="A1067" s="1" t="s">
        <v>1079</v>
      </c>
      <c r="B1067">
        <f>HYPERLINK("https://www.suredividend.com/sure-analysis-research-database/","Northfield Bancorp Inc")</f>
        <v>0</v>
      </c>
      <c r="C1067">
        <v>0.06840684068406801</v>
      </c>
      <c r="D1067">
        <v>0.244874201633962</v>
      </c>
      <c r="E1067">
        <v>-0.160466234758253</v>
      </c>
      <c r="F1067">
        <v>-0.21757071196451</v>
      </c>
      <c r="G1067">
        <v>-0.158036600936303</v>
      </c>
      <c r="H1067">
        <v>-0.218770567329208</v>
      </c>
      <c r="I1067">
        <v>-0.128628268561612</v>
      </c>
    </row>
    <row r="1068" spans="1:9">
      <c r="A1068" s="1" t="s">
        <v>1080</v>
      </c>
      <c r="B1068">
        <f>HYPERLINK("https://www.suredividend.com/sure-analysis-research-database/","Novagold Resources Inc.")</f>
        <v>0</v>
      </c>
      <c r="C1068">
        <v>0.051597051597051</v>
      </c>
      <c r="D1068">
        <v>-0.227436823104693</v>
      </c>
      <c r="E1068">
        <v>-0.309677419354838</v>
      </c>
      <c r="F1068">
        <v>-0.284280936454849</v>
      </c>
      <c r="G1068">
        <v>-0.07559395248380101</v>
      </c>
      <c r="H1068">
        <v>-0.450577663671373</v>
      </c>
      <c r="I1068">
        <v>-0.004651162790697</v>
      </c>
    </row>
    <row r="1069" spans="1:9">
      <c r="A1069" s="1" t="s">
        <v>1081</v>
      </c>
      <c r="B1069">
        <f>HYPERLINK("https://www.suredividend.com/sure-analysis-research-database/","Ngm Biopharmaceuticals Inc")</f>
        <v>0</v>
      </c>
      <c r="C1069">
        <v>-0.166666666666666</v>
      </c>
      <c r="D1069">
        <v>-0.423076923076923</v>
      </c>
      <c r="E1069">
        <v>-0.583333333333333</v>
      </c>
      <c r="F1069">
        <v>-0.551792828685258</v>
      </c>
      <c r="G1069">
        <v>-0.8417721518987341</v>
      </c>
      <c r="H1069">
        <v>-0.8883374689826301</v>
      </c>
      <c r="I1069">
        <v>-0.846938775510204</v>
      </c>
    </row>
    <row r="1070" spans="1:9">
      <c r="A1070" s="1" t="s">
        <v>1082</v>
      </c>
      <c r="B1070">
        <f>HYPERLINK("https://www.suredividend.com/sure-analysis-research-database/","NeoGames SA")</f>
        <v>0</v>
      </c>
      <c r="C1070">
        <v>0.04126494408021501</v>
      </c>
      <c r="D1070">
        <v>1.129337539432176</v>
      </c>
      <c r="E1070">
        <v>0.9067796610169491</v>
      </c>
      <c r="F1070">
        <v>1.214930270713699</v>
      </c>
      <c r="G1070">
        <v>0.4713896457765661</v>
      </c>
      <c r="H1070">
        <v>-0.460431654676259</v>
      </c>
      <c r="I1070">
        <v>0.234567901234567</v>
      </c>
    </row>
    <row r="1071" spans="1:9">
      <c r="A1071" s="1" t="s">
        <v>1083</v>
      </c>
      <c r="B1071">
        <f>HYPERLINK("https://www.suredividend.com/sure-analysis-research-database/","Natural Grocers by Vitamin Cottage Inc")</f>
        <v>0</v>
      </c>
      <c r="C1071">
        <v>0.001636661211129</v>
      </c>
      <c r="D1071">
        <v>0.175837688287734</v>
      </c>
      <c r="E1071">
        <v>0.245814206760374</v>
      </c>
      <c r="F1071">
        <v>0.363044131894564</v>
      </c>
      <c r="G1071">
        <v>-0.271515295798119</v>
      </c>
      <c r="H1071">
        <v>0.122987292995091</v>
      </c>
      <c r="I1071">
        <v>-0.24120316413321</v>
      </c>
    </row>
    <row r="1072" spans="1:9">
      <c r="A1072" s="1" t="s">
        <v>1084</v>
      </c>
      <c r="B1072">
        <f>HYPERLINK("https://www.suredividend.com/sure-analysis-research-database/","Ingevity Corp")</f>
        <v>0</v>
      </c>
      <c r="C1072">
        <v>-0.055271238485158</v>
      </c>
      <c r="D1072">
        <v>-0.213798977853492</v>
      </c>
      <c r="E1072">
        <v>-0.362935695387093</v>
      </c>
      <c r="F1072">
        <v>-0.213798977853492</v>
      </c>
      <c r="G1072">
        <v>-0.209421841541755</v>
      </c>
      <c r="H1072">
        <v>-0.338509316770186</v>
      </c>
      <c r="I1072">
        <v>-0.436794467609071</v>
      </c>
    </row>
    <row r="1073" spans="1:9">
      <c r="A1073" s="1" t="s">
        <v>1085</v>
      </c>
      <c r="B1073">
        <f>HYPERLINK("https://www.suredividend.com/sure-analysis-NHC/","National Healthcare Corp.")</f>
        <v>0</v>
      </c>
      <c r="C1073">
        <v>-0.013368542663805</v>
      </c>
      <c r="D1073">
        <v>0.07480676671587</v>
      </c>
      <c r="E1073">
        <v>-0.005785999511042</v>
      </c>
      <c r="F1073">
        <v>0.034483355339322</v>
      </c>
      <c r="G1073">
        <v>-0.119429411470102</v>
      </c>
      <c r="H1073">
        <v>-0.151287479005793</v>
      </c>
      <c r="I1073">
        <v>-0.02411949557197</v>
      </c>
    </row>
    <row r="1074" spans="1:9">
      <c r="A1074" s="1" t="s">
        <v>1086</v>
      </c>
      <c r="B1074">
        <f>HYPERLINK("https://www.suredividend.com/sure-analysis-NHI/","National Health Investors, Inc.")</f>
        <v>0</v>
      </c>
      <c r="C1074">
        <v>0.039705048213272</v>
      </c>
      <c r="D1074">
        <v>0.146700031279324</v>
      </c>
      <c r="E1074">
        <v>-0.03735395754484101</v>
      </c>
      <c r="F1074">
        <v>0.09076627372104201</v>
      </c>
      <c r="G1074">
        <v>-0.080812909739471</v>
      </c>
      <c r="H1074">
        <v>-0.07476890254367001</v>
      </c>
      <c r="I1074">
        <v>-0.015058023632159</v>
      </c>
    </row>
    <row r="1075" spans="1:9">
      <c r="A1075" s="1" t="s">
        <v>1087</v>
      </c>
      <c r="B1075">
        <f>HYPERLINK("https://www.suredividend.com/sure-analysis-research-database/","Nicolet Bankshares Inc.")</f>
        <v>0</v>
      </c>
      <c r="C1075">
        <v>0.238897845522497</v>
      </c>
      <c r="D1075">
        <v>0.538629558506329</v>
      </c>
      <c r="E1075">
        <v>0.122278279341476</v>
      </c>
      <c r="F1075">
        <v>0.063484474862865</v>
      </c>
      <c r="G1075">
        <v>0.056730673067306</v>
      </c>
      <c r="H1075">
        <v>0.157945205479452</v>
      </c>
      <c r="I1075">
        <v>0.5456207716218681</v>
      </c>
    </row>
    <row r="1076" spans="1:9">
      <c r="A1076" s="1" t="s">
        <v>1088</v>
      </c>
      <c r="B1076">
        <f>HYPERLINK("https://www.suredividend.com/sure-analysis-NJR/","New Jersey Resources Corporation")</f>
        <v>0</v>
      </c>
      <c r="C1076">
        <v>-0.06559797511073601</v>
      </c>
      <c r="D1076">
        <v>-0.142036530264031</v>
      </c>
      <c r="E1076">
        <v>-0.152944235814206</v>
      </c>
      <c r="F1076">
        <v>-0.09302530316089801</v>
      </c>
      <c r="G1076">
        <v>0.012330783082421</v>
      </c>
      <c r="H1076">
        <v>0.208760924552035</v>
      </c>
      <c r="I1076">
        <v>0.139845979276931</v>
      </c>
    </row>
    <row r="1077" spans="1:9">
      <c r="A1077" s="1" t="s">
        <v>1089</v>
      </c>
      <c r="B1077">
        <f>HYPERLINK("https://www.suredividend.com/sure-analysis-research-database/","Nikola Corp")</f>
        <v>0</v>
      </c>
      <c r="C1077">
        <v>1.478102189781021</v>
      </c>
      <c r="D1077">
        <v>2.690217391304348</v>
      </c>
      <c r="E1077">
        <v>0.234545454545454</v>
      </c>
      <c r="F1077">
        <v>0.5717592592592591</v>
      </c>
      <c r="G1077">
        <v>-0.546122994652406</v>
      </c>
      <c r="H1077">
        <v>-0.667482859941234</v>
      </c>
      <c r="I1077">
        <v>-0.64449889527639</v>
      </c>
    </row>
    <row r="1078" spans="1:9">
      <c r="A1078" s="1" t="s">
        <v>1090</v>
      </c>
      <c r="B1078">
        <f>HYPERLINK("https://www.suredividend.com/sure-analysis-research-database/","Nektar Therapeutics")</f>
        <v>0</v>
      </c>
      <c r="C1078">
        <v>-0.099407045692361</v>
      </c>
      <c r="D1078">
        <v>-0.354822588705647</v>
      </c>
      <c r="E1078">
        <v>-0.8328802588996761</v>
      </c>
      <c r="F1078">
        <v>-0.771504424778761</v>
      </c>
      <c r="G1078">
        <v>-0.8844742729306481</v>
      </c>
      <c r="H1078">
        <v>-0.9673164556962021</v>
      </c>
      <c r="I1078">
        <v>-0.9904263997033741</v>
      </c>
    </row>
    <row r="1079" spans="1:9">
      <c r="A1079" s="1" t="s">
        <v>1091</v>
      </c>
      <c r="B1079">
        <f>HYPERLINK("https://www.suredividend.com/sure-analysis-research-database/","Nkarta Inc")</f>
        <v>0</v>
      </c>
      <c r="C1079">
        <v>0.013761467889908</v>
      </c>
      <c r="D1079">
        <v>-0.544329896907216</v>
      </c>
      <c r="E1079">
        <v>-0.6156521739130431</v>
      </c>
      <c r="F1079">
        <v>-0.631051752921535</v>
      </c>
      <c r="G1079">
        <v>-0.8358098068350661</v>
      </c>
      <c r="H1079">
        <v>-0.9335338345864661</v>
      </c>
      <c r="I1079">
        <v>-0.953862212943632</v>
      </c>
    </row>
    <row r="1080" spans="1:9">
      <c r="A1080" s="1" t="s">
        <v>1092</v>
      </c>
      <c r="B1080">
        <f>HYPERLINK("https://www.suredividend.com/sure-analysis-research-database/","NL Industries, Inc.")</f>
        <v>0</v>
      </c>
      <c r="C1080">
        <v>0.025134649910233</v>
      </c>
      <c r="D1080">
        <v>-0.075093948425554</v>
      </c>
      <c r="E1080">
        <v>-0.202725533727083</v>
      </c>
      <c r="F1080">
        <v>-0.143015803929219</v>
      </c>
      <c r="G1080">
        <v>-0.331170276316868</v>
      </c>
      <c r="H1080">
        <v>0.063235513183375</v>
      </c>
      <c r="I1080">
        <v>-0.218215175661984</v>
      </c>
    </row>
    <row r="1081" spans="1:9">
      <c r="A1081" s="1" t="s">
        <v>1093</v>
      </c>
      <c r="B1081">
        <f>HYPERLINK("https://www.suredividend.com/sure-analysis-research-database/","NMI Holdings Inc")</f>
        <v>0</v>
      </c>
      <c r="C1081">
        <v>0.114929362352042</v>
      </c>
      <c r="D1081">
        <v>0.26461671719359</v>
      </c>
      <c r="E1081">
        <v>0.240968975775605</v>
      </c>
      <c r="F1081">
        <v>0.3971291866028701</v>
      </c>
      <c r="G1081">
        <v>0.432074546346248</v>
      </c>
      <c r="H1081">
        <v>0.333333333333333</v>
      </c>
      <c r="I1081">
        <v>0.345622119815668</v>
      </c>
    </row>
    <row r="1082" spans="1:9">
      <c r="A1082" s="1" t="s">
        <v>1094</v>
      </c>
      <c r="B1082">
        <f>HYPERLINK("https://www.suredividend.com/sure-analysis-research-database/","Newmark Group Inc")</f>
        <v>0</v>
      </c>
      <c r="C1082">
        <v>0.196850393700787</v>
      </c>
      <c r="D1082">
        <v>0.275681482476164</v>
      </c>
      <c r="E1082">
        <v>-0.144452449567723</v>
      </c>
      <c r="F1082">
        <v>-0.032808165135279</v>
      </c>
      <c r="G1082">
        <v>-0.253877871588454</v>
      </c>
      <c r="H1082">
        <v>-0.379379052409805</v>
      </c>
      <c r="I1082">
        <v>-0.359573948142343</v>
      </c>
    </row>
    <row r="1083" spans="1:9">
      <c r="A1083" s="1" t="s">
        <v>1095</v>
      </c>
      <c r="B1083">
        <f>HYPERLINK("https://www.suredividend.com/sure-analysis-research-database/","NextNav Inc")</f>
        <v>0</v>
      </c>
      <c r="C1083">
        <v>0.127090301003344</v>
      </c>
      <c r="D1083">
        <v>0.676616915422885</v>
      </c>
      <c r="E1083">
        <v>0.09771986970684</v>
      </c>
      <c r="F1083">
        <v>0.150170648464163</v>
      </c>
      <c r="G1083">
        <v>0.221014492753623</v>
      </c>
      <c r="H1083">
        <v>-0.6922374429223741</v>
      </c>
      <c r="I1083">
        <v>-0.6922374429223741</v>
      </c>
    </row>
    <row r="1084" spans="1:9">
      <c r="A1084" s="1" t="s">
        <v>1096</v>
      </c>
      <c r="B1084">
        <f>HYPERLINK("https://www.suredividend.com/sure-analysis-research-database/","Nelnet Inc")</f>
        <v>0</v>
      </c>
      <c r="C1084">
        <v>0.020435545463928</v>
      </c>
      <c r="D1084">
        <v>0.051726833979914</v>
      </c>
      <c r="E1084">
        <v>0.030926760093426</v>
      </c>
      <c r="F1084">
        <v>0.09556587800402401</v>
      </c>
      <c r="G1084">
        <v>0.062404298186702</v>
      </c>
      <c r="H1084">
        <v>0.339458689072715</v>
      </c>
      <c r="I1084">
        <v>0.7861078493361031</v>
      </c>
    </row>
    <row r="1085" spans="1:9">
      <c r="A1085" s="1" t="s">
        <v>1097</v>
      </c>
      <c r="B1085">
        <f>HYPERLINK("https://www.suredividend.com/sure-analysis-research-database/","Nano X Imaging Ltd")</f>
        <v>0</v>
      </c>
      <c r="C1085">
        <v>-0.236065573770491</v>
      </c>
      <c r="D1085">
        <v>0.091846298031865</v>
      </c>
      <c r="E1085">
        <v>0.177957532861476</v>
      </c>
      <c r="F1085">
        <v>0.5785907859078591</v>
      </c>
      <c r="G1085">
        <v>-0.140855457227138</v>
      </c>
      <c r="H1085">
        <v>-0.602253328781154</v>
      </c>
      <c r="I1085">
        <v>-0.4631336405529951</v>
      </c>
    </row>
    <row r="1086" spans="1:9">
      <c r="A1086" s="1" t="s">
        <v>1098</v>
      </c>
      <c r="B1086">
        <f>HYPERLINK("https://www.suredividend.com/sure-analysis-research-database/","NI Holdings Inc")</f>
        <v>0</v>
      </c>
      <c r="C1086">
        <v>-0.110146862483311</v>
      </c>
      <c r="D1086">
        <v>0.022239263803681</v>
      </c>
      <c r="E1086">
        <v>-0.034757422157856</v>
      </c>
      <c r="F1086">
        <v>0.004521477015825</v>
      </c>
      <c r="G1086">
        <v>-0.102356902356902</v>
      </c>
      <c r="H1086">
        <v>-0.3164102564102561</v>
      </c>
      <c r="I1086">
        <v>-0.193587416817906</v>
      </c>
    </row>
    <row r="1087" spans="1:9">
      <c r="A1087" s="1" t="s">
        <v>1099</v>
      </c>
      <c r="B1087">
        <f>HYPERLINK("https://www.suredividend.com/sure-analysis-research-database/","Northern Oil and Gas Inc.")</f>
        <v>0</v>
      </c>
      <c r="C1087">
        <v>0.210771470160116</v>
      </c>
      <c r="D1087">
        <v>0.356831298140759</v>
      </c>
      <c r="E1087">
        <v>0.331382730118892</v>
      </c>
      <c r="F1087">
        <v>0.38063132595713</v>
      </c>
      <c r="G1087">
        <v>0.577517997891079</v>
      </c>
      <c r="H1087">
        <v>1.675269038536996</v>
      </c>
      <c r="I1087">
        <v>0.198835466389945</v>
      </c>
    </row>
    <row r="1088" spans="1:9">
      <c r="A1088" s="1" t="s">
        <v>1100</v>
      </c>
      <c r="B1088">
        <f>HYPERLINK("https://www.suredividend.com/sure-analysis-research-database/","Inotiv Inc")</f>
        <v>0</v>
      </c>
      <c r="C1088">
        <v>0.464730290456431</v>
      </c>
      <c r="D1088">
        <v>0.247349823321554</v>
      </c>
      <c r="E1088">
        <v>-0.130541871921182</v>
      </c>
      <c r="F1088">
        <v>0.42914979757085</v>
      </c>
      <c r="G1088">
        <v>-0.617136659436008</v>
      </c>
      <c r="H1088">
        <v>-0.7225933202357561</v>
      </c>
      <c r="I1088">
        <v>3.151964243707363</v>
      </c>
    </row>
    <row r="1089" spans="1:9">
      <c r="A1089" s="1" t="s">
        <v>1101</v>
      </c>
      <c r="B1089">
        <f>HYPERLINK("https://www.suredividend.com/sure-analysis-research-database/","Sunnova Energy International Inc")</f>
        <v>0</v>
      </c>
      <c r="C1089">
        <v>-0.09617486338797801</v>
      </c>
      <c r="D1089">
        <v>0.012239902080783</v>
      </c>
      <c r="E1089">
        <v>-0.145219638242894</v>
      </c>
      <c r="F1089">
        <v>-0.081621321488062</v>
      </c>
      <c r="G1089">
        <v>-0.345986555950968</v>
      </c>
      <c r="H1089">
        <v>-0.561854304635761</v>
      </c>
      <c r="I1089">
        <v>0.470222222222222</v>
      </c>
    </row>
    <row r="1090" spans="1:9">
      <c r="A1090" s="1" t="s">
        <v>1102</v>
      </c>
      <c r="B1090">
        <f>HYPERLINK("https://www.suredividend.com/sure-analysis-research-database/","Novanta Inc")</f>
        <v>0</v>
      </c>
      <c r="C1090">
        <v>-0.02727070347284</v>
      </c>
      <c r="D1090">
        <v>0.06925241649333101</v>
      </c>
      <c r="E1090">
        <v>0.044273167234271</v>
      </c>
      <c r="F1090">
        <v>0.286376683594612</v>
      </c>
      <c r="G1090">
        <v>0.158864872032886</v>
      </c>
      <c r="H1090">
        <v>0.27781839450212</v>
      </c>
      <c r="I1090">
        <v>1.688923076923076</v>
      </c>
    </row>
    <row r="1091" spans="1:9">
      <c r="A1091" s="1" t="s">
        <v>1103</v>
      </c>
      <c r="B1091">
        <f>HYPERLINK("https://www.suredividend.com/sure-analysis-research-database/","National Presto Industries, Inc.")</f>
        <v>0</v>
      </c>
      <c r="C1091">
        <v>0.069864302028751</v>
      </c>
      <c r="D1091">
        <v>0.167937811674977</v>
      </c>
      <c r="E1091">
        <v>0.08956071396807701</v>
      </c>
      <c r="F1091">
        <v>0.211152397132657</v>
      </c>
      <c r="G1091">
        <v>0.144609139624203</v>
      </c>
      <c r="H1091">
        <v>-0.104370174165865</v>
      </c>
      <c r="I1091">
        <v>-0.278935834978358</v>
      </c>
    </row>
    <row r="1092" spans="1:9">
      <c r="A1092" s="1" t="s">
        <v>1104</v>
      </c>
      <c r="B1092">
        <f>HYPERLINK("https://www.suredividend.com/sure-analysis-research-database/","EnPro Industries Inc")</f>
        <v>0</v>
      </c>
      <c r="C1092">
        <v>0.029378868093356</v>
      </c>
      <c r="D1092">
        <v>0.371448440294059</v>
      </c>
      <c r="E1092">
        <v>0.151097732825254</v>
      </c>
      <c r="F1092">
        <v>0.273420607921128</v>
      </c>
      <c r="G1092">
        <v>0.427919788247925</v>
      </c>
      <c r="H1092">
        <v>0.621980449290347</v>
      </c>
      <c r="I1092">
        <v>1.018431252714026</v>
      </c>
    </row>
    <row r="1093" spans="1:9">
      <c r="A1093" s="1" t="s">
        <v>1105</v>
      </c>
      <c r="B1093">
        <f>HYPERLINK("https://www.suredividend.com/sure-analysis-research-database/","Newpark Resources, Inc.")</f>
        <v>0</v>
      </c>
      <c r="C1093">
        <v>0.024904214559386</v>
      </c>
      <c r="D1093">
        <v>0.311274509803921</v>
      </c>
      <c r="E1093">
        <v>0.229885057471264</v>
      </c>
      <c r="F1093">
        <v>0.289156626506023</v>
      </c>
      <c r="G1093">
        <v>0.910714285714285</v>
      </c>
      <c r="H1093">
        <v>0.5970149253731341</v>
      </c>
      <c r="I1093">
        <v>-0.472906403940886</v>
      </c>
    </row>
    <row r="1094" spans="1:9">
      <c r="A1094" s="1" t="s">
        <v>1106</v>
      </c>
      <c r="B1094">
        <f>HYPERLINK("https://www.suredividend.com/sure-analysis-research-database/","National Research Corp")</f>
        <v>0</v>
      </c>
      <c r="C1094">
        <v>-0.031497847269431</v>
      </c>
      <c r="D1094">
        <v>0.053856661685874</v>
      </c>
      <c r="E1094">
        <v>-0.070095318493441</v>
      </c>
      <c r="F1094">
        <v>0.15527564163209</v>
      </c>
      <c r="G1094">
        <v>0.170926823922632</v>
      </c>
      <c r="H1094">
        <v>-0.172725090779581</v>
      </c>
      <c r="I1094">
        <v>0.23306483255245</v>
      </c>
    </row>
    <row r="1095" spans="1:9">
      <c r="A1095" s="1" t="s">
        <v>1107</v>
      </c>
      <c r="B1095">
        <f>HYPERLINK("https://www.suredividend.com/sure-analysis-research-database/","Nerdwallet Inc")</f>
        <v>0</v>
      </c>
      <c r="C1095">
        <v>0.026288117770767</v>
      </c>
      <c r="D1095">
        <v>0.006185567010309001</v>
      </c>
      <c r="E1095">
        <v>-0.231496062992126</v>
      </c>
      <c r="F1095">
        <v>0.016666666666666</v>
      </c>
      <c r="G1095">
        <v>0.099099099099098</v>
      </c>
      <c r="H1095">
        <v>-0.65512367491166</v>
      </c>
      <c r="I1095">
        <v>-0.65512367491166</v>
      </c>
    </row>
    <row r="1096" spans="1:9">
      <c r="A1096" s="1" t="s">
        <v>1108</v>
      </c>
      <c r="B1096">
        <f>HYPERLINK("https://www.suredividend.com/sure-analysis-research-database/","Nerdy Inc")</f>
        <v>0</v>
      </c>
      <c r="C1096">
        <v>0.190023752969121</v>
      </c>
      <c r="D1096">
        <v>0.669999999999999</v>
      </c>
      <c r="E1096">
        <v>0.504504504504504</v>
      </c>
      <c r="F1096">
        <v>1.226666666666666</v>
      </c>
      <c r="G1096">
        <v>0.681208053691275</v>
      </c>
      <c r="H1096">
        <v>-0.497492477432296</v>
      </c>
      <c r="I1096">
        <v>-0.483505154639175</v>
      </c>
    </row>
    <row r="1097" spans="1:9">
      <c r="A1097" s="1" t="s">
        <v>1109</v>
      </c>
      <c r="B1097">
        <f>HYPERLINK("https://www.suredividend.com/sure-analysis-research-database/","NexPoint Real Estate Finance Inc")</f>
        <v>0</v>
      </c>
      <c r="C1097">
        <v>0.07984790874524701</v>
      </c>
      <c r="D1097">
        <v>0.241349165877467</v>
      </c>
      <c r="E1097">
        <v>-0.067333690928397</v>
      </c>
      <c r="F1097">
        <v>0.140447746210219</v>
      </c>
      <c r="G1097">
        <v>-0.07395833899428801</v>
      </c>
      <c r="H1097">
        <v>0.063916135437023</v>
      </c>
      <c r="I1097">
        <v>0.290576669645697</v>
      </c>
    </row>
    <row r="1098" spans="1:9">
      <c r="A1098" s="1" t="s">
        <v>1110</v>
      </c>
      <c r="B1098">
        <f>HYPERLINK("https://www.suredividend.com/sure-analysis-research-database/","Energy Vault Holdings Inc")</f>
        <v>0</v>
      </c>
      <c r="C1098">
        <v>0.315175097276264</v>
      </c>
      <c r="D1098">
        <v>0.9204545454545451</v>
      </c>
      <c r="E1098">
        <v>-0.247216035634743</v>
      </c>
      <c r="F1098">
        <v>0.08333333333333301</v>
      </c>
      <c r="G1098">
        <v>-0.179611650485436</v>
      </c>
      <c r="H1098">
        <v>-0.6400425985090521</v>
      </c>
      <c r="I1098">
        <v>-0.6400425985090521</v>
      </c>
    </row>
    <row r="1099" spans="1:9">
      <c r="A1099" s="1" t="s">
        <v>1111</v>
      </c>
      <c r="B1099">
        <f>HYPERLINK("https://www.suredividend.com/sure-analysis-research-database/","Nurix Therapeutics Inc")</f>
        <v>0</v>
      </c>
      <c r="C1099">
        <v>-0.07654075546719601</v>
      </c>
      <c r="D1099">
        <v>-0.007478632478632</v>
      </c>
      <c r="E1099">
        <v>-0.257987220447284</v>
      </c>
      <c r="F1099">
        <v>-0.15391621129326</v>
      </c>
      <c r="G1099">
        <v>-0.487306843267108</v>
      </c>
      <c r="H1099">
        <v>-0.7235941684022611</v>
      </c>
      <c r="I1099">
        <v>-0.5113098369279321</v>
      </c>
    </row>
    <row r="1100" spans="1:9">
      <c r="A1100" s="1" t="s">
        <v>1112</v>
      </c>
      <c r="B1100">
        <f>HYPERLINK("https://www.suredividend.com/sure-analysis-research-database/","Insight Enterprises Inc.")</f>
        <v>0</v>
      </c>
      <c r="C1100">
        <v>-0.0493236780981</v>
      </c>
      <c r="D1100">
        <v>0.124797930811509</v>
      </c>
      <c r="E1100">
        <v>0.198415432311402</v>
      </c>
      <c r="F1100">
        <v>0.387852797446893</v>
      </c>
      <c r="G1100">
        <v>0.4854824935952171</v>
      </c>
      <c r="H1100">
        <v>0.388129675810473</v>
      </c>
      <c r="I1100">
        <v>1.641609719058466</v>
      </c>
    </row>
    <row r="1101" spans="1:9">
      <c r="A1101" s="1" t="s">
        <v>1113</v>
      </c>
      <c r="B1101">
        <f>HYPERLINK("https://www.suredividend.com/sure-analysis-NSP/","Insperity Inc")</f>
        <v>0</v>
      </c>
      <c r="C1101">
        <v>-0.202508361204013</v>
      </c>
      <c r="D1101">
        <v>-0.21131577467677</v>
      </c>
      <c r="E1101">
        <v>-0.150268336314848</v>
      </c>
      <c r="F1101">
        <v>-0.152811098547663</v>
      </c>
      <c r="G1101">
        <v>-0.116683367383037</v>
      </c>
      <c r="H1101">
        <v>-0.001573322809621</v>
      </c>
      <c r="I1101">
        <v>0.014771532775269</v>
      </c>
    </row>
    <row r="1102" spans="1:9">
      <c r="A1102" s="1" t="s">
        <v>1114</v>
      </c>
      <c r="B1102">
        <f>HYPERLINK("https://www.suredividend.com/sure-analysis-research-database/","NAPCO Security Technologies Inc")</f>
        <v>0</v>
      </c>
      <c r="C1102">
        <v>0.065071491100087</v>
      </c>
      <c r="D1102">
        <v>0.29665285938599</v>
      </c>
      <c r="E1102">
        <v>0.176311345442357</v>
      </c>
      <c r="F1102">
        <v>0.332982740612514</v>
      </c>
      <c r="G1102">
        <v>0.3959750024859821</v>
      </c>
      <c r="H1102">
        <v>1.076553717315613</v>
      </c>
      <c r="I1102">
        <v>3.550384600999837</v>
      </c>
    </row>
    <row r="1103" spans="1:9">
      <c r="A1103" s="1" t="s">
        <v>1115</v>
      </c>
      <c r="B1103">
        <f>HYPERLINK("https://www.suredividend.com/sure-analysis-research-database/","Nanostring Technologies Inc")</f>
        <v>0</v>
      </c>
      <c r="C1103">
        <v>-0.102272727272727</v>
      </c>
      <c r="D1103">
        <v>-0.636503067484662</v>
      </c>
      <c r="E1103">
        <v>-0.705711920529801</v>
      </c>
      <c r="F1103">
        <v>-0.5539523212045171</v>
      </c>
      <c r="G1103">
        <v>-0.750351123595505</v>
      </c>
      <c r="H1103">
        <v>-0.9430379746835441</v>
      </c>
      <c r="I1103">
        <v>-0.7119124797406801</v>
      </c>
    </row>
    <row r="1104" spans="1:9">
      <c r="A1104" s="1" t="s">
        <v>1116</v>
      </c>
      <c r="B1104">
        <f>HYPERLINK("https://www.suredividend.com/sure-analysis-research-database/","Bank of N T Butterfield &amp; Son Ltd.")</f>
        <v>0</v>
      </c>
      <c r="C1104">
        <v>0.09539007092198501</v>
      </c>
      <c r="D1104">
        <v>0.283692246315981</v>
      </c>
      <c r="E1104">
        <v>-0.042574294251106</v>
      </c>
      <c r="F1104">
        <v>0.06919479836211401</v>
      </c>
      <c r="G1104">
        <v>0.006336433679203</v>
      </c>
      <c r="H1104">
        <v>0.049363214197147</v>
      </c>
      <c r="I1104">
        <v>-0.193752561121072</v>
      </c>
    </row>
    <row r="1105" spans="1:9">
      <c r="A1105" s="1" t="s">
        <v>1117</v>
      </c>
      <c r="B1105">
        <f>HYPERLINK("https://www.suredividend.com/sure-analysis-research-database/","Netscout Systems Inc")</f>
        <v>0</v>
      </c>
      <c r="C1105">
        <v>-0.09082062925721601</v>
      </c>
      <c r="D1105">
        <v>0.07642089093702001</v>
      </c>
      <c r="E1105">
        <v>-0.120489488547223</v>
      </c>
      <c r="F1105">
        <v>-0.137803752691479</v>
      </c>
      <c r="G1105">
        <v>-0.205498866213151</v>
      </c>
      <c r="H1105">
        <v>-0.00673281360737</v>
      </c>
      <c r="I1105">
        <v>0.07189292543021</v>
      </c>
    </row>
    <row r="1106" spans="1:9">
      <c r="A1106" s="1" t="s">
        <v>1118</v>
      </c>
      <c r="B1106">
        <f>HYPERLINK("https://www.suredividend.com/sure-analysis-research-database/","Netgear Inc")</f>
        <v>0</v>
      </c>
      <c r="C1106">
        <v>-0.012474012474012</v>
      </c>
      <c r="D1106">
        <v>0.039387308533916</v>
      </c>
      <c r="E1106">
        <v>-0.270726714431934</v>
      </c>
      <c r="F1106">
        <v>-0.213141910546659</v>
      </c>
      <c r="G1106">
        <v>-0.467090501121914</v>
      </c>
      <c r="H1106">
        <v>-0.588269286333429</v>
      </c>
      <c r="I1106">
        <v>-0.653024651076719</v>
      </c>
    </row>
    <row r="1107" spans="1:9">
      <c r="A1107" s="1" t="s">
        <v>1119</v>
      </c>
      <c r="B1107">
        <f>HYPERLINK("https://www.suredividend.com/sure-analysis-research-database/","Intellia Therapeutics Inc")</f>
        <v>0</v>
      </c>
      <c r="C1107">
        <v>-0.039793662490788</v>
      </c>
      <c r="D1107">
        <v>0.013219284603421</v>
      </c>
      <c r="E1107">
        <v>-0.095766828591255</v>
      </c>
      <c r="F1107">
        <v>0.120378331900258</v>
      </c>
      <c r="G1107">
        <v>-0.4548117154811711</v>
      </c>
      <c r="H1107">
        <v>-0.7183514662439651</v>
      </c>
      <c r="I1107">
        <v>0.5011520737327191</v>
      </c>
    </row>
    <row r="1108" spans="1:9">
      <c r="A1108" s="1" t="s">
        <v>1120</v>
      </c>
      <c r="B1108">
        <f>HYPERLINK("https://www.suredividend.com/sure-analysis-NTST/","Netstreit Corp")</f>
        <v>0</v>
      </c>
      <c r="C1108">
        <v>-0.036252091466815</v>
      </c>
      <c r="D1108">
        <v>-0.015255560557793</v>
      </c>
      <c r="E1108">
        <v>-0.130605406547628</v>
      </c>
      <c r="F1108">
        <v>-0.036219840039265</v>
      </c>
      <c r="G1108">
        <v>-0.139073507577946</v>
      </c>
      <c r="H1108">
        <v>-0.298490618123949</v>
      </c>
      <c r="I1108">
        <v>0.08101345010947701</v>
      </c>
    </row>
    <row r="1109" spans="1:9">
      <c r="A1109" s="1" t="s">
        <v>1121</v>
      </c>
      <c r="B1109">
        <f>HYPERLINK("https://www.suredividend.com/sure-analysis-NUS/","Nu Skin Enterprises, Inc.")</f>
        <v>0</v>
      </c>
      <c r="C1109">
        <v>-0.199165175909362</v>
      </c>
      <c r="D1109">
        <v>-0.316111357236336</v>
      </c>
      <c r="E1109">
        <v>-0.37999312129375</v>
      </c>
      <c r="F1109">
        <v>-0.3495517573726341</v>
      </c>
      <c r="G1109">
        <v>-0.37718397187821</v>
      </c>
      <c r="H1109">
        <v>-0.4682188499193221</v>
      </c>
      <c r="I1109">
        <v>-0.6242878464252091</v>
      </c>
    </row>
    <row r="1110" spans="1:9">
      <c r="A1110" s="1" t="s">
        <v>1122</v>
      </c>
      <c r="B1110">
        <f>HYPERLINK("https://www.suredividend.com/sure-analysis-research-database/","Nutex Health Inc")</f>
        <v>0</v>
      </c>
      <c r="C1110">
        <v>-0.087970445624567</v>
      </c>
      <c r="D1110">
        <v>-0.245463228271251</v>
      </c>
      <c r="E1110">
        <v>-0.736666666666666</v>
      </c>
      <c r="F1110">
        <v>-0.7921052631578941</v>
      </c>
      <c r="G1110">
        <v>-0.8841642228739001</v>
      </c>
      <c r="H1110">
        <v>-0.9901249999999999</v>
      </c>
      <c r="I1110">
        <v>-0.9901249999999999</v>
      </c>
    </row>
    <row r="1111" spans="1:9">
      <c r="A1111" s="1" t="s">
        <v>1123</v>
      </c>
      <c r="B1111">
        <f>HYPERLINK("https://www.suredividend.com/sure-analysis-research-database/","Nuvasive Inc")</f>
        <v>0</v>
      </c>
      <c r="C1111">
        <v>-0.020088192062714</v>
      </c>
      <c r="D1111">
        <v>-0.04557384872345401</v>
      </c>
      <c r="E1111">
        <v>-0.168744804655029</v>
      </c>
      <c r="F1111">
        <v>-0.030067895247332</v>
      </c>
      <c r="G1111">
        <v>-0.247696069211961</v>
      </c>
      <c r="H1111">
        <v>-0.336540056394095</v>
      </c>
      <c r="I1111">
        <v>-0.374217772215269</v>
      </c>
    </row>
    <row r="1112" spans="1:9">
      <c r="A1112" s="1" t="s">
        <v>1124</v>
      </c>
      <c r="B1112">
        <f>HYPERLINK("https://www.suredividend.com/sure-analysis-research-database/","Nuvation Bio Inc")</f>
        <v>0</v>
      </c>
      <c r="C1112">
        <v>0</v>
      </c>
      <c r="D1112">
        <v>0.09999999999999901</v>
      </c>
      <c r="E1112">
        <v>-0.266666666666666</v>
      </c>
      <c r="F1112">
        <v>-0.08333333333333301</v>
      </c>
      <c r="G1112">
        <v>-0.238095238095238</v>
      </c>
      <c r="H1112">
        <v>-0.8068057080131721</v>
      </c>
      <c r="I1112">
        <v>-0.818556701030927</v>
      </c>
    </row>
    <row r="1113" spans="1:9">
      <c r="A1113" s="1" t="s">
        <v>1125</v>
      </c>
      <c r="B1113">
        <f>HYPERLINK("https://www.suredividend.com/sure-analysis-research-database/","Nuvalent Inc")</f>
        <v>0</v>
      </c>
      <c r="C1113">
        <v>0.08808042125418801</v>
      </c>
      <c r="D1113">
        <v>0.224017232094776</v>
      </c>
      <c r="E1113">
        <v>0.51180578649817</v>
      </c>
      <c r="F1113">
        <v>0.526527871054398</v>
      </c>
      <c r="G1113">
        <v>2.192415730337079</v>
      </c>
      <c r="H1113">
        <v>0.9181434599156121</v>
      </c>
      <c r="I1113">
        <v>1.424533333333333</v>
      </c>
    </row>
    <row r="1114" spans="1:9">
      <c r="A1114" s="1" t="s">
        <v>1126</v>
      </c>
      <c r="B1114">
        <f>HYPERLINK("https://www.suredividend.com/sure-analysis-research-database/","NV5 Global Inc")</f>
        <v>0</v>
      </c>
      <c r="C1114">
        <v>0.002445652173912</v>
      </c>
      <c r="D1114">
        <v>0.201237381960273</v>
      </c>
      <c r="E1114">
        <v>-0.207689003436426</v>
      </c>
      <c r="F1114">
        <v>-0.163618500604594</v>
      </c>
      <c r="G1114">
        <v>-0.166892502258355</v>
      </c>
      <c r="H1114">
        <v>0.161402035890439</v>
      </c>
      <c r="I1114">
        <v>0.302</v>
      </c>
    </row>
    <row r="1115" spans="1:9">
      <c r="A1115" s="1" t="s">
        <v>1127</v>
      </c>
      <c r="B1115">
        <f>HYPERLINK("https://www.suredividend.com/sure-analysis-research-database/","Nevro Corp")</f>
        <v>0</v>
      </c>
      <c r="C1115">
        <v>-0.212765957446808</v>
      </c>
      <c r="D1115">
        <v>-0.262146482958665</v>
      </c>
      <c r="E1115">
        <v>-0.488564966071877</v>
      </c>
      <c r="F1115">
        <v>-0.486111111111111</v>
      </c>
      <c r="G1115">
        <v>-0.5708561788274991</v>
      </c>
      <c r="H1115">
        <v>-0.8654011508697661</v>
      </c>
      <c r="I1115">
        <v>-0.654733627417712</v>
      </c>
    </row>
    <row r="1116" spans="1:9">
      <c r="A1116" s="1" t="s">
        <v>1128</v>
      </c>
      <c r="B1116">
        <f>HYPERLINK("https://www.suredividend.com/sure-analysis-research-database/","Invitae Corp")</f>
        <v>0</v>
      </c>
      <c r="C1116">
        <v>0.051282051282051</v>
      </c>
      <c r="D1116">
        <v>-0.115107913669064</v>
      </c>
      <c r="E1116">
        <v>-0.530534351145038</v>
      </c>
      <c r="F1116">
        <v>-0.338709677419354</v>
      </c>
      <c r="G1116">
        <v>-0.381909547738693</v>
      </c>
      <c r="H1116">
        <v>-0.956842105263158</v>
      </c>
      <c r="I1116">
        <v>-0.8510895883777241</v>
      </c>
    </row>
    <row r="1117" spans="1:9">
      <c r="A1117" s="1" t="s">
        <v>1129</v>
      </c>
      <c r="B1117">
        <f>HYPERLINK("https://www.suredividend.com/sure-analysis-NWBI/","Northwest Bancshares Inc")</f>
        <v>0</v>
      </c>
      <c r="C1117">
        <v>0.166587995029237</v>
      </c>
      <c r="D1117">
        <v>0.178669106411142</v>
      </c>
      <c r="E1117">
        <v>-0.109552276119677</v>
      </c>
      <c r="F1117">
        <v>-0.057360141357058</v>
      </c>
      <c r="G1117">
        <v>-0.048778571989631</v>
      </c>
      <c r="H1117">
        <v>0.08505738887345701</v>
      </c>
      <c r="I1117">
        <v>-0.06982103080113601</v>
      </c>
    </row>
    <row r="1118" spans="1:9">
      <c r="A1118" s="1" t="s">
        <v>1130</v>
      </c>
      <c r="B1118">
        <f>HYPERLINK("https://www.suredividend.com/sure-analysis-NWE/","Northwestern Corp.")</f>
        <v>0</v>
      </c>
      <c r="C1118">
        <v>-0.04717805346846</v>
      </c>
      <c r="D1118">
        <v>-0.05339557232852801</v>
      </c>
      <c r="E1118">
        <v>-0.021881653599378</v>
      </c>
      <c r="F1118">
        <v>-0.050067852296264</v>
      </c>
      <c r="G1118">
        <v>0.064481872769722</v>
      </c>
      <c r="H1118">
        <v>-0.036907648751229</v>
      </c>
      <c r="I1118">
        <v>0.133041467281427</v>
      </c>
    </row>
    <row r="1119" spans="1:9">
      <c r="A1119" s="1" t="s">
        <v>1131</v>
      </c>
      <c r="B1119">
        <f>HYPERLINK("https://www.suredividend.com/sure-analysis-research-database/","National Western Life Group Inc")</f>
        <v>0</v>
      </c>
      <c r="C1119">
        <v>0.053123486682808</v>
      </c>
      <c r="D1119">
        <v>0.6693149107656871</v>
      </c>
      <c r="E1119">
        <v>0.6025792188651431</v>
      </c>
      <c r="F1119">
        <v>0.5478291814946611</v>
      </c>
      <c r="G1119">
        <v>1.132280413454731</v>
      </c>
      <c r="H1119">
        <v>1.141001703684852</v>
      </c>
      <c r="I1119">
        <v>0.342297206463913</v>
      </c>
    </row>
    <row r="1120" spans="1:9">
      <c r="A1120" s="1" t="s">
        <v>1132</v>
      </c>
      <c r="B1120">
        <f>HYPERLINK("https://www.suredividend.com/sure-analysis-NWN/","Northwest Natural Holding Co")</f>
        <v>0</v>
      </c>
      <c r="C1120">
        <v>-0.006315789473684</v>
      </c>
      <c r="D1120">
        <v>-0.06898660243667701</v>
      </c>
      <c r="E1120">
        <v>-0.16156460571036</v>
      </c>
      <c r="F1120">
        <v>-0.078994438843539</v>
      </c>
      <c r="G1120">
        <v>-0.169480358249574</v>
      </c>
      <c r="H1120">
        <v>-0.147655450550773</v>
      </c>
      <c r="I1120">
        <v>-0.254450394098785</v>
      </c>
    </row>
    <row r="1121" spans="1:9">
      <c r="A1121" s="1" t="s">
        <v>1133</v>
      </c>
      <c r="B1121">
        <f>HYPERLINK("https://www.suredividend.com/sure-analysis-research-database/","Northwest Pipe Co.")</f>
        <v>0</v>
      </c>
      <c r="C1121">
        <v>0.05206286836935101</v>
      </c>
      <c r="D1121">
        <v>0.150787965616045</v>
      </c>
      <c r="E1121">
        <v>-0.17318579516212</v>
      </c>
      <c r="F1121">
        <v>-0.04658753709198801</v>
      </c>
      <c r="G1121">
        <v>0.095092024539877</v>
      </c>
      <c r="H1121">
        <v>0.139361702127659</v>
      </c>
      <c r="I1121">
        <v>0.6510791366906471</v>
      </c>
    </row>
    <row r="1122" spans="1:9">
      <c r="A1122" s="1" t="s">
        <v>1134</v>
      </c>
      <c r="B1122">
        <f>HYPERLINK("https://www.suredividend.com/sure-analysis-research-database/","Quanex Building Products Corp")</f>
        <v>0</v>
      </c>
      <c r="C1122">
        <v>0.022313127556712</v>
      </c>
      <c r="D1122">
        <v>0.4089199134864741</v>
      </c>
      <c r="E1122">
        <v>0.03606048271599301</v>
      </c>
      <c r="F1122">
        <v>0.16906589551128</v>
      </c>
      <c r="G1122">
        <v>0.15383485345164</v>
      </c>
      <c r="H1122">
        <v>0.145674443416435</v>
      </c>
      <c r="I1122">
        <v>0.773708593034209</v>
      </c>
    </row>
    <row r="1123" spans="1:9">
      <c r="A1123" s="1" t="s">
        <v>1135</v>
      </c>
      <c r="B1123">
        <f>HYPERLINK("https://www.suredividend.com/sure-analysis-research-database/","NextGen Healthcare Inc")</f>
        <v>0</v>
      </c>
      <c r="C1123">
        <v>0.019088669950739</v>
      </c>
      <c r="D1123">
        <v>-0.011940298507462</v>
      </c>
      <c r="E1123">
        <v>-0.124338624338624</v>
      </c>
      <c r="F1123">
        <v>-0.11874334398296</v>
      </c>
      <c r="G1123">
        <v>-0.02932551319648</v>
      </c>
      <c r="H1123">
        <v>0.02223594811612</v>
      </c>
      <c r="I1123">
        <v>-0.221908791725434</v>
      </c>
    </row>
    <row r="1124" spans="1:9">
      <c r="A1124" s="1" t="s">
        <v>1136</v>
      </c>
      <c r="B1124">
        <f>HYPERLINK("https://www.suredividend.com/sure-analysis-NXRT/","NexPoint Residential Trust Inc")</f>
        <v>0</v>
      </c>
      <c r="C1124">
        <v>-0.148666092943201</v>
      </c>
      <c r="D1124">
        <v>-0.015397324627757</v>
      </c>
      <c r="E1124">
        <v>-0.206159735025468</v>
      </c>
      <c r="F1124">
        <v>-0.07318489926126401</v>
      </c>
      <c r="G1124">
        <v>-0.364294458421291</v>
      </c>
      <c r="H1124">
        <v>-0.295617949726667</v>
      </c>
      <c r="I1124">
        <v>0.459878251245157</v>
      </c>
    </row>
    <row r="1125" spans="1:9">
      <c r="A1125" s="1" t="s">
        <v>1137</v>
      </c>
      <c r="B1125">
        <f>HYPERLINK("https://www.suredividend.com/sure-analysis-research-database/","Nextracker Inc")</f>
        <v>0</v>
      </c>
      <c r="C1125">
        <v>0.04336799391326401</v>
      </c>
      <c r="D1125">
        <v>0.366323480571238</v>
      </c>
      <c r="E1125">
        <v>0.350623768877216</v>
      </c>
      <c r="F1125">
        <v>0.350623768877216</v>
      </c>
      <c r="G1125">
        <v>0.350623768877216</v>
      </c>
      <c r="H1125">
        <v>0.350623768877216</v>
      </c>
      <c r="I1125">
        <v>0.350623768877216</v>
      </c>
    </row>
    <row r="1126" spans="1:9">
      <c r="A1126" s="1" t="s">
        <v>1138</v>
      </c>
      <c r="B1126">
        <f>HYPERLINK("https://www.suredividend.com/sure-analysis-NYMT/","New York Mortgage Trust Inc")</f>
        <v>0</v>
      </c>
      <c r="C1126">
        <v>-0.08660624370594101</v>
      </c>
      <c r="D1126">
        <v>0.003374080424802</v>
      </c>
      <c r="E1126">
        <v>-0.205313099629379</v>
      </c>
      <c r="F1126">
        <v>-0.019056477255521</v>
      </c>
      <c r="G1126">
        <v>-0.132414413207962</v>
      </c>
      <c r="H1126">
        <v>-0.300251508278171</v>
      </c>
      <c r="I1126">
        <v>-0.349783500129039</v>
      </c>
    </row>
    <row r="1127" spans="1:9">
      <c r="A1127" s="1" t="s">
        <v>1139</v>
      </c>
      <c r="B1127">
        <f>HYPERLINK("https://www.suredividend.com/sure-analysis-research-database/","OmniAb Inc")</f>
        <v>0</v>
      </c>
      <c r="C1127">
        <v>0.153361344537815</v>
      </c>
      <c r="D1127">
        <v>0.6737804878048781</v>
      </c>
      <c r="E1127">
        <v>0.316546762589928</v>
      </c>
      <c r="F1127">
        <v>0.524999999999999</v>
      </c>
      <c r="G1127">
        <v>1.278008298755186</v>
      </c>
      <c r="H1127">
        <v>1.278008298755186</v>
      </c>
      <c r="I1127">
        <v>1.278008298755186</v>
      </c>
    </row>
    <row r="1128" spans="1:9">
      <c r="A1128" s="1" t="s">
        <v>1140</v>
      </c>
      <c r="B1128">
        <f>HYPERLINK("https://www.suredividend.com/sure-analysis-research-database/","Outbrain Inc")</f>
        <v>0</v>
      </c>
      <c r="C1128">
        <v>-0.015444015444015</v>
      </c>
      <c r="D1128">
        <v>0.367292225201072</v>
      </c>
      <c r="E1128">
        <v>-0.017341040462427</v>
      </c>
      <c r="F1128">
        <v>0.408839779005524</v>
      </c>
      <c r="G1128">
        <v>-0.147157190635451</v>
      </c>
      <c r="H1128">
        <v>-0.7315789473684211</v>
      </c>
      <c r="I1128">
        <v>-0.745</v>
      </c>
    </row>
    <row r="1129" spans="1:9">
      <c r="A1129" s="1" t="s">
        <v>1141</v>
      </c>
      <c r="B1129">
        <f>HYPERLINK("https://www.suredividend.com/sure-analysis-research-database/","Origin Bancorp Inc")</f>
        <v>0</v>
      </c>
      <c r="C1129">
        <v>0.110512129380053</v>
      </c>
      <c r="D1129">
        <v>0.232476657355784</v>
      </c>
      <c r="E1129">
        <v>-0.158290430661109</v>
      </c>
      <c r="F1129">
        <v>-0.08810973669721901</v>
      </c>
      <c r="G1129">
        <v>-0.219879810366415</v>
      </c>
      <c r="H1129">
        <v>-0.158337716991057</v>
      </c>
      <c r="I1129">
        <v>-0.113377879638895</v>
      </c>
    </row>
    <row r="1130" spans="1:9">
      <c r="A1130" s="1" t="s">
        <v>1142</v>
      </c>
      <c r="B1130">
        <f>HYPERLINK("https://www.suredividend.com/sure-analysis-research-database/","OceanFirst Financial Corp.")</f>
        <v>0</v>
      </c>
      <c r="C1130">
        <v>0.176175548589341</v>
      </c>
      <c r="D1130">
        <v>0.349873359428966</v>
      </c>
      <c r="E1130">
        <v>-0.221499236438483</v>
      </c>
      <c r="F1130">
        <v>-0.08289620985837601</v>
      </c>
      <c r="G1130">
        <v>-0.041272307283468</v>
      </c>
      <c r="H1130">
        <v>0.048314091889535</v>
      </c>
      <c r="I1130">
        <v>-0.214579678714523</v>
      </c>
    </row>
    <row r="1131" spans="1:9">
      <c r="A1131" s="1" t="s">
        <v>1143</v>
      </c>
      <c r="B1131">
        <f>HYPERLINK("https://www.suredividend.com/sure-analysis-research-database/","Ocugen Inc")</f>
        <v>0</v>
      </c>
      <c r="C1131">
        <v>0.015092329545454</v>
      </c>
      <c r="D1131">
        <v>-0.181180177599541</v>
      </c>
      <c r="E1131">
        <v>-0.556821705426356</v>
      </c>
      <c r="F1131">
        <v>-0.5602307692307691</v>
      </c>
      <c r="G1131">
        <v>-0.7882592592592591</v>
      </c>
      <c r="H1131">
        <v>-0.9189078014184391</v>
      </c>
      <c r="I1131">
        <v>-0.7627800829875521</v>
      </c>
    </row>
    <row r="1132" spans="1:9">
      <c r="A1132" s="1" t="s">
        <v>1144</v>
      </c>
      <c r="B1132">
        <f>HYPERLINK("https://www.suredividend.com/sure-analysis-research-database/","Eightco Holdings Inc")</f>
        <v>0</v>
      </c>
      <c r="C1132">
        <v>-0.041958041958041</v>
      </c>
      <c r="D1132">
        <v>-0.3938053097345131</v>
      </c>
      <c r="E1132">
        <v>5.722276741903827</v>
      </c>
      <c r="F1132">
        <v>6.146583202921232</v>
      </c>
      <c r="G1132">
        <v>0.245454545454545</v>
      </c>
      <c r="H1132">
        <v>-0.325123152709359</v>
      </c>
      <c r="I1132">
        <v>-0.325123152709359</v>
      </c>
    </row>
    <row r="1133" spans="1:9">
      <c r="A1133" s="1" t="s">
        <v>1145</v>
      </c>
      <c r="B1133">
        <f>HYPERLINK("https://www.suredividend.com/sure-analysis-research-database/","Ocular Therapeutix Inc")</f>
        <v>0</v>
      </c>
      <c r="C1133">
        <v>-0.118</v>
      </c>
      <c r="D1133">
        <v>-0.287560581583198</v>
      </c>
      <c r="E1133">
        <v>0.020833333333333</v>
      </c>
      <c r="F1133">
        <v>0.569395017793594</v>
      </c>
      <c r="G1133">
        <v>-0.059701492537313</v>
      </c>
      <c r="H1133">
        <v>-0.5909090909090901</v>
      </c>
      <c r="I1133">
        <v>-0.186346863468634</v>
      </c>
    </row>
    <row r="1134" spans="1:9">
      <c r="A1134" s="1" t="s">
        <v>1146</v>
      </c>
      <c r="B1134">
        <f>HYPERLINK("https://www.suredividend.com/sure-analysis-research-database/","ODP Corporation (The)")</f>
        <v>0</v>
      </c>
      <c r="C1134">
        <v>0.014181438998957</v>
      </c>
      <c r="D1134">
        <v>0.150461320085166</v>
      </c>
      <c r="E1134">
        <v>-0.07529948659440901</v>
      </c>
      <c r="F1134">
        <v>0.06785243741765401</v>
      </c>
      <c r="G1134">
        <v>0.335989010989011</v>
      </c>
      <c r="H1134">
        <v>0.015664160401002</v>
      </c>
      <c r="I1134">
        <v>1.111859504670584</v>
      </c>
    </row>
    <row r="1135" spans="1:9">
      <c r="A1135" s="1" t="s">
        <v>1147</v>
      </c>
      <c r="B1135">
        <f>HYPERLINK("https://www.suredividend.com/sure-analysis-research-database/","Orion S.A")</f>
        <v>0</v>
      </c>
      <c r="C1135">
        <v>-0.02524093620927</v>
      </c>
      <c r="D1135">
        <v>-0.09308283518360301</v>
      </c>
      <c r="E1135">
        <v>-0.024466418955848</v>
      </c>
      <c r="F1135">
        <v>0.194634269805112</v>
      </c>
      <c r="G1135">
        <v>0.223678525133227</v>
      </c>
      <c r="H1135">
        <v>0.189769328150031</v>
      </c>
      <c r="I1135">
        <v>-0.350327589054671</v>
      </c>
    </row>
    <row r="1136" spans="1:9">
      <c r="A1136" s="1" t="s">
        <v>1148</v>
      </c>
      <c r="B1136">
        <f>HYPERLINK("https://www.suredividend.com/sure-analysis-OFC/","Corporate Office Properties Trust")</f>
        <v>0</v>
      </c>
      <c r="C1136">
        <v>0.056309083436087</v>
      </c>
      <c r="D1136">
        <v>0.09996404786769601</v>
      </c>
      <c r="E1136">
        <v>-0.031916616755752</v>
      </c>
      <c r="F1136">
        <v>0.015481148402494</v>
      </c>
      <c r="G1136">
        <v>-0.008805050851772</v>
      </c>
      <c r="H1136">
        <v>-0.017031741842702</v>
      </c>
      <c r="I1136">
        <v>0.056869445780952</v>
      </c>
    </row>
    <row r="1137" spans="1:9">
      <c r="A1137" s="1" t="s">
        <v>1149</v>
      </c>
      <c r="B1137">
        <f>HYPERLINK("https://www.suredividend.com/sure-analysis-research-database/","OFG Bancorp")</f>
        <v>0</v>
      </c>
      <c r="C1137">
        <v>0.249718362748779</v>
      </c>
      <c r="D1137">
        <v>0.425310394744168</v>
      </c>
      <c r="E1137">
        <v>0.143182981412971</v>
      </c>
      <c r="F1137">
        <v>0.228629126041547</v>
      </c>
      <c r="G1137">
        <v>0.210560393432128</v>
      </c>
      <c r="H1137">
        <v>0.505855097645291</v>
      </c>
      <c r="I1137">
        <v>1.241711460480405</v>
      </c>
    </row>
    <row r="1138" spans="1:9">
      <c r="A1138" s="1" t="s">
        <v>1150</v>
      </c>
      <c r="B1138">
        <f>HYPERLINK("https://www.suredividend.com/sure-analysis-research-database/","Orthofix Medical Inc")</f>
        <v>0</v>
      </c>
      <c r="C1138">
        <v>0.049806308799114</v>
      </c>
      <c r="D1138">
        <v>0.027070925825663</v>
      </c>
      <c r="E1138">
        <v>-0.158011540168664</v>
      </c>
      <c r="F1138">
        <v>-0.07598636142230801</v>
      </c>
      <c r="G1138">
        <v>-0.267284665894167</v>
      </c>
      <c r="H1138">
        <v>-0.505989583333333</v>
      </c>
      <c r="I1138">
        <v>-0.6903615441116461</v>
      </c>
    </row>
    <row r="1139" spans="1:9">
      <c r="A1139" s="1" t="s">
        <v>1151</v>
      </c>
      <c r="B1139">
        <f>HYPERLINK("https://www.suredividend.com/sure-analysis-research-database/","Omega Flex Inc")</f>
        <v>0</v>
      </c>
      <c r="C1139">
        <v>-0.137541398792129</v>
      </c>
      <c r="D1139">
        <v>-0.219893336669682</v>
      </c>
      <c r="E1139">
        <v>-0.224081346140869</v>
      </c>
      <c r="F1139">
        <v>-0.039580687045837</v>
      </c>
      <c r="G1139">
        <v>-0.250507054748368</v>
      </c>
      <c r="H1139">
        <v>-0.39581327395644</v>
      </c>
      <c r="I1139">
        <v>0.09068959570326901</v>
      </c>
    </row>
    <row r="1140" spans="1:9">
      <c r="A1140" s="1" t="s">
        <v>1152</v>
      </c>
      <c r="B1140">
        <f>HYPERLINK("https://www.suredividend.com/sure-analysis-OGS/","ONE Gas Inc")</f>
        <v>0</v>
      </c>
      <c r="C1140">
        <v>0.012848799480856</v>
      </c>
      <c r="D1140">
        <v>-0.013483072208892</v>
      </c>
      <c r="E1140">
        <v>-0.042498631965626</v>
      </c>
      <c r="F1140">
        <v>0.047536463772473</v>
      </c>
      <c r="G1140">
        <v>-0.019501910991278</v>
      </c>
      <c r="H1140">
        <v>0.11046130247264</v>
      </c>
      <c r="I1140">
        <v>0.176247162627776</v>
      </c>
    </row>
    <row r="1141" spans="1:9">
      <c r="A1141" s="1" t="s">
        <v>1153</v>
      </c>
      <c r="B1141">
        <f>HYPERLINK("https://www.suredividend.com/sure-analysis-research-database/","O-I Glass Inc")</f>
        <v>0</v>
      </c>
      <c r="C1141">
        <v>-0.05385668644454501</v>
      </c>
      <c r="D1141">
        <v>-0.036710037174721</v>
      </c>
      <c r="E1141">
        <v>-0.100650759219088</v>
      </c>
      <c r="F1141">
        <v>0.251056125528062</v>
      </c>
      <c r="G1141">
        <v>0.527634487840825</v>
      </c>
      <c r="H1141">
        <v>0.349609375</v>
      </c>
      <c r="I1141">
        <v>0.129872678119822</v>
      </c>
    </row>
    <row r="1142" spans="1:9">
      <c r="A1142" s="1" t="s">
        <v>1154</v>
      </c>
      <c r="B1142">
        <f>HYPERLINK("https://www.suredividend.com/sure-analysis-research-database/","Oceaneering International, Inc.")</f>
        <v>0</v>
      </c>
      <c r="C1142">
        <v>0.112033195020746</v>
      </c>
      <c r="D1142">
        <v>0.308114704087858</v>
      </c>
      <c r="E1142">
        <v>0.035748792270531</v>
      </c>
      <c r="F1142">
        <v>0.225843339050886</v>
      </c>
      <c r="G1142">
        <v>1.338058887677208</v>
      </c>
      <c r="H1142">
        <v>0.6071964017991001</v>
      </c>
      <c r="I1142">
        <v>-0.184170471841704</v>
      </c>
    </row>
    <row r="1143" spans="1:9">
      <c r="A1143" s="1" t="s">
        <v>1155</v>
      </c>
      <c r="B1143">
        <f>HYPERLINK("https://www.suredividend.com/sure-analysis-research-database/","Oil States International, Inc.")</f>
        <v>0</v>
      </c>
      <c r="C1143">
        <v>0.028947368421052</v>
      </c>
      <c r="D1143">
        <v>0.174174174174174</v>
      </c>
      <c r="E1143">
        <v>-0.07125890736342</v>
      </c>
      <c r="F1143">
        <v>0.048257372654155</v>
      </c>
      <c r="G1143">
        <v>0.6325678496868471</v>
      </c>
      <c r="H1143">
        <v>0.352941176470588</v>
      </c>
      <c r="I1143">
        <v>-0.76267071320182</v>
      </c>
    </row>
    <row r="1144" spans="1:9">
      <c r="A1144" s="1" t="s">
        <v>1156</v>
      </c>
      <c r="B1144">
        <f>HYPERLINK("https://www.suredividend.com/sure-analysis-research-database/","Olo Inc")</f>
        <v>0</v>
      </c>
      <c r="C1144">
        <v>0.130970724191063</v>
      </c>
      <c r="D1144">
        <v>0.08902077151335301</v>
      </c>
      <c r="E1144">
        <v>-0.145518044237485</v>
      </c>
      <c r="F1144">
        <v>0.174399999999999</v>
      </c>
      <c r="G1144">
        <v>-0.4646243617797221</v>
      </c>
      <c r="H1144">
        <v>-0.7933558558558551</v>
      </c>
      <c r="I1144">
        <v>-0.788776978417266</v>
      </c>
    </row>
    <row r="1145" spans="1:9">
      <c r="A1145" s="1" t="s">
        <v>1157</v>
      </c>
      <c r="B1145">
        <f>HYPERLINK("https://www.suredividend.com/sure-analysis-OLP/","One Liberty Properties, Inc.")</f>
        <v>0</v>
      </c>
      <c r="C1145">
        <v>-0.029525653436592</v>
      </c>
      <c r="D1145">
        <v>-0.05891077723174201</v>
      </c>
      <c r="E1145">
        <v>-0.143458888162644</v>
      </c>
      <c r="F1145">
        <v>-0.05826984678684401</v>
      </c>
      <c r="G1145">
        <v>-0.197229340166559</v>
      </c>
      <c r="H1145">
        <v>-0.241765306508338</v>
      </c>
      <c r="I1145">
        <v>0.072014799685613</v>
      </c>
    </row>
    <row r="1146" spans="1:9">
      <c r="A1146" s="1" t="s">
        <v>1158</v>
      </c>
      <c r="B1146">
        <f>HYPERLINK("https://www.suredividend.com/sure-analysis-research-database/","Outset Medical Inc")</f>
        <v>0</v>
      </c>
      <c r="C1146">
        <v>-0.159090909090909</v>
      </c>
      <c r="D1146">
        <v>-0.143771541112752</v>
      </c>
      <c r="E1146">
        <v>-0.404859685147159</v>
      </c>
      <c r="F1146">
        <v>-0.326491092176607</v>
      </c>
      <c r="G1146">
        <v>-0.104070066975785</v>
      </c>
      <c r="H1146">
        <v>-0.57471264367816</v>
      </c>
      <c r="I1146">
        <v>-0.7134146341463411</v>
      </c>
    </row>
    <row r="1147" spans="1:9">
      <c r="A1147" s="1" t="s">
        <v>1159</v>
      </c>
      <c r="B1147">
        <f>HYPERLINK("https://www.suredividend.com/sure-analysis-research-database/","Omnicell, Inc.")</f>
        <v>0</v>
      </c>
      <c r="C1147">
        <v>-0.124451754385964</v>
      </c>
      <c r="D1147">
        <v>-0.04571257842844301</v>
      </c>
      <c r="E1147">
        <v>0.114250828536542</v>
      </c>
      <c r="F1147">
        <v>0.266957556525188</v>
      </c>
      <c r="G1147">
        <v>-0.426828174069089</v>
      </c>
      <c r="H1147">
        <v>-0.570670071913435</v>
      </c>
      <c r="I1147">
        <v>0.06466666666666601</v>
      </c>
    </row>
    <row r="1148" spans="1:9">
      <c r="A1148" s="1" t="s">
        <v>1160</v>
      </c>
      <c r="B1148">
        <f>HYPERLINK("https://www.suredividend.com/sure-analysis-research-database/","Owens &amp; Minor, Inc.")</f>
        <v>0</v>
      </c>
      <c r="C1148">
        <v>0.002669514148424</v>
      </c>
      <c r="D1148">
        <v>0.330028328611898</v>
      </c>
      <c r="E1148">
        <v>-0.161232693166592</v>
      </c>
      <c r="F1148">
        <v>-0.038402457757296</v>
      </c>
      <c r="G1148">
        <v>-0.420727945712523</v>
      </c>
      <c r="H1148">
        <v>-0.560746964055161</v>
      </c>
      <c r="I1148">
        <v>0.05792088689597601</v>
      </c>
    </row>
    <row r="1149" spans="1:9">
      <c r="A1149" s="1" t="s">
        <v>1161</v>
      </c>
      <c r="B1149">
        <f>HYPERLINK("https://www.suredividend.com/sure-analysis-research-database/","Singular Genomics Systems Inc")</f>
        <v>0</v>
      </c>
      <c r="C1149">
        <v>-0.07780487804878</v>
      </c>
      <c r="D1149">
        <v>-0.243724372437243</v>
      </c>
      <c r="E1149">
        <v>-0.7436610169491521</v>
      </c>
      <c r="F1149">
        <v>-0.6237810945273631</v>
      </c>
      <c r="G1149">
        <v>-0.818657074340527</v>
      </c>
      <c r="H1149">
        <v>-0.9543081570996981</v>
      </c>
      <c r="I1149">
        <v>-0.970598755832037</v>
      </c>
    </row>
    <row r="1150" spans="1:9">
      <c r="A1150" s="1" t="s">
        <v>1162</v>
      </c>
      <c r="B1150">
        <f>HYPERLINK("https://www.suredividend.com/sure-analysis-research-database/","Old National Bancorp")</f>
        <v>0</v>
      </c>
      <c r="C1150">
        <v>0.224113475177305</v>
      </c>
      <c r="D1150">
        <v>0.40231715441738</v>
      </c>
      <c r="E1150">
        <v>-0.007726624660810001</v>
      </c>
      <c r="F1150">
        <v>-0.011035605010141</v>
      </c>
      <c r="G1150">
        <v>0.049642112176699</v>
      </c>
      <c r="H1150">
        <v>0.142418405776957</v>
      </c>
      <c r="I1150">
        <v>0.041899323308724</v>
      </c>
    </row>
    <row r="1151" spans="1:9">
      <c r="A1151" s="1" t="s">
        <v>1163</v>
      </c>
      <c r="B1151">
        <f>HYPERLINK("https://www.suredividend.com/sure-analysis-research-database/","Ondas Holdings Inc")</f>
        <v>0</v>
      </c>
      <c r="C1151">
        <v>0.7578772802653401</v>
      </c>
      <c r="D1151">
        <v>0.7418930762489041</v>
      </c>
      <c r="E1151">
        <v>-0.280542986425339</v>
      </c>
      <c r="F1151">
        <v>0</v>
      </c>
      <c r="G1151">
        <v>-0.6930501930501931</v>
      </c>
      <c r="H1151">
        <v>-0.80125</v>
      </c>
      <c r="I1151">
        <v>-0.7414634146341461</v>
      </c>
    </row>
    <row r="1152" spans="1:9">
      <c r="A1152" s="1" t="s">
        <v>1164</v>
      </c>
      <c r="B1152">
        <f>HYPERLINK("https://www.suredividend.com/sure-analysis-research-database/","Onewater Marine Inc")</f>
        <v>0</v>
      </c>
      <c r="C1152">
        <v>-0.261911395932014</v>
      </c>
      <c r="D1152">
        <v>0.056641404068607</v>
      </c>
      <c r="E1152">
        <v>-0.103553299492385</v>
      </c>
      <c r="F1152">
        <v>-0.073776223776223</v>
      </c>
      <c r="G1152">
        <v>-0.273251028806584</v>
      </c>
      <c r="H1152">
        <v>-0.4240052185257661</v>
      </c>
      <c r="I1152">
        <v>0.8265816238579551</v>
      </c>
    </row>
    <row r="1153" spans="1:9">
      <c r="A1153" s="1" t="s">
        <v>1165</v>
      </c>
      <c r="B1153">
        <f>HYPERLINK("https://www.suredividend.com/sure-analysis-research-database/","Orion Office REIT Inc")</f>
        <v>0</v>
      </c>
      <c r="C1153">
        <v>-0.104651162790697</v>
      </c>
      <c r="D1153">
        <v>0.04231882096143701</v>
      </c>
      <c r="E1153">
        <v>-0.339502267780363</v>
      </c>
      <c r="F1153">
        <v>-0.255975746741874</v>
      </c>
      <c r="G1153">
        <v>-0.4022435275394941</v>
      </c>
      <c r="H1153">
        <v>-0.7536</v>
      </c>
      <c r="I1153">
        <v>-0.7536</v>
      </c>
    </row>
    <row r="1154" spans="1:9">
      <c r="A1154" s="1" t="s">
        <v>1166</v>
      </c>
      <c r="B1154">
        <f>HYPERLINK("https://www.suredividend.com/sure-analysis-research-database/","ON24 Inc")</f>
        <v>0</v>
      </c>
      <c r="C1154">
        <v>0.016969696969697</v>
      </c>
      <c r="D1154">
        <v>0.105940972542609</v>
      </c>
      <c r="E1154">
        <v>-0.022998544395924</v>
      </c>
      <c r="F1154">
        <v>0.126431534712619</v>
      </c>
      <c r="G1154">
        <v>-0.076814735753347</v>
      </c>
      <c r="H1154">
        <v>-0.712731244500292</v>
      </c>
      <c r="I1154">
        <v>-0.862734223024984</v>
      </c>
    </row>
    <row r="1155" spans="1:9">
      <c r="A1155" s="1" t="s">
        <v>1167</v>
      </c>
      <c r="B1155">
        <f>HYPERLINK("https://www.suredividend.com/sure-analysis-research-database/","Onto Innovation Inc.")</f>
        <v>0</v>
      </c>
      <c r="C1155">
        <v>0.03258708617858</v>
      </c>
      <c r="D1155">
        <v>0.437199230028873</v>
      </c>
      <c r="E1155">
        <v>0.386651189785258</v>
      </c>
      <c r="F1155">
        <v>0.7544426494345711</v>
      </c>
      <c r="G1155">
        <v>0.400633134013366</v>
      </c>
      <c r="H1155">
        <v>0.683246442158658</v>
      </c>
      <c r="I1155">
        <v>1.826117814052519</v>
      </c>
    </row>
    <row r="1156" spans="1:9">
      <c r="A1156" s="1" t="s">
        <v>1168</v>
      </c>
      <c r="B1156">
        <f>HYPERLINK("https://www.suredividend.com/sure-analysis-research-database/","Ooma Inc")</f>
        <v>0</v>
      </c>
      <c r="C1156">
        <v>0.007372654155495001</v>
      </c>
      <c r="D1156">
        <v>0.228945216680294</v>
      </c>
      <c r="E1156">
        <v>-0.009881422924901</v>
      </c>
      <c r="F1156">
        <v>0.103524229074889</v>
      </c>
      <c r="G1156">
        <v>0.245236122618061</v>
      </c>
      <c r="H1156">
        <v>-0.163606010016694</v>
      </c>
      <c r="I1156">
        <v>-0.06062500000000001</v>
      </c>
    </row>
    <row r="1157" spans="1:9">
      <c r="A1157" s="1" t="s">
        <v>1169</v>
      </c>
      <c r="B1157">
        <f>HYPERLINK("https://www.suredividend.com/sure-analysis-research-database/","Offerpad Solutions Inc")</f>
        <v>0</v>
      </c>
      <c r="C1157">
        <v>-0.169867060561299</v>
      </c>
      <c r="D1157">
        <v>0.7503698512808531</v>
      </c>
      <c r="E1157">
        <v>-0.312538226299694</v>
      </c>
      <c r="F1157">
        <v>0.627216793340571</v>
      </c>
      <c r="G1157">
        <v>-0.6414673046251991</v>
      </c>
      <c r="H1157">
        <v>0.135353535353535</v>
      </c>
      <c r="I1157">
        <v>0.104125736738703</v>
      </c>
    </row>
    <row r="1158" spans="1:9">
      <c r="A1158" s="1" t="s">
        <v>1170</v>
      </c>
      <c r="B1158">
        <f>HYPERLINK("https://www.suredividend.com/sure-analysis-research-database/","Option Care Health Inc.")</f>
        <v>0</v>
      </c>
      <c r="C1158">
        <v>0.036705737199259</v>
      </c>
      <c r="D1158">
        <v>0.025007624275693</v>
      </c>
      <c r="E1158">
        <v>0.171080139372822</v>
      </c>
      <c r="F1158">
        <v>0.116982386174808</v>
      </c>
      <c r="G1158">
        <v>-0.032805755395683</v>
      </c>
      <c r="H1158">
        <v>0.578675434476279</v>
      </c>
      <c r="I1158">
        <v>11.49442379182156</v>
      </c>
    </row>
    <row r="1159" spans="1:9">
      <c r="A1159" s="1" t="s">
        <v>1171</v>
      </c>
      <c r="B1159">
        <f>HYPERLINK("https://www.suredividend.com/sure-analysis-research-database/","OppFi Inc")</f>
        <v>0</v>
      </c>
      <c r="C1159">
        <v>0.023584905660377</v>
      </c>
      <c r="D1159">
        <v>0.142105263157894</v>
      </c>
      <c r="E1159">
        <v>-0.080508474576271</v>
      </c>
      <c r="F1159">
        <v>0.058536585365853</v>
      </c>
      <c r="G1159">
        <v>-0.3502994011976041</v>
      </c>
      <c r="H1159">
        <v>-0.7810292633703331</v>
      </c>
      <c r="I1159">
        <v>-0.7796954314720811</v>
      </c>
    </row>
    <row r="1160" spans="1:9">
      <c r="A1160" s="1" t="s">
        <v>1172</v>
      </c>
      <c r="B1160">
        <f>HYPERLINK("https://www.suredividend.com/sure-analysis-OPI/","Office Properties Income Trust")</f>
        <v>0</v>
      </c>
      <c r="C1160">
        <v>-0.003147245147434</v>
      </c>
      <c r="D1160">
        <v>0.2860951849851</v>
      </c>
      <c r="E1160">
        <v>-0.5138948352972941</v>
      </c>
      <c r="F1160">
        <v>-0.348545703314648</v>
      </c>
      <c r="G1160">
        <v>-0.549659498645317</v>
      </c>
      <c r="H1160">
        <v>-0.6480065629128651</v>
      </c>
      <c r="I1160">
        <v>-0.5142276021405581</v>
      </c>
    </row>
    <row r="1161" spans="1:9">
      <c r="A1161" s="1" t="s">
        <v>1173</v>
      </c>
      <c r="B1161">
        <f>HYPERLINK("https://www.suredividend.com/sure-analysis-research-database/","Opko Health Inc")</f>
        <v>0</v>
      </c>
      <c r="C1161">
        <v>-0.131455399061032</v>
      </c>
      <c r="D1161">
        <v>0.209150326797385</v>
      </c>
      <c r="E1161">
        <v>0.330935251798561</v>
      </c>
      <c r="F1161">
        <v>0.48</v>
      </c>
      <c r="G1161">
        <v>-0.241803278688524</v>
      </c>
      <c r="H1161">
        <v>-0.4875346260387811</v>
      </c>
      <c r="I1161">
        <v>-0.685908319185059</v>
      </c>
    </row>
    <row r="1162" spans="1:9">
      <c r="A1162" s="1" t="s">
        <v>1174</v>
      </c>
      <c r="B1162">
        <f>HYPERLINK("https://www.suredividend.com/sure-analysis-research-database/","Oportun Financial Corp")</f>
        <v>0</v>
      </c>
      <c r="C1162">
        <v>-0.068676716917922</v>
      </c>
      <c r="D1162">
        <v>0.510869565217391</v>
      </c>
      <c r="E1162">
        <v>-0.273202614379085</v>
      </c>
      <c r="F1162">
        <v>0.009074410163339</v>
      </c>
      <c r="G1162">
        <v>-0.427394438722966</v>
      </c>
      <c r="H1162">
        <v>-0.736117702895111</v>
      </c>
      <c r="I1162">
        <v>-0.6561533704390841</v>
      </c>
    </row>
    <row r="1163" spans="1:9">
      <c r="A1163" s="1" t="s">
        <v>1175</v>
      </c>
      <c r="B1163">
        <f>HYPERLINK("https://www.suredividend.com/sure-analysis-research-database/","OptimizeRx Corp")</f>
        <v>0</v>
      </c>
      <c r="C1163">
        <v>-0.021830985915492</v>
      </c>
      <c r="D1163">
        <v>-0.03875432525951501</v>
      </c>
      <c r="E1163">
        <v>-0.268562401263823</v>
      </c>
      <c r="F1163">
        <v>-0.173214285714285</v>
      </c>
      <c r="G1163">
        <v>-0.414911541701769</v>
      </c>
      <c r="H1163">
        <v>-0.750986016493366</v>
      </c>
      <c r="I1163">
        <v>0.360377654156546</v>
      </c>
    </row>
    <row r="1164" spans="1:9">
      <c r="A1164" s="1" t="s">
        <v>1176</v>
      </c>
      <c r="B1164">
        <f>HYPERLINK("https://www.suredividend.com/sure-analysis-research-database/","Oppenheimer Holdings Inc")</f>
        <v>0</v>
      </c>
      <c r="C1164">
        <v>-0.04552276138069</v>
      </c>
      <c r="D1164">
        <v>0.023075500076408</v>
      </c>
      <c r="E1164">
        <v>-0.183736331433851</v>
      </c>
      <c r="F1164">
        <v>-0.091947458595088</v>
      </c>
      <c r="G1164">
        <v>0.06429561535865501</v>
      </c>
      <c r="H1164">
        <v>-0.09446856980138101</v>
      </c>
      <c r="I1164">
        <v>0.382959446236364</v>
      </c>
    </row>
    <row r="1165" spans="1:9">
      <c r="A1165" s="1" t="s">
        <v>1177</v>
      </c>
      <c r="B1165">
        <f>HYPERLINK("https://www.suredividend.com/sure-analysis-research-database/","Ormat Technologies Inc")</f>
        <v>0</v>
      </c>
      <c r="C1165">
        <v>-0.053078556263269</v>
      </c>
      <c r="D1165">
        <v>-0.09381663113006401</v>
      </c>
      <c r="E1165">
        <v>-0.174547046028092</v>
      </c>
      <c r="F1165">
        <v>-0.120808271962689</v>
      </c>
      <c r="G1165">
        <v>-0.132206338487598</v>
      </c>
      <c r="H1165">
        <v>0.07217602805588501</v>
      </c>
      <c r="I1165">
        <v>0.4666568657415101</v>
      </c>
    </row>
    <row r="1166" spans="1:9">
      <c r="A1166" s="1" t="s">
        <v>1178</v>
      </c>
      <c r="B1166">
        <f>HYPERLINK("https://www.suredividend.com/sure-analysis-ORC/","Orchid Island Capital Inc")</f>
        <v>0</v>
      </c>
      <c r="C1166">
        <v>-0.004891379685921</v>
      </c>
      <c r="D1166">
        <v>0.08054059284585301</v>
      </c>
      <c r="E1166">
        <v>-0.114576450376635</v>
      </c>
      <c r="F1166">
        <v>0.06102195945945901</v>
      </c>
      <c r="G1166">
        <v>-0.218604217204702</v>
      </c>
      <c r="H1166">
        <v>-0.392168958885219</v>
      </c>
      <c r="I1166">
        <v>-0.416274612301794</v>
      </c>
    </row>
    <row r="1167" spans="1:9">
      <c r="A1167" s="1" t="s">
        <v>1179</v>
      </c>
      <c r="B1167">
        <f>HYPERLINK("https://www.suredividend.com/sure-analysis-research-database/","Origin Materials Inc")</f>
        <v>0</v>
      </c>
      <c r="C1167">
        <v>0.009389671361502001</v>
      </c>
      <c r="D1167">
        <v>0.07769423558897201</v>
      </c>
      <c r="E1167">
        <v>-0.284525790349417</v>
      </c>
      <c r="F1167">
        <v>-0.067245119305856</v>
      </c>
      <c r="G1167">
        <v>-0.314194577352472</v>
      </c>
      <c r="H1167">
        <v>-0.24693520140105</v>
      </c>
      <c r="I1167">
        <v>-0.5700000000000001</v>
      </c>
    </row>
    <row r="1168" spans="1:9">
      <c r="A1168" s="1" t="s">
        <v>1180</v>
      </c>
      <c r="B1168">
        <f>HYPERLINK("https://www.suredividend.com/sure-analysis-research-database/","Organogenesis Holdings Inc")</f>
        <v>0</v>
      </c>
      <c r="C1168">
        <v>0.259701492537313</v>
      </c>
      <c r="D1168">
        <v>1.048543689320388</v>
      </c>
      <c r="E1168">
        <v>0.507142857142857</v>
      </c>
      <c r="F1168">
        <v>0.568773234200743</v>
      </c>
      <c r="G1168">
        <v>-0.267361111111111</v>
      </c>
      <c r="H1168">
        <v>-0.7150573936529371</v>
      </c>
      <c r="I1168">
        <v>-0.582178217821782</v>
      </c>
    </row>
    <row r="1169" spans="1:9">
      <c r="A1169" s="1" t="s">
        <v>1181</v>
      </c>
      <c r="B1169">
        <f>HYPERLINK("https://www.suredividend.com/sure-analysis-research-database/","Orrstown Financial Services, Inc.")</f>
        <v>0</v>
      </c>
      <c r="C1169">
        <v>0.203076923076923</v>
      </c>
      <c r="D1169">
        <v>0.402254605444047</v>
      </c>
      <c r="E1169">
        <v>-0.02479173941238</v>
      </c>
      <c r="F1169">
        <v>0.046793358707437</v>
      </c>
      <c r="G1169">
        <v>-0.06281084838388701</v>
      </c>
      <c r="H1169">
        <v>0.100137868940097</v>
      </c>
      <c r="I1169">
        <v>0.06953334427485</v>
      </c>
    </row>
    <row r="1170" spans="1:9">
      <c r="A1170" s="1" t="s">
        <v>1182</v>
      </c>
      <c r="B1170">
        <f>HYPERLINK("https://www.suredividend.com/sure-analysis-research-database/","Old Second Bancorporation Inc.")</f>
        <v>0</v>
      </c>
      <c r="C1170">
        <v>0.241866461214557</v>
      </c>
      <c r="D1170">
        <v>0.413906306994841</v>
      </c>
      <c r="E1170">
        <v>-0.06609071769895701</v>
      </c>
      <c r="F1170">
        <v>0.029806183897576</v>
      </c>
      <c r="G1170">
        <v>0.162358989004712</v>
      </c>
      <c r="H1170">
        <v>0.483114540535123</v>
      </c>
      <c r="I1170">
        <v>0.129175452225058</v>
      </c>
    </row>
    <row r="1171" spans="1:9">
      <c r="A1171" s="1" t="s">
        <v>1183</v>
      </c>
      <c r="B1171">
        <f>HYPERLINK("https://www.suredividend.com/sure-analysis-research-database/","Oscar Health Inc")</f>
        <v>0</v>
      </c>
      <c r="C1171">
        <v>-0.120987654320987</v>
      </c>
      <c r="D1171">
        <v>0.020057306590257</v>
      </c>
      <c r="E1171">
        <v>0.830334190231362</v>
      </c>
      <c r="F1171">
        <v>1.894308943089431</v>
      </c>
      <c r="G1171">
        <v>0.210884353741496</v>
      </c>
      <c r="H1171">
        <v>-0.540645161290322</v>
      </c>
      <c r="I1171">
        <v>-0.795402298850574</v>
      </c>
    </row>
    <row r="1172" spans="1:9">
      <c r="A1172" s="1" t="s">
        <v>1184</v>
      </c>
      <c r="B1172">
        <f>HYPERLINK("https://www.suredividend.com/sure-analysis-research-database/","OSI Systems, Inc.")</f>
        <v>0</v>
      </c>
      <c r="C1172">
        <v>0.007455099966113001</v>
      </c>
      <c r="D1172">
        <v>0.004052684903748</v>
      </c>
      <c r="E1172">
        <v>0.229782833505687</v>
      </c>
      <c r="F1172">
        <v>0.495472837022132</v>
      </c>
      <c r="G1172">
        <v>0.241984334203655</v>
      </c>
      <c r="H1172">
        <v>0.210135341406329</v>
      </c>
      <c r="I1172">
        <v>0.507033329109111</v>
      </c>
    </row>
    <row r="1173" spans="1:9">
      <c r="A1173" s="1" t="s">
        <v>1185</v>
      </c>
      <c r="B1173">
        <f>HYPERLINK("https://www.suredividend.com/sure-analysis-research-database/","OneSpan Inc")</f>
        <v>0</v>
      </c>
      <c r="C1173">
        <v>-0.106951871657754</v>
      </c>
      <c r="D1173">
        <v>0.007541478129713001</v>
      </c>
      <c r="E1173">
        <v>-0.08304735758407601</v>
      </c>
      <c r="F1173">
        <v>0.193923145665773</v>
      </c>
      <c r="G1173">
        <v>0.213442325158946</v>
      </c>
      <c r="H1173">
        <v>-0.47089108910891</v>
      </c>
      <c r="I1173">
        <v>-0.227745664739884</v>
      </c>
    </row>
    <row r="1174" spans="1:9">
      <c r="A1174" s="1" t="s">
        <v>1186</v>
      </c>
      <c r="B1174">
        <f>HYPERLINK("https://www.suredividend.com/sure-analysis-research-database/","Overstock.com Inc")</f>
        <v>0</v>
      </c>
      <c r="C1174">
        <v>0.129756706175919</v>
      </c>
      <c r="D1174">
        <v>0.7993045206159961</v>
      </c>
      <c r="E1174">
        <v>0.517385839966485</v>
      </c>
      <c r="F1174">
        <v>0.8708677685950411</v>
      </c>
      <c r="G1174">
        <v>0.223235393448159</v>
      </c>
      <c r="H1174">
        <v>-0.4678225095503961</v>
      </c>
      <c r="I1174">
        <v>-0.0008275862068960001</v>
      </c>
    </row>
    <row r="1175" spans="1:9">
      <c r="A1175" s="1" t="s">
        <v>1187</v>
      </c>
      <c r="B1175">
        <f>HYPERLINK("https://www.suredividend.com/sure-analysis-research-database/","Orasure Technologies Inc.")</f>
        <v>0</v>
      </c>
      <c r="C1175">
        <v>-0.112648221343873</v>
      </c>
      <c r="D1175">
        <v>-0.352092352092352</v>
      </c>
      <c r="E1175">
        <v>-0.179159049360146</v>
      </c>
      <c r="F1175">
        <v>-0.06846473029045601</v>
      </c>
      <c r="G1175">
        <v>0.390092879256966</v>
      </c>
      <c r="H1175">
        <v>-0.6381950040290081</v>
      </c>
      <c r="I1175">
        <v>-0.7327380952380951</v>
      </c>
    </row>
    <row r="1176" spans="1:9">
      <c r="A1176" s="1" t="s">
        <v>1188</v>
      </c>
      <c r="B1176">
        <f>HYPERLINK("https://www.suredividend.com/sure-analysis-research-database/","OneSpaWorld Holdings Limited")</f>
        <v>0</v>
      </c>
      <c r="C1176">
        <v>-0.004966887417218</v>
      </c>
      <c r="D1176">
        <v>-0.03453815261044101</v>
      </c>
      <c r="E1176">
        <v>0.131826741996233</v>
      </c>
      <c r="F1176">
        <v>0.288317256162915</v>
      </c>
      <c r="G1176">
        <v>0.389595375722543</v>
      </c>
      <c r="H1176">
        <v>0.230296827021494</v>
      </c>
      <c r="I1176">
        <v>-0.01724321186503</v>
      </c>
    </row>
    <row r="1177" spans="1:9">
      <c r="A1177" s="1" t="s">
        <v>1189</v>
      </c>
      <c r="B1177">
        <f>HYPERLINK("https://www.suredividend.com/sure-analysis-research-database/","Outlook Therapeutics Inc")</f>
        <v>0</v>
      </c>
      <c r="C1177">
        <v>-0.035087719298245</v>
      </c>
      <c r="D1177">
        <v>0.473214285714285</v>
      </c>
      <c r="E1177">
        <v>0.4347826086956521</v>
      </c>
      <c r="F1177">
        <v>0.527777777777777</v>
      </c>
      <c r="G1177">
        <v>0.447368421052631</v>
      </c>
      <c r="H1177">
        <v>-0.315352697095435</v>
      </c>
      <c r="I1177">
        <v>0.9075144508670511</v>
      </c>
    </row>
    <row r="1178" spans="1:9">
      <c r="A1178" s="1" t="s">
        <v>1190</v>
      </c>
      <c r="B1178">
        <f>HYPERLINK("https://www.suredividend.com/sure-analysis-OTTR/","Otter Tail Corporation")</f>
        <v>0</v>
      </c>
      <c r="C1178">
        <v>0.132843199391557</v>
      </c>
      <c r="D1178">
        <v>0.177034589302247</v>
      </c>
      <c r="E1178">
        <v>0.376591929908874</v>
      </c>
      <c r="F1178">
        <v>0.550101206674957</v>
      </c>
      <c r="G1178">
        <v>0.224072186976102</v>
      </c>
      <c r="H1178">
        <v>0.773678820643501</v>
      </c>
      <c r="I1178">
        <v>1.151213171577123</v>
      </c>
    </row>
    <row r="1179" spans="1:9">
      <c r="A1179" s="1" t="s">
        <v>1191</v>
      </c>
      <c r="B1179">
        <f>HYPERLINK("https://www.suredividend.com/sure-analysis-research-database/","Ouster Inc")</f>
        <v>0</v>
      </c>
      <c r="C1179">
        <v>0.08193668528864001</v>
      </c>
      <c r="D1179">
        <v>0.549333333333333</v>
      </c>
      <c r="E1179">
        <v>-0.682513661202185</v>
      </c>
      <c r="F1179">
        <v>-0.326767091541135</v>
      </c>
      <c r="G1179">
        <v>-0.7065656565656561</v>
      </c>
      <c r="H1179">
        <v>-0.9340522133938701</v>
      </c>
      <c r="I1179">
        <v>-0.401030927835051</v>
      </c>
    </row>
    <row r="1180" spans="1:9">
      <c r="A1180" s="1" t="s">
        <v>1192</v>
      </c>
      <c r="B1180">
        <f>HYPERLINK("https://www.suredividend.com/sure-analysis-research-database/","Outfront Media Inc")</f>
        <v>0</v>
      </c>
      <c r="C1180">
        <v>-0.084542586750788</v>
      </c>
      <c r="D1180">
        <v>-0.08964859557434901</v>
      </c>
      <c r="E1180">
        <v>-0.28257107540173</v>
      </c>
      <c r="F1180">
        <v>-0.09044750484237901</v>
      </c>
      <c r="G1180">
        <v>-0.150075269006156</v>
      </c>
      <c r="H1180">
        <v>-0.304113452048093</v>
      </c>
      <c r="I1180">
        <v>-0.150015523493196</v>
      </c>
    </row>
    <row r="1181" spans="1:9">
      <c r="A1181" s="1" t="s">
        <v>1193</v>
      </c>
      <c r="B1181">
        <f>HYPERLINK("https://www.suredividend.com/sure-analysis-research-database/","Oxford Industries, Inc.")</f>
        <v>0</v>
      </c>
      <c r="C1181">
        <v>0.01818456520139</v>
      </c>
      <c r="D1181">
        <v>0.012241643927416</v>
      </c>
      <c r="E1181">
        <v>-0.105517915592133</v>
      </c>
      <c r="F1181">
        <v>0.148690582332476</v>
      </c>
      <c r="G1181">
        <v>0.114587386386406</v>
      </c>
      <c r="H1181">
        <v>0.272058040597442</v>
      </c>
      <c r="I1181">
        <v>0.277649698179109</v>
      </c>
    </row>
    <row r="1182" spans="1:9">
      <c r="A1182" s="1" t="s">
        <v>1194</v>
      </c>
      <c r="B1182">
        <f>HYPERLINK("https://www.suredividend.com/sure-analysis-research-database/","Pacific Biosciences of California Inc")</f>
        <v>0</v>
      </c>
      <c r="C1182">
        <v>-0.106283941039565</v>
      </c>
      <c r="D1182">
        <v>-0.019574468085106</v>
      </c>
      <c r="E1182">
        <v>-0.005181347150259001</v>
      </c>
      <c r="F1182">
        <v>0.408312958435207</v>
      </c>
      <c r="G1182">
        <v>1.211132437619961</v>
      </c>
      <c r="H1182">
        <v>-0.6186693147964251</v>
      </c>
      <c r="I1182">
        <v>2.023622047244094</v>
      </c>
    </row>
    <row r="1183" spans="1:9">
      <c r="A1183" s="1" t="s">
        <v>1195</v>
      </c>
      <c r="B1183">
        <f>HYPERLINK("https://www.suredividend.com/sure-analysis-research-database/","Ranpak Holdings Corp")</f>
        <v>0</v>
      </c>
      <c r="C1183">
        <v>0.348101265822784</v>
      </c>
      <c r="D1183">
        <v>0.6684073107049601</v>
      </c>
      <c r="E1183">
        <v>-0.183908045977011</v>
      </c>
      <c r="F1183">
        <v>0.107452339688041</v>
      </c>
      <c r="G1183">
        <v>0.20566037735849</v>
      </c>
      <c r="H1183">
        <v>-0.7539468617635731</v>
      </c>
      <c r="I1183">
        <v>-0.343268242548818</v>
      </c>
    </row>
    <row r="1184" spans="1:9">
      <c r="A1184" s="1" t="s">
        <v>1196</v>
      </c>
      <c r="B1184">
        <f>HYPERLINK("https://www.suredividend.com/sure-analysis-research-database/","Phibro Animal Health Corp.")</f>
        <v>0</v>
      </c>
      <c r="C1184">
        <v>0.083575581395348</v>
      </c>
      <c r="D1184">
        <v>-0.026692517086735</v>
      </c>
      <c r="E1184">
        <v>-0.05908634823271001</v>
      </c>
      <c r="F1184">
        <v>0.140885161606268</v>
      </c>
      <c r="G1184">
        <v>-0.184135791322619</v>
      </c>
      <c r="H1184">
        <v>-0.360596262211281</v>
      </c>
      <c r="I1184">
        <v>-0.6745316071066051</v>
      </c>
    </row>
    <row r="1185" spans="1:9">
      <c r="A1185" s="1" t="s">
        <v>1197</v>
      </c>
      <c r="B1185">
        <f>HYPERLINK("https://www.suredividend.com/sure-analysis-research-database/","Par Technology Corp.")</f>
        <v>0</v>
      </c>
      <c r="C1185">
        <v>0.080942313500453</v>
      </c>
      <c r="D1185">
        <v>0.260655160267699</v>
      </c>
      <c r="E1185">
        <v>-0.04763171899946701</v>
      </c>
      <c r="F1185">
        <v>0.372842347525891</v>
      </c>
      <c r="G1185">
        <v>-0.186775732788002</v>
      </c>
      <c r="H1185">
        <v>-0.40548172757475</v>
      </c>
      <c r="I1185">
        <v>0.912880812399786</v>
      </c>
    </row>
    <row r="1186" spans="1:9">
      <c r="A1186" s="1" t="s">
        <v>1198</v>
      </c>
      <c r="B1186">
        <f>HYPERLINK("https://www.suredividend.com/sure-analysis-research-database/","Par Pacific Holdings Inc")</f>
        <v>0</v>
      </c>
      <c r="C1186">
        <v>0.196562032884902</v>
      </c>
      <c r="D1186">
        <v>0.471507352941176</v>
      </c>
      <c r="E1186">
        <v>0.189008540660972</v>
      </c>
      <c r="F1186">
        <v>0.377204301075269</v>
      </c>
      <c r="G1186">
        <v>0.889085545722714</v>
      </c>
      <c r="H1186">
        <v>0.862710878417684</v>
      </c>
      <c r="I1186">
        <v>0.8736102984201281</v>
      </c>
    </row>
    <row r="1187" spans="1:9">
      <c r="A1187" s="1" t="s">
        <v>1199</v>
      </c>
      <c r="B1187">
        <f>HYPERLINK("https://www.suredividend.com/sure-analysis-research-database/","Patrick Industries, Inc.")</f>
        <v>0</v>
      </c>
      <c r="C1187">
        <v>0.059264816204051</v>
      </c>
      <c r="D1187">
        <v>0.285810552388584</v>
      </c>
      <c r="E1187">
        <v>0.117090080551266</v>
      </c>
      <c r="F1187">
        <v>0.4229089687604971</v>
      </c>
      <c r="G1187">
        <v>0.4670053662058891</v>
      </c>
      <c r="H1187">
        <v>0.041399054234617</v>
      </c>
      <c r="I1187">
        <v>0.51266535849919</v>
      </c>
    </row>
    <row r="1188" spans="1:9">
      <c r="A1188" s="1" t="s">
        <v>1200</v>
      </c>
      <c r="B1188">
        <f>HYPERLINK("https://www.suredividend.com/sure-analysis-research-database/","Payoneer Global Inc")</f>
        <v>0</v>
      </c>
      <c r="C1188">
        <v>0.039014373716632</v>
      </c>
      <c r="D1188">
        <v>-0.06122448979591801</v>
      </c>
      <c r="E1188">
        <v>-0.166392092257001</v>
      </c>
      <c r="F1188">
        <v>-0.07495429616087701</v>
      </c>
      <c r="G1188">
        <v>-0.086642599277978</v>
      </c>
      <c r="H1188">
        <v>-0.471816283924843</v>
      </c>
      <c r="I1188">
        <v>-0.522641509433962</v>
      </c>
    </row>
    <row r="1189" spans="1:9">
      <c r="A1189" s="1" t="s">
        <v>1201</v>
      </c>
      <c r="B1189">
        <f>HYPERLINK("https://www.suredividend.com/sure-analysis-research-database/","PBF Energy Inc")</f>
        <v>0</v>
      </c>
      <c r="C1189">
        <v>0.119792950456002</v>
      </c>
      <c r="D1189">
        <v>0.40774803696152</v>
      </c>
      <c r="E1189">
        <v>0.158751211549252</v>
      </c>
      <c r="F1189">
        <v>0.125220746861245</v>
      </c>
      <c r="G1189">
        <v>0.419013468602413</v>
      </c>
      <c r="H1189">
        <v>3.950635311553298</v>
      </c>
      <c r="I1189">
        <v>0.018778900535066</v>
      </c>
    </row>
    <row r="1190" spans="1:9">
      <c r="A1190" s="1" t="s">
        <v>1202</v>
      </c>
      <c r="B1190">
        <f>HYPERLINK("https://www.suredividend.com/sure-analysis-research-database/","Pioneer Bancorp Inc")</f>
        <v>0</v>
      </c>
      <c r="C1190">
        <v>0.09911894273127701</v>
      </c>
      <c r="D1190">
        <v>0.165887850467289</v>
      </c>
      <c r="E1190">
        <v>-0.121478873239436</v>
      </c>
      <c r="F1190">
        <v>-0.124561403508771</v>
      </c>
      <c r="G1190">
        <v>0.012170385395537</v>
      </c>
      <c r="H1190">
        <v>-0.132927888792354</v>
      </c>
      <c r="I1190">
        <v>-0.323389830508474</v>
      </c>
    </row>
    <row r="1191" spans="1:9">
      <c r="A1191" s="1" t="s">
        <v>1203</v>
      </c>
      <c r="B1191">
        <f>HYPERLINK("https://www.suredividend.com/sure-analysis-research-database/","Prestige Consumer Healthcare Inc")</f>
        <v>0</v>
      </c>
      <c r="C1191">
        <v>0.124028387968908</v>
      </c>
      <c r="D1191">
        <v>0.08604081632653</v>
      </c>
      <c r="E1191">
        <v>0.09120734908136401</v>
      </c>
      <c r="F1191">
        <v>0.062619808306709</v>
      </c>
      <c r="G1191">
        <v>0.1172321128653</v>
      </c>
      <c r="H1191">
        <v>0.245226506926244</v>
      </c>
      <c r="I1191">
        <v>0.825466520307354</v>
      </c>
    </row>
    <row r="1192" spans="1:9">
      <c r="A1192" s="1" t="s">
        <v>1204</v>
      </c>
      <c r="B1192">
        <f>HYPERLINK("https://www.suredividend.com/sure-analysis-research-database/","Pitney Bowes, Inc.")</f>
        <v>0</v>
      </c>
      <c r="C1192">
        <v>-0.039325842696629</v>
      </c>
      <c r="D1192">
        <v>0.058987459359034</v>
      </c>
      <c r="E1192">
        <v>-0.242541693428717</v>
      </c>
      <c r="F1192">
        <v>-0.075100738296779</v>
      </c>
      <c r="G1192">
        <v>0.106867758430966</v>
      </c>
      <c r="H1192">
        <v>-0.518024747033456</v>
      </c>
      <c r="I1192">
        <v>-0.472165203031191</v>
      </c>
    </row>
    <row r="1193" spans="1:9">
      <c r="A1193" s="1" t="s">
        <v>1205</v>
      </c>
      <c r="B1193">
        <f>HYPERLINK("https://www.suredividend.com/sure-analysis-research-database/","PCB Bancorp.")</f>
        <v>0</v>
      </c>
      <c r="C1193">
        <v>0.107671601615074</v>
      </c>
      <c r="D1193">
        <v>0.260124634441365</v>
      </c>
      <c r="E1193">
        <v>-0.09732047865047701</v>
      </c>
      <c r="F1193">
        <v>-0.03711156870086101</v>
      </c>
      <c r="G1193">
        <v>-0.123054710517482</v>
      </c>
      <c r="H1193">
        <v>-0.06523479870745601</v>
      </c>
      <c r="I1193">
        <v>0.3168</v>
      </c>
    </row>
    <row r="1194" spans="1:9">
      <c r="A1194" s="1" t="s">
        <v>1206</v>
      </c>
      <c r="B1194">
        <f>HYPERLINK("https://www.suredividend.com/sure-analysis-research-database/","PotlatchDeltic Corp")</f>
        <v>0</v>
      </c>
      <c r="C1194">
        <v>-0.029918576027267</v>
      </c>
      <c r="D1194">
        <v>0.155908944248772</v>
      </c>
      <c r="E1194">
        <v>0.07534329962259001</v>
      </c>
      <c r="F1194">
        <v>0.199035715957496</v>
      </c>
      <c r="G1194">
        <v>0.137994304475118</v>
      </c>
      <c r="H1194">
        <v>0.166438979963569</v>
      </c>
      <c r="I1194">
        <v>0.602640305324406</v>
      </c>
    </row>
    <row r="1195" spans="1:9">
      <c r="A1195" s="1" t="s">
        <v>1207</v>
      </c>
      <c r="B1195">
        <f>HYPERLINK("https://www.suredividend.com/sure-analysis-research-database/","Pacira BioSciences Inc")</f>
        <v>0</v>
      </c>
      <c r="C1195">
        <v>-0.03342479421302001</v>
      </c>
      <c r="D1195">
        <v>-0.10134508348794</v>
      </c>
      <c r="E1195">
        <v>-0.07429526994744301</v>
      </c>
      <c r="F1195">
        <v>0.003626003626003</v>
      </c>
      <c r="G1195">
        <v>-0.330627051304197</v>
      </c>
      <c r="H1195">
        <v>-0.362559631518341</v>
      </c>
      <c r="I1195">
        <v>-0.142699115044247</v>
      </c>
    </row>
    <row r="1196" spans="1:9">
      <c r="A1196" s="1" t="s">
        <v>1208</v>
      </c>
      <c r="B1196">
        <f>HYPERLINK("https://www.suredividend.com/sure-analysis-research-database/","PureCycle Technologies Inc")</f>
        <v>0</v>
      </c>
      <c r="C1196">
        <v>-0.024911032028469</v>
      </c>
      <c r="D1196">
        <v>0.7369255150554671</v>
      </c>
      <c r="E1196">
        <v>0.306317044100119</v>
      </c>
      <c r="F1196">
        <v>0.6213017751479291</v>
      </c>
      <c r="G1196">
        <v>0.298578199052132</v>
      </c>
      <c r="H1196">
        <v>-0.258958755916159</v>
      </c>
      <c r="I1196">
        <v>0.074509803921568</v>
      </c>
    </row>
    <row r="1197" spans="1:9">
      <c r="A1197" s="1" t="s">
        <v>1209</v>
      </c>
      <c r="B1197">
        <f>HYPERLINK("https://www.suredividend.com/sure-analysis-research-database/","Vaxcyte Inc")</f>
        <v>0</v>
      </c>
      <c r="C1197">
        <v>-0.007925218451534001</v>
      </c>
      <c r="D1197">
        <v>-0.013538088502727</v>
      </c>
      <c r="E1197">
        <v>0.078895027624309</v>
      </c>
      <c r="F1197">
        <v>0.018143899895724</v>
      </c>
      <c r="G1197">
        <v>0.993466721110657</v>
      </c>
      <c r="H1197">
        <v>1.184340044742729</v>
      </c>
      <c r="I1197">
        <v>0.8669216061185471</v>
      </c>
    </row>
    <row r="1198" spans="1:9">
      <c r="A1198" s="1" t="s">
        <v>1210</v>
      </c>
      <c r="B1198">
        <f>HYPERLINK("https://www.suredividend.com/sure-analysis-research-database/","Pure Cycle Corp.")</f>
        <v>0</v>
      </c>
      <c r="C1198">
        <v>0.133636363636363</v>
      </c>
      <c r="D1198">
        <v>0.29491173416407</v>
      </c>
      <c r="E1198">
        <v>0.305759162303664</v>
      </c>
      <c r="F1198">
        <v>0.189885496183206</v>
      </c>
      <c r="G1198">
        <v>0.162162162162162</v>
      </c>
      <c r="H1198">
        <v>-0.186562296151337</v>
      </c>
      <c r="I1198">
        <v>0.165420560747663</v>
      </c>
    </row>
    <row r="1199" spans="1:9">
      <c r="A1199" s="1" t="s">
        <v>1211</v>
      </c>
      <c r="B1199">
        <f>HYPERLINK("https://www.suredividend.com/sure-analysis-research-database/","Pagerduty Inc")</f>
        <v>0</v>
      </c>
      <c r="C1199">
        <v>0.084851177254553</v>
      </c>
      <c r="D1199">
        <v>-0.134962805526036</v>
      </c>
      <c r="E1199">
        <v>-0.220057489619929</v>
      </c>
      <c r="F1199">
        <v>-0.08057228915662601</v>
      </c>
      <c r="G1199">
        <v>-0.129722024233784</v>
      </c>
      <c r="H1199">
        <v>-0.413544668587896</v>
      </c>
      <c r="I1199">
        <v>-0.36156862745098</v>
      </c>
    </row>
    <row r="1200" spans="1:9">
      <c r="A1200" s="1" t="s">
        <v>1212</v>
      </c>
      <c r="B1200">
        <f>HYPERLINK("https://www.suredividend.com/sure-analysis-PDCO/","Patterson Companies Inc.")</f>
        <v>0</v>
      </c>
      <c r="C1200">
        <v>0.032794832898049</v>
      </c>
      <c r="D1200">
        <v>0.25487871152611</v>
      </c>
      <c r="E1200">
        <v>0.118332593874572</v>
      </c>
      <c r="F1200">
        <v>0.219854592741459</v>
      </c>
      <c r="G1200">
        <v>0.149165271682577</v>
      </c>
      <c r="H1200">
        <v>0.170830644417811</v>
      </c>
      <c r="I1200">
        <v>0.671094916369341</v>
      </c>
    </row>
    <row r="1201" spans="1:9">
      <c r="A1201" s="1" t="s">
        <v>1213</v>
      </c>
      <c r="B1201">
        <f>HYPERLINK("https://www.suredividend.com/sure-analysis-research-database/","PDF Solutions Inc.")</f>
        <v>0</v>
      </c>
      <c r="C1201">
        <v>-0.041411042944785</v>
      </c>
      <c r="D1201">
        <v>0.19535519125683</v>
      </c>
      <c r="E1201">
        <v>0.35406994738471</v>
      </c>
      <c r="F1201">
        <v>0.5340112201963531</v>
      </c>
      <c r="G1201">
        <v>0.5799927771758751</v>
      </c>
      <c r="H1201">
        <v>1.301420305102577</v>
      </c>
      <c r="I1201">
        <v>3.390366281986954</v>
      </c>
    </row>
    <row r="1202" spans="1:9">
      <c r="A1202" s="1" t="s">
        <v>1214</v>
      </c>
      <c r="B1202">
        <f>HYPERLINK("https://www.suredividend.com/sure-analysis-research-database/","PDL Biopharma Inc")</f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>
      <c r="A1203" s="1" t="s">
        <v>1215</v>
      </c>
      <c r="B1203">
        <f>HYPERLINK("https://www.suredividend.com/sure-analysis-PDM/","Piedmont Office Realty Trust Inc")</f>
        <v>0</v>
      </c>
      <c r="C1203">
        <v>-0.04605263157894701</v>
      </c>
      <c r="D1203">
        <v>0.208454178751208</v>
      </c>
      <c r="E1203">
        <v>-0.283575600067195</v>
      </c>
      <c r="F1203">
        <v>-0.164823518569717</v>
      </c>
      <c r="G1203">
        <v>-0.3965976429855511</v>
      </c>
      <c r="H1203">
        <v>-0.548002169589586</v>
      </c>
      <c r="I1203">
        <v>-0.525473871609592</v>
      </c>
    </row>
    <row r="1204" spans="1:9">
      <c r="A1204" s="1" t="s">
        <v>1216</v>
      </c>
      <c r="B1204">
        <f>HYPERLINK("https://www.suredividend.com/sure-analysis-research-database/","Pebblebrook Hotel Trust")</f>
        <v>0</v>
      </c>
      <c r="C1204">
        <v>0.011173184357542</v>
      </c>
      <c r="D1204">
        <v>0.033569598206956</v>
      </c>
      <c r="E1204">
        <v>-0.144966046648951</v>
      </c>
      <c r="F1204">
        <v>0.08300548982064501</v>
      </c>
      <c r="G1204">
        <v>-0.238892188658021</v>
      </c>
      <c r="H1204">
        <v>-0.32892126874664</v>
      </c>
      <c r="I1204">
        <v>-0.5911302368790361</v>
      </c>
    </row>
    <row r="1205" spans="1:9">
      <c r="A1205" s="1" t="s">
        <v>1217</v>
      </c>
      <c r="B1205">
        <f>HYPERLINK("https://www.suredividend.com/sure-analysis-research-database/","Peoples Bancorp, Inc. (Marietta, OH)")</f>
        <v>0</v>
      </c>
      <c r="C1205">
        <v>0.04328358208955201</v>
      </c>
      <c r="D1205">
        <v>0.152509676382207</v>
      </c>
      <c r="E1205">
        <v>-0.046238338080537</v>
      </c>
      <c r="F1205">
        <v>0.034995891110732</v>
      </c>
      <c r="G1205">
        <v>-0.011231504795314</v>
      </c>
      <c r="H1205">
        <v>0.05289716177184901</v>
      </c>
      <c r="I1205">
        <v>-0.001360806626163</v>
      </c>
    </row>
    <row r="1206" spans="1:9">
      <c r="A1206" s="1" t="s">
        <v>1218</v>
      </c>
      <c r="B1206">
        <f>HYPERLINK("https://www.suredividend.com/sure-analysis-PECO/","Phillips Edison &amp; Company Inc")</f>
        <v>0</v>
      </c>
      <c r="C1206">
        <v>0.04464359218619501</v>
      </c>
      <c r="D1206">
        <v>0.184388604801557</v>
      </c>
      <c r="E1206">
        <v>0.07746987147995101</v>
      </c>
      <c r="F1206">
        <v>0.144925014339758</v>
      </c>
      <c r="G1206">
        <v>0.121619829910283</v>
      </c>
      <c r="H1206">
        <v>0.364345014553525</v>
      </c>
      <c r="I1206">
        <v>0.361913194803801</v>
      </c>
    </row>
    <row r="1207" spans="1:9">
      <c r="A1207" s="1" t="s">
        <v>1219</v>
      </c>
      <c r="B1207">
        <f>HYPERLINK("https://www.suredividend.com/sure-analysis-research-database/","PepGen Inc")</f>
        <v>0</v>
      </c>
      <c r="C1207">
        <v>-0.372937293729372</v>
      </c>
      <c r="D1207">
        <v>-0.6143437077131251</v>
      </c>
      <c r="E1207">
        <v>-0.629388816644993</v>
      </c>
      <c r="F1207">
        <v>-0.573672400897531</v>
      </c>
      <c r="G1207">
        <v>-0.498239436619718</v>
      </c>
      <c r="H1207">
        <v>-0.557796741660201</v>
      </c>
      <c r="I1207">
        <v>-0.557796741660201</v>
      </c>
    </row>
    <row r="1208" spans="1:9">
      <c r="A1208" s="1" t="s">
        <v>1220</v>
      </c>
      <c r="B1208">
        <f>HYPERLINK("https://www.suredividend.com/sure-analysis-research-database/","PetIQ Inc")</f>
        <v>0</v>
      </c>
      <c r="C1208">
        <v>0.05431937172774801</v>
      </c>
      <c r="D1208">
        <v>0.3935986159169541</v>
      </c>
      <c r="E1208">
        <v>0.299193548387096</v>
      </c>
      <c r="F1208">
        <v>0.747288503253795</v>
      </c>
      <c r="G1208">
        <v>-0.07146974063400501</v>
      </c>
      <c r="H1208">
        <v>-0.5437553101104501</v>
      </c>
      <c r="I1208">
        <v>-0.41332847778587</v>
      </c>
    </row>
    <row r="1209" spans="1:9">
      <c r="A1209" s="1" t="s">
        <v>1221</v>
      </c>
      <c r="B1209">
        <f>HYPERLINK("https://www.suredividend.com/sure-analysis-PETS/","Petmed Express, Inc.")</f>
        <v>0</v>
      </c>
      <c r="C1209">
        <v>-0.03490909090909</v>
      </c>
      <c r="D1209">
        <v>-0.09727891156462501</v>
      </c>
      <c r="E1209">
        <v>-0.389663371983387</v>
      </c>
      <c r="F1209">
        <v>-0.238974594253598</v>
      </c>
      <c r="G1209">
        <v>-0.358639755635463</v>
      </c>
      <c r="H1209">
        <v>-0.5152210365575211</v>
      </c>
      <c r="I1209">
        <v>-0.571513908845799</v>
      </c>
    </row>
    <row r="1210" spans="1:9">
      <c r="A1210" s="1" t="s">
        <v>1222</v>
      </c>
      <c r="B1210">
        <f>HYPERLINK("https://www.suredividend.com/sure-analysis-research-database/","Preferred Bank (Los Angeles, CA)")</f>
        <v>0</v>
      </c>
      <c r="C1210">
        <v>0.217565523460453</v>
      </c>
      <c r="D1210">
        <v>0.495957987191543</v>
      </c>
      <c r="E1210">
        <v>-0.057603411033793</v>
      </c>
      <c r="F1210">
        <v>-0.058160057942072</v>
      </c>
      <c r="G1210">
        <v>-0.005991952349358</v>
      </c>
      <c r="H1210">
        <v>0.234251634733761</v>
      </c>
      <c r="I1210">
        <v>0.233321976777377</v>
      </c>
    </row>
    <row r="1211" spans="1:9">
      <c r="A1211" s="1" t="s">
        <v>1223</v>
      </c>
      <c r="B1211">
        <f>HYPERLINK("https://www.suredividend.com/sure-analysis-research-database/","Premier Financial Corp")</f>
        <v>0</v>
      </c>
      <c r="C1211">
        <v>0.334524610999603</v>
      </c>
      <c r="D1211">
        <v>0.4996075991430811</v>
      </c>
      <c r="E1211">
        <v>-0.09579615553499701</v>
      </c>
      <c r="F1211">
        <v>-0.145416231853693</v>
      </c>
      <c r="G1211">
        <v>-0.143960705334404</v>
      </c>
      <c r="H1211">
        <v>-0.08139665820679601</v>
      </c>
      <c r="I1211">
        <v>-0.292410341951626</v>
      </c>
    </row>
    <row r="1212" spans="1:9">
      <c r="A1212" s="1" t="s">
        <v>1224</v>
      </c>
      <c r="B1212">
        <f>HYPERLINK("https://www.suredividend.com/sure-analysis-research-database/","ProFrac Holding Corp")</f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>
      <c r="A1213" s="1" t="s">
        <v>1225</v>
      </c>
      <c r="B1213">
        <f>HYPERLINK("https://www.suredividend.com/sure-analysis-research-database/","Peoples Financial Services Corp")</f>
        <v>0</v>
      </c>
      <c r="C1213">
        <v>0.06492000927428601</v>
      </c>
      <c r="D1213">
        <v>0.237318362310953</v>
      </c>
      <c r="E1213">
        <v>-0.110506021949759</v>
      </c>
      <c r="F1213">
        <v>-0.086484626568519</v>
      </c>
      <c r="G1213">
        <v>-0.08671531685589801</v>
      </c>
      <c r="H1213">
        <v>0.136175297030805</v>
      </c>
      <c r="I1213">
        <v>0.201170572497823</v>
      </c>
    </row>
    <row r="1214" spans="1:9">
      <c r="A1214" s="1" t="s">
        <v>1226</v>
      </c>
      <c r="B1214">
        <f>HYPERLINK("https://www.suredividend.com/sure-analysis-research-database/","Provident Financial Services Inc")</f>
        <v>0</v>
      </c>
      <c r="C1214">
        <v>0.105294825511432</v>
      </c>
      <c r="D1214">
        <v>0.194851147694529</v>
      </c>
      <c r="E1214">
        <v>-0.223019270137208</v>
      </c>
      <c r="F1214">
        <v>-0.117531201060691</v>
      </c>
      <c r="G1214">
        <v>-0.195695196062978</v>
      </c>
      <c r="H1214">
        <v>-0.083877338307092</v>
      </c>
      <c r="I1214">
        <v>-0.089683743149089</v>
      </c>
    </row>
    <row r="1215" spans="1:9">
      <c r="A1215" s="1" t="s">
        <v>1227</v>
      </c>
      <c r="B1215">
        <f>HYPERLINK("https://www.suredividend.com/sure-analysis-research-database/","PennyMac Financial Services Inc.")</f>
        <v>0</v>
      </c>
      <c r="C1215">
        <v>0.05056259792052401</v>
      </c>
      <c r="D1215">
        <v>0.253958998124841</v>
      </c>
      <c r="E1215">
        <v>0.119852791585314</v>
      </c>
      <c r="F1215">
        <v>0.310184839797219</v>
      </c>
      <c r="G1215">
        <v>0.314129745369545</v>
      </c>
      <c r="H1215">
        <v>0.206324700217845</v>
      </c>
      <c r="I1215">
        <v>2.766666836888415</v>
      </c>
    </row>
    <row r="1216" spans="1:9">
      <c r="A1216" s="1" t="s">
        <v>1228</v>
      </c>
      <c r="B1216">
        <f>HYPERLINK("https://www.suredividend.com/sure-analysis-research-database/","PFSWEB Inc")</f>
        <v>0</v>
      </c>
      <c r="C1216">
        <v>0.001064962726304</v>
      </c>
      <c r="D1216">
        <v>0.175</v>
      </c>
      <c r="E1216">
        <v>-0.349030470914127</v>
      </c>
      <c r="F1216">
        <v>-0.235772357723577</v>
      </c>
      <c r="G1216">
        <v>-0.26452178267401</v>
      </c>
      <c r="H1216">
        <v>-0.313557960536885</v>
      </c>
      <c r="I1216">
        <v>-0.08549636144297</v>
      </c>
    </row>
    <row r="1217" spans="1:9">
      <c r="A1217" s="1" t="s">
        <v>1229</v>
      </c>
      <c r="B1217">
        <f>HYPERLINK("https://www.suredividend.com/sure-analysis-research-database/","Peapack-Gladstone Financial Corp.")</f>
        <v>0</v>
      </c>
      <c r="C1217">
        <v>0.06598240469208201</v>
      </c>
      <c r="D1217">
        <v>0.18555482171832</v>
      </c>
      <c r="E1217">
        <v>-0.24567064756114</v>
      </c>
      <c r="F1217">
        <v>-0.214461684747374</v>
      </c>
      <c r="G1217">
        <v>-0.133592937650273</v>
      </c>
      <c r="H1217">
        <v>-0.081856241672612</v>
      </c>
      <c r="I1217">
        <v>-0.07842571788037901</v>
      </c>
    </row>
    <row r="1218" spans="1:9">
      <c r="A1218" s="1" t="s">
        <v>1230</v>
      </c>
      <c r="B1218">
        <f>HYPERLINK("https://www.suredividend.com/sure-analysis-research-database/","Precigen Inc")</f>
        <v>0</v>
      </c>
      <c r="C1218">
        <v>-0.008849557522123</v>
      </c>
      <c r="D1218">
        <v>-0.08943089430894301</v>
      </c>
      <c r="E1218">
        <v>-0.3879781420765021</v>
      </c>
      <c r="F1218">
        <v>-0.263157894736842</v>
      </c>
      <c r="G1218">
        <v>-0.374301675977653</v>
      </c>
      <c r="H1218">
        <v>-0.7952468007312611</v>
      </c>
      <c r="I1218">
        <v>-0.9239130434782601</v>
      </c>
    </row>
    <row r="1219" spans="1:9">
      <c r="A1219" s="1" t="s">
        <v>1231</v>
      </c>
      <c r="B1219">
        <f>HYPERLINK("https://www.suredividend.com/sure-analysis-research-database/","Progyny Inc")</f>
        <v>0</v>
      </c>
      <c r="C1219">
        <v>0.048767833981841</v>
      </c>
      <c r="D1219">
        <v>0.185630498533724</v>
      </c>
      <c r="E1219">
        <v>0.136312535132096</v>
      </c>
      <c r="F1219">
        <v>0.297913322632423</v>
      </c>
      <c r="G1219">
        <v>0.242089093701997</v>
      </c>
      <c r="H1219">
        <v>-0.274407753050969</v>
      </c>
      <c r="I1219">
        <v>1.536386449184442</v>
      </c>
    </row>
    <row r="1220" spans="1:9">
      <c r="A1220" s="1" t="s">
        <v>1232</v>
      </c>
      <c r="B1220">
        <f>HYPERLINK("https://www.suredividend.com/sure-analysis-PGRE/","Paramount Group Inc")</f>
        <v>0</v>
      </c>
      <c r="C1220">
        <v>0.068432671081677</v>
      </c>
      <c r="D1220">
        <v>0.103460854498198</v>
      </c>
      <c r="E1220">
        <v>-0.230463470864138</v>
      </c>
      <c r="F1220">
        <v>-0.164393494699768</v>
      </c>
      <c r="G1220">
        <v>-0.32639314145744</v>
      </c>
      <c r="H1220">
        <v>-0.433182260010071</v>
      </c>
      <c r="I1220">
        <v>-0.6200345423143351</v>
      </c>
    </row>
    <row r="1221" spans="1:9">
      <c r="A1221" s="1" t="s">
        <v>1233</v>
      </c>
      <c r="B1221">
        <f>HYPERLINK("https://www.suredividend.com/sure-analysis-research-database/","PGT Innovations Inc")</f>
        <v>0</v>
      </c>
      <c r="C1221">
        <v>-0.106616386698663</v>
      </c>
      <c r="D1221">
        <v>0.023164507263447</v>
      </c>
      <c r="E1221">
        <v>0.173873873873873</v>
      </c>
      <c r="F1221">
        <v>0.451002227171492</v>
      </c>
      <c r="G1221">
        <v>0.19486474094452</v>
      </c>
      <c r="H1221">
        <v>0.163392857142857</v>
      </c>
      <c r="I1221">
        <v>0.07908902691511301</v>
      </c>
    </row>
    <row r="1222" spans="1:9">
      <c r="A1222" s="1" t="s">
        <v>1234</v>
      </c>
      <c r="B1222">
        <f>HYPERLINK("https://www.suredividend.com/sure-analysis-research-database/","Phathom Pharmaceuticals Inc")</f>
        <v>0</v>
      </c>
      <c r="C1222">
        <v>0.09241172051089301</v>
      </c>
      <c r="D1222">
        <v>0.251290877796901</v>
      </c>
      <c r="E1222">
        <v>0.21470342522974</v>
      </c>
      <c r="F1222">
        <v>0.295900178253119</v>
      </c>
      <c r="G1222">
        <v>1.077142857142857</v>
      </c>
      <c r="H1222">
        <v>-0.55453431372549</v>
      </c>
      <c r="I1222">
        <v>-0.408943089430894</v>
      </c>
    </row>
    <row r="1223" spans="1:9">
      <c r="A1223" s="1" t="s">
        <v>1235</v>
      </c>
      <c r="B1223">
        <f>HYPERLINK("https://www.suredividend.com/sure-analysis-research-database/","Phreesia Inc")</f>
        <v>0</v>
      </c>
      <c r="C1223">
        <v>-0.03172504957039</v>
      </c>
      <c r="D1223">
        <v>-0.0624</v>
      </c>
      <c r="E1223">
        <v>-0.226300501716398</v>
      </c>
      <c r="F1223">
        <v>-0.09456118665018501</v>
      </c>
      <c r="G1223">
        <v>0.143637782982045</v>
      </c>
      <c r="H1223">
        <v>-0.5670164031328501</v>
      </c>
      <c r="I1223">
        <v>0.168261562998405</v>
      </c>
    </row>
    <row r="1224" spans="1:9">
      <c r="A1224" s="1" t="s">
        <v>1236</v>
      </c>
      <c r="B1224">
        <f>HYPERLINK("https://www.suredividend.com/sure-analysis-research-database/","Impinj Inc")</f>
        <v>0</v>
      </c>
      <c r="C1224">
        <v>-0.322566420460809</v>
      </c>
      <c r="D1224">
        <v>-0.299475604195166</v>
      </c>
      <c r="E1224">
        <v>-0.5084000000000001</v>
      </c>
      <c r="F1224">
        <v>-0.437167979483421</v>
      </c>
      <c r="G1224">
        <v>-0.333369494467346</v>
      </c>
      <c r="H1224">
        <v>0.306335034013605</v>
      </c>
      <c r="I1224">
        <v>2.239325250395361</v>
      </c>
    </row>
    <row r="1225" spans="1:9">
      <c r="A1225" s="1" t="s">
        <v>1237</v>
      </c>
      <c r="B1225">
        <f>HYPERLINK("https://www.suredividend.com/sure-analysis-research-database/","P3 Health Partners Inc")</f>
        <v>0</v>
      </c>
      <c r="C1225">
        <v>-0.278797996661101</v>
      </c>
      <c r="D1225">
        <v>0.004651162790697</v>
      </c>
      <c r="E1225">
        <v>0.6875</v>
      </c>
      <c r="F1225">
        <v>0.17391304347826</v>
      </c>
      <c r="G1225">
        <v>-0.591682419659735</v>
      </c>
      <c r="H1225">
        <v>-0.781155015197568</v>
      </c>
      <c r="I1225">
        <v>-0.776875639158325</v>
      </c>
    </row>
    <row r="1226" spans="1:9">
      <c r="A1226" s="1" t="s">
        <v>1238</v>
      </c>
      <c r="B1226">
        <f>HYPERLINK("https://www.suredividend.com/sure-analysis-research-database/","Piper Sandler Co`s")</f>
        <v>0</v>
      </c>
      <c r="C1226">
        <v>0.135637083269904</v>
      </c>
      <c r="D1226">
        <v>0.19096273212598</v>
      </c>
      <c r="E1226">
        <v>-0.027642456571396</v>
      </c>
      <c r="F1226">
        <v>0.156089071548895</v>
      </c>
      <c r="G1226">
        <v>0.219802329887855</v>
      </c>
      <c r="H1226">
        <v>0.243270133768199</v>
      </c>
      <c r="I1226">
        <v>1.024706302237626</v>
      </c>
    </row>
    <row r="1227" spans="1:9">
      <c r="A1227" s="1" t="s">
        <v>1239</v>
      </c>
      <c r="B1227">
        <f>HYPERLINK("https://www.suredividend.com/sure-analysis-research-database/","PJT Partners Inc")</f>
        <v>0</v>
      </c>
      <c r="C1227">
        <v>0.149402390438247</v>
      </c>
      <c r="D1227">
        <v>0.313869800349692</v>
      </c>
      <c r="E1227">
        <v>0.018061197097807</v>
      </c>
      <c r="F1227">
        <v>0.103855020299289</v>
      </c>
      <c r="G1227">
        <v>0.132859228427221</v>
      </c>
      <c r="H1227">
        <v>0.123467366875097</v>
      </c>
      <c r="I1227">
        <v>0.5103130562244791</v>
      </c>
    </row>
    <row r="1228" spans="1:9">
      <c r="A1228" s="1" t="s">
        <v>1240</v>
      </c>
      <c r="B1228">
        <f>HYPERLINK("https://www.suredividend.com/sure-analysis-research-database/","Parke Bancorp Inc")</f>
        <v>0</v>
      </c>
      <c r="C1228">
        <v>0.130467012601927</v>
      </c>
      <c r="D1228">
        <v>0.202222617806372</v>
      </c>
      <c r="E1228">
        <v>-0.050020848299733</v>
      </c>
      <c r="F1228">
        <v>-0.049103663289166</v>
      </c>
      <c r="G1228">
        <v>-0.123433212193132</v>
      </c>
      <c r="H1228">
        <v>0.019676356557796</v>
      </c>
      <c r="I1228">
        <v>0.06541213589498</v>
      </c>
    </row>
    <row r="1229" spans="1:9">
      <c r="A1229" s="1" t="s">
        <v>1241</v>
      </c>
      <c r="B1229">
        <f>HYPERLINK("https://www.suredividend.com/sure-analysis-research-database/","Park Aerospace Corp")</f>
        <v>0</v>
      </c>
      <c r="C1229">
        <v>0.07848837209302301</v>
      </c>
      <c r="D1229">
        <v>0.152692982864954</v>
      </c>
      <c r="E1229">
        <v>0.132763898112314</v>
      </c>
      <c r="F1229">
        <v>0.207947709864634</v>
      </c>
      <c r="G1229">
        <v>0.336190596243539</v>
      </c>
      <c r="H1229">
        <v>0.111943653529147</v>
      </c>
      <c r="I1229">
        <v>0.06667433368793201</v>
      </c>
    </row>
    <row r="1230" spans="1:9">
      <c r="A1230" s="1" t="s">
        <v>1242</v>
      </c>
      <c r="B1230">
        <f>HYPERLINK("https://www.suredividend.com/sure-analysis-research-database/","Planet Labs PBC")</f>
        <v>0</v>
      </c>
      <c r="C1230">
        <v>0.061728395061728</v>
      </c>
      <c r="D1230">
        <v>-0.124681933842239</v>
      </c>
      <c r="E1230">
        <v>-0.306451612903225</v>
      </c>
      <c r="F1230">
        <v>-0.20919540229885</v>
      </c>
      <c r="G1230">
        <v>-0.409948542024013</v>
      </c>
      <c r="H1230">
        <v>-0.6518218623481781</v>
      </c>
      <c r="I1230">
        <v>-0.6525252525252521</v>
      </c>
    </row>
    <row r="1231" spans="1:9">
      <c r="A1231" s="1" t="s">
        <v>1243</v>
      </c>
      <c r="B1231">
        <f>HYPERLINK("https://www.suredividend.com/sure-analysis-research-database/","Photronics, Inc.")</f>
        <v>0</v>
      </c>
      <c r="C1231">
        <v>-0.006872852233676001</v>
      </c>
      <c r="D1231">
        <v>0.8</v>
      </c>
      <c r="E1231">
        <v>0.3546875</v>
      </c>
      <c r="F1231">
        <v>0.5454545454545451</v>
      </c>
      <c r="G1231">
        <v>0.064674580433892</v>
      </c>
      <c r="H1231">
        <v>0.9252405625462621</v>
      </c>
      <c r="I1231">
        <v>1.858241758241758</v>
      </c>
    </row>
    <row r="1232" spans="1:9">
      <c r="A1232" s="1" t="s">
        <v>1244</v>
      </c>
      <c r="B1232">
        <f>HYPERLINK("https://www.suredividend.com/sure-analysis-research-database/","Dave &amp; Buster`s Entertainment Inc")</f>
        <v>0</v>
      </c>
      <c r="C1232">
        <v>-0.039470733348284</v>
      </c>
      <c r="D1232">
        <v>0.176325185388629</v>
      </c>
      <c r="E1232">
        <v>-0.042048758666964</v>
      </c>
      <c r="F1232">
        <v>0.208521444695259</v>
      </c>
      <c r="G1232">
        <v>0.07478042659974801</v>
      </c>
      <c r="H1232">
        <v>0.304202192448233</v>
      </c>
      <c r="I1232">
        <v>-0.116227531689319</v>
      </c>
    </row>
    <row r="1233" spans="1:9">
      <c r="A1233" s="1" t="s">
        <v>1245</v>
      </c>
      <c r="B1233">
        <f>HYPERLINK("https://www.suredividend.com/sure-analysis-research-database/","PLBY Group Inc")</f>
        <v>0</v>
      </c>
      <c r="C1233">
        <v>-0.032967032967032</v>
      </c>
      <c r="D1233">
        <v>-0.022222222222222</v>
      </c>
      <c r="E1233">
        <v>-0.4517133956386291</v>
      </c>
      <c r="F1233">
        <v>-0.36</v>
      </c>
      <c r="G1233">
        <v>-0.747851002865329</v>
      </c>
      <c r="H1233">
        <v>-0.9378969654199011</v>
      </c>
      <c r="I1233">
        <v>-0.8218623481781371</v>
      </c>
    </row>
    <row r="1234" spans="1:9">
      <c r="A1234" s="1" t="s">
        <v>1246</v>
      </c>
      <c r="B1234">
        <f>HYPERLINK("https://www.suredividend.com/sure-analysis-research-database/","Childrens Place Inc")</f>
        <v>0</v>
      </c>
      <c r="C1234">
        <v>0.265040650406504</v>
      </c>
      <c r="D1234">
        <v>0.176114890400604</v>
      </c>
      <c r="E1234">
        <v>-0.3330475782254601</v>
      </c>
      <c r="F1234">
        <v>-0.14552443712246</v>
      </c>
      <c r="G1234">
        <v>-0.352880016635475</v>
      </c>
      <c r="H1234">
        <v>-0.6437321121923291</v>
      </c>
      <c r="I1234">
        <v>-0.7415756742325531</v>
      </c>
    </row>
    <row r="1235" spans="1:9">
      <c r="A1235" s="1" t="s">
        <v>1247</v>
      </c>
      <c r="B1235">
        <f>HYPERLINK("https://www.suredividend.com/sure-analysis-research-database/","Piedmont Lithium Inc")</f>
        <v>0</v>
      </c>
      <c r="C1235">
        <v>-0.111896551724137</v>
      </c>
      <c r="D1235">
        <v>-0.032857679309049</v>
      </c>
      <c r="E1235">
        <v>-0.247699722506207</v>
      </c>
      <c r="F1235">
        <v>0.170149931849159</v>
      </c>
      <c r="G1235">
        <v>0.1318391562294</v>
      </c>
      <c r="H1235">
        <v>-0.072393300918422</v>
      </c>
      <c r="I1235">
        <v>-0.213107241063244</v>
      </c>
    </row>
    <row r="1236" spans="1:9">
      <c r="A1236" s="1" t="s">
        <v>1248</v>
      </c>
      <c r="B1236">
        <f>HYPERLINK("https://www.suredividend.com/sure-analysis-research-database/","Polymet Mining Corp")</f>
        <v>0</v>
      </c>
      <c r="C1236">
        <v>0.04</v>
      </c>
      <c r="D1236">
        <v>0.253012048192771</v>
      </c>
      <c r="E1236">
        <v>-0.203065134099616</v>
      </c>
      <c r="F1236">
        <v>-0.215094339622641</v>
      </c>
      <c r="G1236">
        <v>-0.26241134751773</v>
      </c>
      <c r="H1236">
        <v>-0.329032258064516</v>
      </c>
      <c r="I1236">
        <v>-0.7207303974221261</v>
      </c>
    </row>
    <row r="1237" spans="1:9">
      <c r="A1237" s="1" t="s">
        <v>1249</v>
      </c>
      <c r="B1237">
        <f>HYPERLINK("https://www.suredividend.com/sure-analysis-research-database/","Palomar Holdings Inc")</f>
        <v>0</v>
      </c>
      <c r="C1237">
        <v>-0.009941720946177001</v>
      </c>
      <c r="D1237">
        <v>0.163812210356639</v>
      </c>
      <c r="E1237">
        <v>0.078416728902165</v>
      </c>
      <c r="F1237">
        <v>0.279007971656333</v>
      </c>
      <c r="G1237">
        <v>-0.131036557845644</v>
      </c>
      <c r="H1237">
        <v>-0.28576728082107</v>
      </c>
      <c r="I1237">
        <v>2.041600842548709</v>
      </c>
    </row>
    <row r="1238" spans="1:9">
      <c r="A1238" s="1" t="s">
        <v>1250</v>
      </c>
      <c r="B1238">
        <f>HYPERLINK("https://www.suredividend.com/sure-analysis-research-database/","Douglas Dynamics Inc")</f>
        <v>0</v>
      </c>
      <c r="C1238">
        <v>0.08025099075297201</v>
      </c>
      <c r="D1238">
        <v>0.252992664381069</v>
      </c>
      <c r="E1238">
        <v>-0.191251372227112</v>
      </c>
      <c r="F1238">
        <v>-0.07807994859119001</v>
      </c>
      <c r="G1238">
        <v>0.087961577095265</v>
      </c>
      <c r="H1238">
        <v>-0.08782380024149901</v>
      </c>
      <c r="I1238">
        <v>-0.18864550183181</v>
      </c>
    </row>
    <row r="1239" spans="1:9">
      <c r="A1239" s="1" t="s">
        <v>1251</v>
      </c>
      <c r="B1239">
        <f>HYPERLINK("https://www.suredividend.com/sure-analysis-research-database/","Preformed Line Products Co.")</f>
        <v>0</v>
      </c>
      <c r="C1239">
        <v>0.027621195039458</v>
      </c>
      <c r="D1239">
        <v>0.315836960366095</v>
      </c>
      <c r="E1239">
        <v>0.8084619751222121</v>
      </c>
      <c r="F1239">
        <v>0.982913131073857</v>
      </c>
      <c r="G1239">
        <v>1.772033331305881</v>
      </c>
      <c r="H1239">
        <v>1.415614703050326</v>
      </c>
      <c r="I1239">
        <v>1.088108586228181</v>
      </c>
    </row>
    <row r="1240" spans="1:9">
      <c r="A1240" s="1" t="s">
        <v>1252</v>
      </c>
      <c r="B1240">
        <f>HYPERLINK("https://www.suredividend.com/sure-analysis-research-database/","ePlus Inc")</f>
        <v>0</v>
      </c>
      <c r="C1240">
        <v>0.044246208742194</v>
      </c>
      <c r="D1240">
        <v>0.367842953961206</v>
      </c>
      <c r="E1240">
        <v>0.08933556672250101</v>
      </c>
      <c r="F1240">
        <v>0.321815718157181</v>
      </c>
      <c r="G1240">
        <v>0.043687589158345</v>
      </c>
      <c r="H1240">
        <v>0.264010366051182</v>
      </c>
      <c r="I1240">
        <v>0.157291151754819</v>
      </c>
    </row>
    <row r="1241" spans="1:9">
      <c r="A1241" s="1" t="s">
        <v>1253</v>
      </c>
      <c r="B1241">
        <f>HYPERLINK("https://www.suredividend.com/sure-analysis-research-database/","Plexus Corp.")</f>
        <v>0</v>
      </c>
      <c r="C1241">
        <v>-0.004888979425545</v>
      </c>
      <c r="D1241">
        <v>0.121827994029165</v>
      </c>
      <c r="E1241">
        <v>-0.027570419030556</v>
      </c>
      <c r="F1241">
        <v>-0.050811230933644</v>
      </c>
      <c r="G1241">
        <v>0.040468583599573</v>
      </c>
      <c r="H1241">
        <v>0.09394244765423801</v>
      </c>
      <c r="I1241">
        <v>0.617014233697451</v>
      </c>
    </row>
    <row r="1242" spans="1:9">
      <c r="A1242" s="1" t="s">
        <v>1254</v>
      </c>
      <c r="B1242">
        <f>HYPERLINK("https://www.suredividend.com/sure-analysis-PLYM/","Plymouth Industrial Reit Inc")</f>
        <v>0</v>
      </c>
      <c r="C1242">
        <v>-0.04102564102564001</v>
      </c>
      <c r="D1242">
        <v>0.131441882509542</v>
      </c>
      <c r="E1242">
        <v>0.007746716066015001</v>
      </c>
      <c r="F1242">
        <v>0.194792748183052</v>
      </c>
      <c r="G1242">
        <v>0.148525189245627</v>
      </c>
      <c r="H1242">
        <v>0.080414833074945</v>
      </c>
      <c r="I1242">
        <v>1.087849719480085</v>
      </c>
    </row>
    <row r="1243" spans="1:9">
      <c r="A1243" s="1" t="s">
        <v>1255</v>
      </c>
      <c r="B1243">
        <f>HYPERLINK("https://www.suredividend.com/sure-analysis-PMT/","Pennymac Mortgage Investment Trust")</f>
        <v>0</v>
      </c>
      <c r="C1243">
        <v>-0.05972860348327801</v>
      </c>
      <c r="D1243">
        <v>0.08134676824772601</v>
      </c>
      <c r="E1243">
        <v>-0.122100687640289</v>
      </c>
      <c r="F1243">
        <v>0.05787394813669901</v>
      </c>
      <c r="G1243">
        <v>-0.06820553933655001</v>
      </c>
      <c r="H1243">
        <v>-0.200638451107232</v>
      </c>
      <c r="I1243">
        <v>0.050468532839931</v>
      </c>
    </row>
    <row r="1244" spans="1:9">
      <c r="A1244" s="1" t="s">
        <v>1256</v>
      </c>
      <c r="B1244">
        <f>HYPERLINK("https://www.suredividend.com/sure-analysis-research-database/","PMV Pharmaceuticals Inc")</f>
        <v>0</v>
      </c>
      <c r="C1244">
        <v>0.041533546325878</v>
      </c>
      <c r="D1244">
        <v>0.352697095435684</v>
      </c>
      <c r="E1244">
        <v>-0.208737864077669</v>
      </c>
      <c r="F1244">
        <v>-0.250574712643678</v>
      </c>
      <c r="G1244">
        <v>-0.564462257849031</v>
      </c>
      <c r="H1244">
        <v>-0.8088537085898561</v>
      </c>
      <c r="I1244">
        <v>-0.8261796854172221</v>
      </c>
    </row>
    <row r="1245" spans="1:9">
      <c r="A1245" s="1" t="s">
        <v>1257</v>
      </c>
      <c r="B1245">
        <f>HYPERLINK("https://www.suredividend.com/sure-analysis-PNM/","PNM Resources Inc")</f>
        <v>0</v>
      </c>
      <c r="C1245">
        <v>-0.018510356985456</v>
      </c>
      <c r="D1245">
        <v>-0.072276609039783</v>
      </c>
      <c r="E1245">
        <v>-0.08447534106068401</v>
      </c>
      <c r="F1245">
        <v>-0.07324370943880601</v>
      </c>
      <c r="G1245">
        <v>-0.053721589339814</v>
      </c>
      <c r="H1245">
        <v>-0.022411662580578</v>
      </c>
      <c r="I1245">
        <v>0.280179351575074</v>
      </c>
    </row>
    <row r="1246" spans="1:9">
      <c r="A1246" s="1" t="s">
        <v>1258</v>
      </c>
      <c r="B1246">
        <f>HYPERLINK("https://www.suredividend.com/sure-analysis-research-database/","POINT Biopharma Global Inc")</f>
        <v>0</v>
      </c>
      <c r="C1246">
        <v>-0.06521739130434701</v>
      </c>
      <c r="D1246">
        <v>0.08998732572877001</v>
      </c>
      <c r="E1246">
        <v>0.08312342569269501</v>
      </c>
      <c r="F1246">
        <v>0.179698216735253</v>
      </c>
      <c r="G1246">
        <v>0.109677419354838</v>
      </c>
      <c r="H1246">
        <v>-0.017142857142857</v>
      </c>
      <c r="I1246">
        <v>-0.284525790349417</v>
      </c>
    </row>
    <row r="1247" spans="1:9">
      <c r="A1247" s="1" t="s">
        <v>1259</v>
      </c>
      <c r="B1247">
        <f>HYPERLINK("https://www.suredividend.com/sure-analysis-research-database/","Pennant Group Inc")</f>
        <v>0</v>
      </c>
      <c r="C1247">
        <v>-0.080291970802919</v>
      </c>
      <c r="D1247">
        <v>-0.14800901577761</v>
      </c>
      <c r="E1247">
        <v>-0.11128526645768</v>
      </c>
      <c r="F1247">
        <v>0.032786885245901</v>
      </c>
      <c r="G1247">
        <v>-0.249503639973527</v>
      </c>
      <c r="H1247">
        <v>-0.661492537313432</v>
      </c>
      <c r="I1247">
        <v>-0.248508946322067</v>
      </c>
    </row>
    <row r="1248" spans="1:9">
      <c r="A1248" s="1" t="s">
        <v>1260</v>
      </c>
      <c r="B1248">
        <f>HYPERLINK("https://www.suredividend.com/sure-analysis-POR/","Portland General Electric Co")</f>
        <v>0</v>
      </c>
      <c r="C1248">
        <v>-0.007418397626112001</v>
      </c>
      <c r="D1248">
        <v>-0.05371763888103</v>
      </c>
      <c r="E1248">
        <v>-0.012587766462141</v>
      </c>
      <c r="F1248">
        <v>-0.024880843062661</v>
      </c>
      <c r="G1248">
        <v>-0.07122769300336701</v>
      </c>
      <c r="H1248">
        <v>0.003428326548103</v>
      </c>
      <c r="I1248">
        <v>0.222619638148448</v>
      </c>
    </row>
    <row r="1249" spans="1:9">
      <c r="A1249" s="1" t="s">
        <v>1261</v>
      </c>
      <c r="B1249">
        <f>HYPERLINK("https://www.suredividend.com/sure-analysis-research-database/","Power Integrations Inc.")</f>
        <v>0</v>
      </c>
      <c r="C1249">
        <v>-0.050527426160337</v>
      </c>
      <c r="D1249">
        <v>0.204953145917001</v>
      </c>
      <c r="E1249">
        <v>0.007682163096509001</v>
      </c>
      <c r="F1249">
        <v>0.257917009061586</v>
      </c>
      <c r="G1249">
        <v>0.07828562050240101</v>
      </c>
      <c r="H1249">
        <v>-0.061233131451349</v>
      </c>
      <c r="I1249">
        <v>1.631509704806649</v>
      </c>
    </row>
    <row r="1250" spans="1:9">
      <c r="A1250" s="1" t="s">
        <v>1262</v>
      </c>
      <c r="B1250">
        <f>HYPERLINK("https://www.suredividend.com/sure-analysis-research-database/","Powell Industries, Inc.")</f>
        <v>0</v>
      </c>
      <c r="C1250">
        <v>0.354235062376887</v>
      </c>
      <c r="D1250">
        <v>0.6957339444826981</v>
      </c>
      <c r="E1250">
        <v>0.8282224359457341</v>
      </c>
      <c r="F1250">
        <v>1.381158541865096</v>
      </c>
      <c r="G1250">
        <v>2.293662992402617</v>
      </c>
      <c r="H1250">
        <v>2.075672733508802</v>
      </c>
      <c r="I1250">
        <v>1.585712449970382</v>
      </c>
    </row>
    <row r="1251" spans="1:9">
      <c r="A1251" s="1" t="s">
        <v>1263</v>
      </c>
      <c r="B1251">
        <f>HYPERLINK("https://www.suredividend.com/sure-analysis-research-database/","AMMO Inc")</f>
        <v>0</v>
      </c>
      <c r="C1251">
        <v>0.009615384615384</v>
      </c>
      <c r="D1251">
        <v>0.111111111111111</v>
      </c>
      <c r="E1251">
        <v>-0.132231404958677</v>
      </c>
      <c r="F1251">
        <v>0.213872832369942</v>
      </c>
      <c r="G1251">
        <v>-0.6153846153846151</v>
      </c>
      <c r="H1251">
        <v>-0.7021276595744681</v>
      </c>
      <c r="I1251">
        <v>94.45454545454548</v>
      </c>
    </row>
    <row r="1252" spans="1:9">
      <c r="A1252" s="1" t="s">
        <v>1264</v>
      </c>
      <c r="B1252">
        <f>HYPERLINK("https://www.suredividend.com/sure-analysis-research-database/","Pacific Premier Bancorp, Inc.")</f>
        <v>0</v>
      </c>
      <c r="C1252">
        <v>0.200945626477541</v>
      </c>
      <c r="D1252">
        <v>0.381102816036017</v>
      </c>
      <c r="E1252">
        <v>-0.253680910391758</v>
      </c>
      <c r="F1252">
        <v>-0.157218555791136</v>
      </c>
      <c r="G1252">
        <v>-0.204972987861753</v>
      </c>
      <c r="H1252">
        <v>-0.27240644407269</v>
      </c>
      <c r="I1252">
        <v>-0.171172464652463</v>
      </c>
    </row>
    <row r="1253" spans="1:9">
      <c r="A1253" s="1" t="s">
        <v>1265</v>
      </c>
      <c r="B1253">
        <f>HYPERLINK("https://www.suredividend.com/sure-analysis-research-database/","Permian Resources Corp")</f>
        <v>0</v>
      </c>
      <c r="C1253">
        <v>0.06623735050597901</v>
      </c>
      <c r="D1253">
        <v>0.207392282690224</v>
      </c>
      <c r="E1253">
        <v>0.148252357929777</v>
      </c>
      <c r="F1253">
        <v>0.24475088872421</v>
      </c>
      <c r="G1253">
        <v>0.8455414012738851</v>
      </c>
      <c r="H1253">
        <v>1.322645290581162</v>
      </c>
      <c r="I1253">
        <v>-0.343714609286523</v>
      </c>
    </row>
    <row r="1254" spans="1:9">
      <c r="A1254" s="1" t="s">
        <v>1266</v>
      </c>
      <c r="B1254">
        <f>HYPERLINK("https://www.suredividend.com/sure-analysis-research-database/","Proassurance Corporation")</f>
        <v>0</v>
      </c>
      <c r="C1254">
        <v>0.079999999999999</v>
      </c>
      <c r="D1254">
        <v>-0.07870115575123801</v>
      </c>
      <c r="E1254">
        <v>-0.158950345915583</v>
      </c>
      <c r="F1254">
        <v>-0.039074204825294</v>
      </c>
      <c r="G1254">
        <v>-0.214239445743093</v>
      </c>
      <c r="H1254">
        <v>-0.170802746158647</v>
      </c>
      <c r="I1254">
        <v>-0.5601092106404171</v>
      </c>
    </row>
    <row r="1255" spans="1:9">
      <c r="A1255" s="1" t="s">
        <v>1267</v>
      </c>
      <c r="B1255">
        <f>HYPERLINK("https://www.suredividend.com/sure-analysis-research-database/","PRA Group Inc")</f>
        <v>0</v>
      </c>
      <c r="C1255">
        <v>-0.07149009474590801</v>
      </c>
      <c r="D1255">
        <v>-0.377957299480669</v>
      </c>
      <c r="E1255">
        <v>-0.477966101694915</v>
      </c>
      <c r="F1255">
        <v>-0.361752516281823</v>
      </c>
      <c r="G1255">
        <v>-0.448875255623721</v>
      </c>
      <c r="H1255">
        <v>-0.4522357723577231</v>
      </c>
      <c r="I1255">
        <v>-0.442894056847545</v>
      </c>
    </row>
    <row r="1256" spans="1:9">
      <c r="A1256" s="1" t="s">
        <v>1268</v>
      </c>
      <c r="B1256">
        <f>HYPERLINK("https://www.suredividend.com/sure-analysis-research-database/","Praxis Precision Medicines Inc")</f>
        <v>0</v>
      </c>
      <c r="C1256">
        <v>-0.145739130434782</v>
      </c>
      <c r="D1256">
        <v>-0.055384615384615</v>
      </c>
      <c r="E1256">
        <v>-0.788275862068965</v>
      </c>
      <c r="F1256">
        <v>-0.5872268907563021</v>
      </c>
      <c r="G1256">
        <v>-0.6949068322981361</v>
      </c>
      <c r="H1256">
        <v>-0.933711201079622</v>
      </c>
      <c r="I1256">
        <v>-0.9646618705035971</v>
      </c>
    </row>
    <row r="1257" spans="1:9">
      <c r="A1257" s="1" t="s">
        <v>1269</v>
      </c>
      <c r="B1257">
        <f>HYPERLINK("https://www.suredividend.com/sure-analysis-research-database/","Porch Group Inc")</f>
        <v>0</v>
      </c>
      <c r="C1257">
        <v>-0.13103448275862</v>
      </c>
      <c r="D1257">
        <v>0.484973482616381</v>
      </c>
      <c r="E1257">
        <v>-0.650969529085872</v>
      </c>
      <c r="F1257">
        <v>-0.329787234042553</v>
      </c>
      <c r="G1257">
        <v>-0.307692307692307</v>
      </c>
      <c r="H1257">
        <v>-0.9319286871961101</v>
      </c>
      <c r="I1257">
        <v>-0.872727272727272</v>
      </c>
    </row>
    <row r="1258" spans="1:9">
      <c r="A1258" s="1" t="s">
        <v>1270</v>
      </c>
      <c r="B1258">
        <f>HYPERLINK("https://www.suredividend.com/sure-analysis-research-database/","Procept BioRobotics Corp")</f>
        <v>0</v>
      </c>
      <c r="C1258">
        <v>-0.006768189509306</v>
      </c>
      <c r="D1258">
        <v>0.209478021978021</v>
      </c>
      <c r="E1258">
        <v>-0.09923273657289</v>
      </c>
      <c r="F1258">
        <v>-0.15214251324025</v>
      </c>
      <c r="G1258">
        <v>-0.125837676842889</v>
      </c>
      <c r="H1258">
        <v>-0.160228898426323</v>
      </c>
      <c r="I1258">
        <v>-0.160228898426323</v>
      </c>
    </row>
    <row r="1259" spans="1:9">
      <c r="A1259" s="1" t="s">
        <v>1271</v>
      </c>
      <c r="B1259">
        <f>HYPERLINK("https://www.suredividend.com/sure-analysis-research-database/","Perdoceo Education Corporation")</f>
        <v>0</v>
      </c>
      <c r="C1259">
        <v>0.152066115702479</v>
      </c>
      <c r="D1259">
        <v>0.120578778135048</v>
      </c>
      <c r="E1259">
        <v>-0.107554417413572</v>
      </c>
      <c r="F1259">
        <v>0.002877697841726</v>
      </c>
      <c r="G1259">
        <v>0.024246877296105</v>
      </c>
      <c r="H1259">
        <v>0.156846473029045</v>
      </c>
      <c r="I1259">
        <v>-0.17612293144208</v>
      </c>
    </row>
    <row r="1260" spans="1:9">
      <c r="A1260" s="1" t="s">
        <v>1272</v>
      </c>
      <c r="B1260">
        <f>HYPERLINK("https://www.suredividend.com/sure-analysis-research-database/","Pardes Biosciences Inc")</f>
        <v>0</v>
      </c>
      <c r="C1260">
        <v>0.151351351351351</v>
      </c>
      <c r="D1260">
        <v>0.121052631578947</v>
      </c>
      <c r="E1260">
        <v>0.112271540469973</v>
      </c>
      <c r="F1260">
        <v>0.260355029585798</v>
      </c>
      <c r="G1260">
        <v>-0.216911764705882</v>
      </c>
      <c r="H1260">
        <v>-0.799435028248587</v>
      </c>
      <c r="I1260">
        <v>-0.799435028248587</v>
      </c>
    </row>
    <row r="1261" spans="1:9">
      <c r="A1261" s="1" t="s">
        <v>1273</v>
      </c>
      <c r="B1261">
        <f>HYPERLINK("https://www.suredividend.com/sure-analysis-research-database/","Perficient Inc.")</f>
        <v>0</v>
      </c>
      <c r="C1261">
        <v>-0.302678784979669</v>
      </c>
      <c r="D1261">
        <v>-0.217525496511003</v>
      </c>
      <c r="E1261">
        <v>-0.280123456790123</v>
      </c>
      <c r="F1261">
        <v>-0.164972075039381</v>
      </c>
      <c r="G1261">
        <v>-0.4671966374269</v>
      </c>
      <c r="H1261">
        <v>-0.405</v>
      </c>
      <c r="I1261">
        <v>1.201208003020007</v>
      </c>
    </row>
    <row r="1262" spans="1:9">
      <c r="A1262" s="1" t="s">
        <v>1274</v>
      </c>
      <c r="B1262">
        <f>HYPERLINK("https://www.suredividend.com/sure-analysis-research-database/","PROG Holdings Inc")</f>
        <v>0</v>
      </c>
      <c r="C1262">
        <v>0.159686652606206</v>
      </c>
      <c r="D1262">
        <v>0.342986741102582</v>
      </c>
      <c r="E1262">
        <v>0.577459016393442</v>
      </c>
      <c r="F1262">
        <v>1.27886323268206</v>
      </c>
      <c r="G1262">
        <v>0.9478744939271251</v>
      </c>
      <c r="H1262">
        <v>-0.09880590025755001</v>
      </c>
      <c r="I1262">
        <v>-0.345014949450945</v>
      </c>
    </row>
    <row r="1263" spans="1:9">
      <c r="A1263" s="1" t="s">
        <v>1275</v>
      </c>
      <c r="B1263">
        <f>HYPERLINK("https://www.suredividend.com/sure-analysis-research-database/","Progress Software Corp.")</f>
        <v>0</v>
      </c>
      <c r="C1263">
        <v>0.028997795489231</v>
      </c>
      <c r="D1263">
        <v>0.1389359170236</v>
      </c>
      <c r="E1263">
        <v>0.08361593422586901</v>
      </c>
      <c r="F1263">
        <v>0.21721512893293</v>
      </c>
      <c r="G1263">
        <v>0.289080839474595</v>
      </c>
      <c r="H1263">
        <v>0.360105078652088</v>
      </c>
      <c r="I1263">
        <v>0.7436430876390411</v>
      </c>
    </row>
    <row r="1264" spans="1:9">
      <c r="A1264" s="1" t="s">
        <v>1276</v>
      </c>
      <c r="B1264">
        <f>HYPERLINK("https://www.suredividend.com/sure-analysis-research-database/","Primoris Services Corp")</f>
        <v>0</v>
      </c>
      <c r="C1264">
        <v>0.06194690265486701</v>
      </c>
      <c r="D1264">
        <v>0.322314049586776</v>
      </c>
      <c r="E1264">
        <v>0.244148852426282</v>
      </c>
      <c r="F1264">
        <v>0.486286256898157</v>
      </c>
      <c r="G1264">
        <v>0.476882683550535</v>
      </c>
      <c r="H1264">
        <v>0.094594594594594</v>
      </c>
      <c r="I1264">
        <v>0.256685840175936</v>
      </c>
    </row>
    <row r="1265" spans="1:9">
      <c r="A1265" s="1" t="s">
        <v>1277</v>
      </c>
      <c r="B1265">
        <f>HYPERLINK("https://www.suredividend.com/sure-analysis-research-database/","Park National Corp.")</f>
        <v>0</v>
      </c>
      <c r="C1265">
        <v>0.069355774811375</v>
      </c>
      <c r="D1265">
        <v>0.09273791390352001</v>
      </c>
      <c r="E1265">
        <v>-0.123405200098324</v>
      </c>
      <c r="F1265">
        <v>-0.192162920753046</v>
      </c>
      <c r="G1265">
        <v>-0.122660825674967</v>
      </c>
      <c r="H1265">
        <v>0.017796477531141</v>
      </c>
      <c r="I1265">
        <v>0.205939045262802</v>
      </c>
    </row>
    <row r="1266" spans="1:9">
      <c r="A1266" s="1" t="s">
        <v>1278</v>
      </c>
      <c r="B1266">
        <f>HYPERLINK("https://www.suredividend.com/sure-analysis-research-database/","Proto Labs Inc")</f>
        <v>0</v>
      </c>
      <c r="C1266">
        <v>-0.1007072135785</v>
      </c>
      <c r="D1266">
        <v>0.119366197183098</v>
      </c>
      <c r="E1266">
        <v>-0.038705775627456</v>
      </c>
      <c r="F1266">
        <v>0.245201723462592</v>
      </c>
      <c r="G1266">
        <v>-0.382478632478632</v>
      </c>
      <c r="H1266">
        <v>-0.5939455869204241</v>
      </c>
      <c r="I1266">
        <v>-0.7472972972972971</v>
      </c>
    </row>
    <row r="1267" spans="1:9">
      <c r="A1267" s="1" t="s">
        <v>1279</v>
      </c>
      <c r="B1267">
        <f>HYPERLINK("https://www.suredividend.com/sure-analysis-research-database/","Perimeter Solutions SA")</f>
        <v>0</v>
      </c>
      <c r="C1267">
        <v>0.003338898163605</v>
      </c>
      <c r="D1267">
        <v>-0.16988950276243</v>
      </c>
      <c r="E1267">
        <v>-0.36063829787234</v>
      </c>
      <c r="F1267">
        <v>-0.342450765864332</v>
      </c>
      <c r="G1267">
        <v>-0.459045904590459</v>
      </c>
      <c r="H1267">
        <v>-0.499166666666666</v>
      </c>
      <c r="I1267">
        <v>-0.499166666666666</v>
      </c>
    </row>
    <row r="1268" spans="1:9">
      <c r="A1268" s="1" t="s">
        <v>1280</v>
      </c>
      <c r="B1268">
        <f>HYPERLINK("https://www.suredividend.com/sure-analysis-research-database/","Prime Medicine Inc")</f>
        <v>0</v>
      </c>
      <c r="C1268">
        <v>-0.051724137931034</v>
      </c>
      <c r="D1268">
        <v>-0.043810848400556</v>
      </c>
      <c r="E1268">
        <v>-0.348649928943628</v>
      </c>
      <c r="F1268">
        <v>-0.259956942949407</v>
      </c>
      <c r="G1268">
        <v>-0.105400130123617</v>
      </c>
      <c r="H1268">
        <v>-0.105400130123617</v>
      </c>
      <c r="I1268">
        <v>-0.105400130123617</v>
      </c>
    </row>
    <row r="1269" spans="1:9">
      <c r="A1269" s="1" t="s">
        <v>1281</v>
      </c>
      <c r="B1269">
        <f>HYPERLINK("https://www.suredividend.com/sure-analysis-research-database/","Primo Water Corporation")</f>
        <v>0</v>
      </c>
      <c r="C1269">
        <v>0.127506014434643</v>
      </c>
      <c r="D1269">
        <v>-0.07165919460162501</v>
      </c>
      <c r="E1269">
        <v>-0.094672994082535</v>
      </c>
      <c r="F1269">
        <v>-0.08477246245679301</v>
      </c>
      <c r="G1269">
        <v>0.103766623227771</v>
      </c>
      <c r="H1269">
        <v>-0.117499372332412</v>
      </c>
      <c r="I1269">
        <v>-0.072228894197141</v>
      </c>
    </row>
    <row r="1270" spans="1:9">
      <c r="A1270" s="1" t="s">
        <v>1282</v>
      </c>
      <c r="B1270">
        <f>HYPERLINK("https://www.suredividend.com/sure-analysis-research-database/","Pros Holdings Inc")</f>
        <v>0</v>
      </c>
      <c r="C1270">
        <v>0.222334004024145</v>
      </c>
      <c r="D1270">
        <v>0.312095032397408</v>
      </c>
      <c r="E1270">
        <v>0.257763975155279</v>
      </c>
      <c r="F1270">
        <v>0.502473206924979</v>
      </c>
      <c r="G1270">
        <v>0.360074626865671</v>
      </c>
      <c r="H1270">
        <v>-0.136460554371002</v>
      </c>
      <c r="I1270">
        <v>-0.025661587810745</v>
      </c>
    </row>
    <row r="1271" spans="1:9">
      <c r="A1271" s="1" t="s">
        <v>1283</v>
      </c>
      <c r="B1271">
        <f>HYPERLINK("https://www.suredividend.com/sure-analysis-research-database/","Purple Innovation Inc")</f>
        <v>0</v>
      </c>
      <c r="C1271">
        <v>0.152173913043478</v>
      </c>
      <c r="D1271">
        <v>0.131672597864768</v>
      </c>
      <c r="E1271">
        <v>-0.4829268292682921</v>
      </c>
      <c r="F1271">
        <v>-0.336116910229645</v>
      </c>
      <c r="G1271">
        <v>-0.151999999999999</v>
      </c>
      <c r="H1271">
        <v>-0.8797731568998111</v>
      </c>
      <c r="I1271">
        <v>-0.545064377682403</v>
      </c>
    </row>
    <row r="1272" spans="1:9">
      <c r="A1272" s="1" t="s">
        <v>1284</v>
      </c>
      <c r="B1272">
        <f>HYPERLINK("https://www.suredividend.com/sure-analysis-research-database/","Prothena Corporation plc")</f>
        <v>0</v>
      </c>
      <c r="C1272">
        <v>-0.03172755057487901</v>
      </c>
      <c r="D1272">
        <v>-0.007903370116313001</v>
      </c>
      <c r="E1272">
        <v>0.152034632034631</v>
      </c>
      <c r="F1272">
        <v>0.104232365145228</v>
      </c>
      <c r="G1272">
        <v>1.151681759379042</v>
      </c>
      <c r="H1272">
        <v>0.229759704251386</v>
      </c>
      <c r="I1272">
        <v>3.99099774943736</v>
      </c>
    </row>
    <row r="1273" spans="1:9">
      <c r="A1273" s="1" t="s">
        <v>1285</v>
      </c>
      <c r="B1273">
        <f>HYPERLINK("https://www.suredividend.com/sure-analysis-research-database/","Priority Technology Holdings Inc")</f>
        <v>0</v>
      </c>
      <c r="C1273">
        <v>0.140921409214092</v>
      </c>
      <c r="D1273">
        <v>0.323899371069182</v>
      </c>
      <c r="E1273">
        <v>-0.109936575052854</v>
      </c>
      <c r="F1273">
        <v>-0.199619771863117</v>
      </c>
      <c r="G1273">
        <v>-0.156312625250501</v>
      </c>
      <c r="H1273">
        <v>-0.312091503267973</v>
      </c>
      <c r="I1273">
        <v>-0.62348858839522</v>
      </c>
    </row>
    <row r="1274" spans="1:9">
      <c r="A1274" s="1" t="s">
        <v>1286</v>
      </c>
      <c r="B1274">
        <f>HYPERLINK("https://www.suredividend.com/sure-analysis-research-database/","CarParts.com Inc")</f>
        <v>0</v>
      </c>
      <c r="C1274">
        <v>0.04750593824228001</v>
      </c>
      <c r="D1274">
        <v>0.05</v>
      </c>
      <c r="E1274">
        <v>-0.373579545454545</v>
      </c>
      <c r="F1274">
        <v>-0.29552715654952</v>
      </c>
      <c r="G1274">
        <v>-0.4836065573770491</v>
      </c>
      <c r="H1274">
        <v>-0.746405980448533</v>
      </c>
      <c r="I1274">
        <v>2.291044776119403</v>
      </c>
    </row>
    <row r="1275" spans="1:9">
      <c r="A1275" s="1" t="s">
        <v>1287</v>
      </c>
      <c r="B1275">
        <f>HYPERLINK("https://www.suredividend.com/sure-analysis-research-database/","Privia Health Group Inc")</f>
        <v>0</v>
      </c>
      <c r="C1275">
        <v>0.033593749999999</v>
      </c>
      <c r="D1275">
        <v>-0.023616236162361</v>
      </c>
      <c r="E1275">
        <v>0.019260400616332</v>
      </c>
      <c r="F1275">
        <v>0.165125495376486</v>
      </c>
      <c r="G1275">
        <v>-0.313084112149532</v>
      </c>
      <c r="H1275">
        <v>-0.322754031226004</v>
      </c>
      <c r="I1275">
        <v>-0.238561151079136</v>
      </c>
    </row>
    <row r="1276" spans="1:9">
      <c r="A1276" s="1" t="s">
        <v>1288</v>
      </c>
      <c r="B1276">
        <f>HYPERLINK("https://www.suredividend.com/sure-analysis-research-database/","Paysafe Limited")</f>
        <v>0</v>
      </c>
      <c r="C1276">
        <v>0.119883040935672</v>
      </c>
      <c r="D1276">
        <v>-0.142537313432835</v>
      </c>
      <c r="E1276">
        <v>-0.504314063848144</v>
      </c>
      <c r="F1276">
        <v>-0.172786177105831</v>
      </c>
      <c r="G1276">
        <v>-0.5647727272727271</v>
      </c>
      <c r="H1276">
        <v>-0.9088095238095231</v>
      </c>
      <c r="I1276">
        <v>0.154773869346733</v>
      </c>
    </row>
    <row r="1277" spans="1:9">
      <c r="A1277" s="1" t="s">
        <v>1289</v>
      </c>
      <c r="B1277">
        <f>HYPERLINK("https://www.suredividend.com/sure-analysis-research-database/","Pricesmart Inc.")</f>
        <v>0</v>
      </c>
      <c r="C1277">
        <v>0.05700808625336901</v>
      </c>
      <c r="D1277">
        <v>0.10108100519444</v>
      </c>
      <c r="E1277">
        <v>0.05604455234240401</v>
      </c>
      <c r="F1277">
        <v>0.29859593350553</v>
      </c>
      <c r="G1277">
        <v>0.22098924570482</v>
      </c>
      <c r="H1277">
        <v>-0.08438207756426701</v>
      </c>
      <c r="I1277">
        <v>0.004233067091424</v>
      </c>
    </row>
    <row r="1278" spans="1:9">
      <c r="A1278" s="1" t="s">
        <v>1290</v>
      </c>
      <c r="B1278">
        <f>HYPERLINK("https://www.suredividend.com/sure-analysis-research-database/","Parsons Corp")</f>
        <v>0</v>
      </c>
      <c r="C1278">
        <v>0.12035692052293</v>
      </c>
      <c r="D1278">
        <v>0.193676763210258</v>
      </c>
      <c r="E1278">
        <v>0.208370635631155</v>
      </c>
      <c r="F1278">
        <v>0.167351351351351</v>
      </c>
      <c r="G1278">
        <v>0.294103547459252</v>
      </c>
      <c r="H1278">
        <v>0.4378162450066581</v>
      </c>
      <c r="I1278">
        <v>0.7954772198204191</v>
      </c>
    </row>
    <row r="1279" spans="1:9">
      <c r="A1279" s="1" t="s">
        <v>1291</v>
      </c>
      <c r="B1279">
        <f>HYPERLINK("https://www.suredividend.com/sure-analysis-PSTL/","Postal Realty Trust Inc")</f>
        <v>0</v>
      </c>
      <c r="C1279">
        <v>-0.004672897196261</v>
      </c>
      <c r="D1279">
        <v>-0.012092098724531</v>
      </c>
      <c r="E1279">
        <v>-0.035987224082862</v>
      </c>
      <c r="F1279">
        <v>0.05822734499205</v>
      </c>
      <c r="G1279">
        <v>-0.076940220890495</v>
      </c>
      <c r="H1279">
        <v>-0.148184965550337</v>
      </c>
      <c r="I1279">
        <v>0.067661527665394</v>
      </c>
    </row>
    <row r="1280" spans="1:9">
      <c r="A1280" s="1" t="s">
        <v>1292</v>
      </c>
      <c r="B1280">
        <f>HYPERLINK("https://www.suredividend.com/sure-analysis-research-database/","PTC Therapeutics Inc")</f>
        <v>0</v>
      </c>
      <c r="C1280">
        <v>-0.026322144409562</v>
      </c>
      <c r="D1280">
        <v>-0.272333513806172</v>
      </c>
      <c r="E1280">
        <v>-0.160699417152373</v>
      </c>
      <c r="F1280">
        <v>0.05632695834424901</v>
      </c>
      <c r="G1280">
        <v>-0.156838143036386</v>
      </c>
      <c r="H1280">
        <v>0.046185781006746</v>
      </c>
      <c r="I1280">
        <v>0.073482428115015</v>
      </c>
    </row>
    <row r="1281" spans="1:9">
      <c r="A1281" s="1" t="s">
        <v>1293</v>
      </c>
      <c r="B1281">
        <f>HYPERLINK("https://www.suredividend.com/sure-analysis-research-database/","Patterson-UTI Energy Inc")</f>
        <v>0</v>
      </c>
      <c r="C1281">
        <v>0.268668831168831</v>
      </c>
      <c r="D1281">
        <v>0.540053207212533</v>
      </c>
      <c r="E1281">
        <v>0.006380827897932001</v>
      </c>
      <c r="F1281">
        <v>-0.051589179742964</v>
      </c>
      <c r="G1281">
        <v>0.035943185508725</v>
      </c>
      <c r="H1281">
        <v>1.00933317906591</v>
      </c>
      <c r="I1281">
        <v>0.017472138318925</v>
      </c>
    </row>
    <row r="1282" spans="1:9">
      <c r="A1282" s="1" t="s">
        <v>1294</v>
      </c>
      <c r="B1282">
        <f>HYPERLINK("https://www.suredividend.com/sure-analysis-research-database/","Protagonist Therapeutics Inc")</f>
        <v>0</v>
      </c>
      <c r="C1282">
        <v>-0.167637830569251</v>
      </c>
      <c r="D1282">
        <v>-0.240490797546012</v>
      </c>
      <c r="E1282">
        <v>0.295882763433356</v>
      </c>
      <c r="F1282">
        <v>0.7021081576535281</v>
      </c>
      <c r="G1282">
        <v>0.6565566458519171</v>
      </c>
      <c r="H1282">
        <v>-0.6230207064555421</v>
      </c>
      <c r="I1282">
        <v>1.6490727532097</v>
      </c>
    </row>
    <row r="1283" spans="1:9">
      <c r="A1283" s="1" t="s">
        <v>1295</v>
      </c>
      <c r="B1283">
        <f>HYPERLINK("https://www.suredividend.com/sure-analysis-research-database/","Portillos Inc")</f>
        <v>0</v>
      </c>
      <c r="C1283">
        <v>-0.134427684117125</v>
      </c>
      <c r="D1283">
        <v>-0.163737676810972</v>
      </c>
      <c r="E1283">
        <v>-0.109539023277042</v>
      </c>
      <c r="F1283">
        <v>0.195465686274509</v>
      </c>
      <c r="G1283">
        <v>-0.192466887417218</v>
      </c>
      <c r="H1283">
        <v>-0.32955326460481</v>
      </c>
      <c r="I1283">
        <v>-0.32955326460481</v>
      </c>
    </row>
    <row r="1284" spans="1:9">
      <c r="A1284" s="1" t="s">
        <v>1296</v>
      </c>
      <c r="B1284">
        <f>HYPERLINK("https://www.suredividend.com/sure-analysis-research-database/","Proterra Inc")</f>
        <v>0</v>
      </c>
      <c r="C1284">
        <v>0.4098360655737701</v>
      </c>
      <c r="D1284">
        <v>0.237410071942446</v>
      </c>
      <c r="E1284">
        <v>-0.691756272401433</v>
      </c>
      <c r="F1284">
        <v>-0.5437665782493361</v>
      </c>
      <c r="G1284">
        <v>-0.705982905982905</v>
      </c>
      <c r="H1284">
        <v>-0.8341369334619091</v>
      </c>
      <c r="I1284">
        <v>-0.8984651711924441</v>
      </c>
    </row>
    <row r="1285" spans="1:9">
      <c r="A1285" s="1" t="s">
        <v>1297</v>
      </c>
      <c r="B1285">
        <f>HYPERLINK("https://www.suredividend.com/sure-analysis-research-database/","P.A.M. Transportation Services, Inc.")</f>
        <v>0</v>
      </c>
      <c r="C1285">
        <v>-0.047037037037036</v>
      </c>
      <c r="D1285">
        <v>0.118209474141677</v>
      </c>
      <c r="E1285">
        <v>-0.104420466411416</v>
      </c>
      <c r="F1285">
        <v>-0.006563706563706</v>
      </c>
      <c r="G1285">
        <v>-0.28027972027972</v>
      </c>
      <c r="H1285">
        <v>0.648038430744595</v>
      </c>
      <c r="I1285">
        <v>0.8097415157376471</v>
      </c>
    </row>
    <row r="1286" spans="1:9">
      <c r="A1286" s="1" t="s">
        <v>1298</v>
      </c>
      <c r="B1286">
        <f>HYPERLINK("https://www.suredividend.com/sure-analysis-research-database/","Pactiv Evergreen Inc")</f>
        <v>0</v>
      </c>
      <c r="C1286">
        <v>0.125810635538262</v>
      </c>
      <c r="D1286">
        <v>0.217391304347826</v>
      </c>
      <c r="E1286">
        <v>-0.241072989892631</v>
      </c>
      <c r="F1286">
        <v>-0.22637456661824</v>
      </c>
      <c r="G1286">
        <v>-0.107262236575507</v>
      </c>
      <c r="H1286">
        <v>-0.353603955824639</v>
      </c>
      <c r="I1286">
        <v>-0.14116378244135</v>
      </c>
    </row>
    <row r="1287" spans="1:9">
      <c r="A1287" s="1" t="s">
        <v>1299</v>
      </c>
      <c r="B1287">
        <f>HYPERLINK("https://www.suredividend.com/sure-analysis-research-database/","PubMatic Inc")</f>
        <v>0</v>
      </c>
      <c r="C1287">
        <v>0.07352128247650601</v>
      </c>
      <c r="D1287">
        <v>0.59049959049959</v>
      </c>
      <c r="E1287">
        <v>0.193607867240319</v>
      </c>
      <c r="F1287">
        <v>0.5160031225604991</v>
      </c>
      <c r="G1287">
        <v>0.09346846846846801</v>
      </c>
      <c r="H1287">
        <v>-0.333790737564322</v>
      </c>
      <c r="I1287">
        <v>-0.340577249575551</v>
      </c>
    </row>
    <row r="1288" spans="1:9">
      <c r="A1288" s="1" t="s">
        <v>1300</v>
      </c>
      <c r="B1288">
        <f>HYPERLINK("https://www.suredividend.com/sure-analysis-research-database/","ProPetro Holding Corp")</f>
        <v>0</v>
      </c>
      <c r="C1288">
        <v>0.158956109134045</v>
      </c>
      <c r="D1288">
        <v>0.524180967238689</v>
      </c>
      <c r="E1288">
        <v>0.003080082135523</v>
      </c>
      <c r="F1288">
        <v>-0.057859209257473</v>
      </c>
      <c r="G1288">
        <v>0.144028103044496</v>
      </c>
      <c r="H1288">
        <v>0.263906856403622</v>
      </c>
      <c r="I1288">
        <v>-0.400613496932515</v>
      </c>
    </row>
    <row r="1289" spans="1:9">
      <c r="A1289" s="1" t="s">
        <v>1301</v>
      </c>
      <c r="B1289">
        <f>HYPERLINK("https://www.suredividend.com/sure-analysis-research-database/","Provident Bancorp Inc")</f>
        <v>0</v>
      </c>
      <c r="C1289">
        <v>0.144028103044496</v>
      </c>
      <c r="D1289">
        <v>0.524180967238689</v>
      </c>
      <c r="E1289">
        <v>0.04268943436499401</v>
      </c>
      <c r="F1289">
        <v>0.342032967032966</v>
      </c>
      <c r="G1289">
        <v>-0.344726287408281</v>
      </c>
      <c r="H1289">
        <v>-0.370570802731606</v>
      </c>
      <c r="I1289">
        <v>-0.072051364853826</v>
      </c>
    </row>
    <row r="1290" spans="1:9">
      <c r="A1290" s="1" t="s">
        <v>1302</v>
      </c>
      <c r="B1290">
        <f>HYPERLINK("https://www.suredividend.com/sure-analysis-research-database/","Perella Weinberg Partners")</f>
        <v>0</v>
      </c>
      <c r="C1290">
        <v>0.248506571087216</v>
      </c>
      <c r="D1290">
        <v>0.487078779599271</v>
      </c>
      <c r="E1290">
        <v>-0.01684996848275</v>
      </c>
      <c r="F1290">
        <v>0.092501986367247</v>
      </c>
      <c r="G1290">
        <v>0.4938388083597791</v>
      </c>
      <c r="H1290">
        <v>-0.101917342019096</v>
      </c>
      <c r="I1290">
        <v>0.056088933804951</v>
      </c>
    </row>
    <row r="1291" spans="1:9">
      <c r="A1291" s="1" t="s">
        <v>1303</v>
      </c>
      <c r="B1291">
        <f>HYPERLINK("https://www.suredividend.com/sure-analysis-research-database/","PowerSchool Holdings Inc")</f>
        <v>0</v>
      </c>
      <c r="C1291">
        <v>0.167088607594936</v>
      </c>
      <c r="D1291">
        <v>0.142220019821605</v>
      </c>
      <c r="E1291">
        <v>0.0004340277777770001</v>
      </c>
      <c r="F1291">
        <v>-0.001299826689774</v>
      </c>
      <c r="G1291">
        <v>0.494811932555123</v>
      </c>
      <c r="H1291">
        <v>0.116222760290557</v>
      </c>
      <c r="I1291">
        <v>0.280555555555555</v>
      </c>
    </row>
    <row r="1292" spans="1:9">
      <c r="A1292" s="1" t="s">
        <v>1304</v>
      </c>
      <c r="B1292">
        <f>HYPERLINK("https://www.suredividend.com/sure-analysis-research-database/","Papa John`s International, Inc.")</f>
        <v>0</v>
      </c>
      <c r="C1292">
        <v>0.088612617378653</v>
      </c>
      <c r="D1292">
        <v>0.105250578071162</v>
      </c>
      <c r="E1292">
        <v>-0.107069243086322</v>
      </c>
      <c r="F1292">
        <v>0.015304190365526</v>
      </c>
      <c r="G1292">
        <v>-0.123202277053593</v>
      </c>
      <c r="H1292">
        <v>-0.25762376469803</v>
      </c>
      <c r="I1292">
        <v>1.121468300402591</v>
      </c>
    </row>
    <row r="1293" spans="1:9">
      <c r="A1293" s="1" t="s">
        <v>1305</v>
      </c>
      <c r="B1293">
        <f>HYPERLINK("https://www.suredividend.com/sure-analysis-research-database/","QCR Holding, Inc.")</f>
        <v>0</v>
      </c>
      <c r="C1293">
        <v>0.241703930336549</v>
      </c>
      <c r="D1293">
        <v>0.397412297546053</v>
      </c>
      <c r="E1293">
        <v>-0.023669898277358</v>
      </c>
      <c r="F1293">
        <v>0.06719527488976</v>
      </c>
      <c r="G1293">
        <v>-0.08000760266651301</v>
      </c>
      <c r="H1293">
        <v>0.08659387009477801</v>
      </c>
      <c r="I1293">
        <v>0.241131415021548</v>
      </c>
    </row>
    <row r="1294" spans="1:9">
      <c r="A1294" s="1" t="s">
        <v>1306</v>
      </c>
      <c r="B1294">
        <f>HYPERLINK("https://www.suredividend.com/sure-analysis-research-database/","Qualys Inc")</f>
        <v>0</v>
      </c>
      <c r="C1294">
        <v>0.075077881619937</v>
      </c>
      <c r="D1294">
        <v>0.282422891118543</v>
      </c>
      <c r="E1294">
        <v>0.122550215499715</v>
      </c>
      <c r="F1294">
        <v>0.229974160206718</v>
      </c>
      <c r="G1294">
        <v>0.07107386716325201</v>
      </c>
      <c r="H1294">
        <v>0.323743766781741</v>
      </c>
      <c r="I1294">
        <v>0.621139166177334</v>
      </c>
    </row>
    <row r="1295" spans="1:9">
      <c r="A1295" s="1" t="s">
        <v>1307</v>
      </c>
      <c r="B1295">
        <f>HYPERLINK("https://www.suredividend.com/sure-analysis-research-database/","QuinStreet Inc")</f>
        <v>0</v>
      </c>
      <c r="C1295">
        <v>0</v>
      </c>
      <c r="D1295">
        <v>-0.09072164948453501</v>
      </c>
      <c r="E1295">
        <v>-0.4414186193793541</v>
      </c>
      <c r="F1295">
        <v>-0.385365853658536</v>
      </c>
      <c r="G1295">
        <v>-0.161596958174904</v>
      </c>
      <c r="H1295">
        <v>-0.501131221719457</v>
      </c>
      <c r="I1295">
        <v>-0.389619377162629</v>
      </c>
    </row>
    <row r="1296" spans="1:9">
      <c r="A1296" s="1" t="s">
        <v>1308</v>
      </c>
      <c r="B1296">
        <f>HYPERLINK("https://www.suredividend.com/sure-analysis-research-database/","Qurate Retail Inc")</f>
        <v>0</v>
      </c>
      <c r="C1296">
        <v>-0.157207207207207</v>
      </c>
      <c r="D1296">
        <v>0.201824254881808</v>
      </c>
      <c r="E1296">
        <v>-0.6401923076923071</v>
      </c>
      <c r="F1296">
        <v>-0.426073619631901</v>
      </c>
      <c r="G1296">
        <v>-0.6871237458193981</v>
      </c>
      <c r="H1296">
        <v>-0.9115048433479641</v>
      </c>
      <c r="I1296">
        <v>-0.9429399207075321</v>
      </c>
    </row>
    <row r="1297" spans="1:9">
      <c r="A1297" s="1" t="s">
        <v>1309</v>
      </c>
      <c r="B1297">
        <f>HYPERLINK("https://www.suredividend.com/sure-analysis-research-database/","Quantum-Si Incorporated")</f>
        <v>0</v>
      </c>
      <c r="C1297">
        <v>0.9748603351955301</v>
      </c>
      <c r="D1297">
        <v>1.421232876712328</v>
      </c>
      <c r="E1297">
        <v>0.4428571428571421</v>
      </c>
      <c r="F1297">
        <v>0.9316939890710381</v>
      </c>
      <c r="G1297">
        <v>0.015804597701149</v>
      </c>
      <c r="H1297">
        <v>-0.607222222222222</v>
      </c>
      <c r="I1297">
        <v>-0.642206477732793</v>
      </c>
    </row>
    <row r="1298" spans="1:9">
      <c r="A1298" s="1" t="s">
        <v>1310</v>
      </c>
      <c r="B1298">
        <f>HYPERLINK("https://www.suredividend.com/sure-analysis-research-database/","Quanterix Corp")</f>
        <v>0</v>
      </c>
      <c r="C1298">
        <v>0.027956003666361</v>
      </c>
      <c r="D1298">
        <v>0.367682926829268</v>
      </c>
      <c r="E1298">
        <v>0.5043594902749831</v>
      </c>
      <c r="F1298">
        <v>0.619494584837545</v>
      </c>
      <c r="G1298">
        <v>0.317087492660011</v>
      </c>
      <c r="H1298">
        <v>-0.5863912963304441</v>
      </c>
      <c r="I1298">
        <v>0.5479641131815041</v>
      </c>
    </row>
    <row r="1299" spans="1:9">
      <c r="A1299" s="1" t="s">
        <v>1311</v>
      </c>
      <c r="B1299">
        <f>HYPERLINK("https://www.suredividend.com/sure-analysis-research-database/","Q2 Holdings Inc")</f>
        <v>0</v>
      </c>
      <c r="C1299">
        <v>0.09197270068248301</v>
      </c>
      <c r="D1299">
        <v>0.4769230769230771</v>
      </c>
      <c r="E1299">
        <v>-0.022971794126199</v>
      </c>
      <c r="F1299">
        <v>0.250465202828433</v>
      </c>
      <c r="G1299">
        <v>-0.298538622129436</v>
      </c>
      <c r="H1299">
        <v>-0.658571283406157</v>
      </c>
      <c r="I1299">
        <v>-0.449180327868852</v>
      </c>
    </row>
    <row r="1300" spans="1:9">
      <c r="A1300" s="1" t="s">
        <v>1312</v>
      </c>
      <c r="B1300">
        <f>HYPERLINK("https://www.suredividend.com/sure-analysis-research-database/","Quad/Graphics Inc")</f>
        <v>0</v>
      </c>
      <c r="C1300">
        <v>0.336658354114713</v>
      </c>
      <c r="D1300">
        <v>0.7459283387622151</v>
      </c>
      <c r="E1300">
        <v>0.145299145299145</v>
      </c>
      <c r="F1300">
        <v>0.313725490196078</v>
      </c>
      <c r="G1300">
        <v>0.6000000000000001</v>
      </c>
      <c r="H1300">
        <v>0.4930362116991641</v>
      </c>
      <c r="I1300">
        <v>-0.7076166942139741</v>
      </c>
    </row>
    <row r="1301" spans="1:9">
      <c r="A1301" s="1" t="s">
        <v>1313</v>
      </c>
      <c r="B1301">
        <f>HYPERLINK("https://www.suredividend.com/sure-analysis-research-database/","Quotient Technology Inc")</f>
        <v>0</v>
      </c>
      <c r="C1301">
        <v>0.03385416666666601</v>
      </c>
      <c r="D1301">
        <v>0.454212454212454</v>
      </c>
      <c r="E1301">
        <v>-0.05476190476190401</v>
      </c>
      <c r="F1301">
        <v>0.157434402332361</v>
      </c>
      <c r="G1301">
        <v>0.368965517241379</v>
      </c>
      <c r="H1301">
        <v>-0.630697674418604</v>
      </c>
      <c r="I1301">
        <v>-0.698098859315589</v>
      </c>
    </row>
    <row r="1302" spans="1:9">
      <c r="A1302" s="1" t="s">
        <v>1314</v>
      </c>
      <c r="B1302">
        <f>HYPERLINK("https://www.suredividend.com/sure-analysis-research-database/","Rite Aid Corp.")</f>
        <v>0</v>
      </c>
      <c r="C1302">
        <v>0.701986754966887</v>
      </c>
      <c r="D1302">
        <v>0.297979797979798</v>
      </c>
      <c r="E1302">
        <v>-0.316489361702127</v>
      </c>
      <c r="F1302">
        <v>-0.230538922155688</v>
      </c>
      <c r="G1302">
        <v>-0.696217494089834</v>
      </c>
      <c r="H1302">
        <v>-0.827516778523489</v>
      </c>
      <c r="I1302">
        <v>-0.9301630434782601</v>
      </c>
    </row>
    <row r="1303" spans="1:9">
      <c r="A1303" s="1" t="s">
        <v>1315</v>
      </c>
      <c r="B1303">
        <f>HYPERLINK("https://www.suredividend.com/sure-analysis-research-database/","Radius Global Infrastructure Inc")</f>
        <v>0</v>
      </c>
      <c r="C1303">
        <v>0</v>
      </c>
      <c r="D1303">
        <v>0.012925170068027</v>
      </c>
      <c r="E1303">
        <v>0.064331665475339</v>
      </c>
      <c r="F1303">
        <v>0.259729272419627</v>
      </c>
      <c r="G1303">
        <v>-0.012599469496021</v>
      </c>
      <c r="H1303">
        <v>-0.03437094682230801</v>
      </c>
      <c r="I1303">
        <v>0.7017142857142851</v>
      </c>
    </row>
    <row r="1304" spans="1:9">
      <c r="A1304" s="1" t="s">
        <v>1316</v>
      </c>
      <c r="B1304">
        <f>HYPERLINK("https://www.suredividend.com/sure-analysis-research-database/","LiveRamp Holdings Inc")</f>
        <v>0</v>
      </c>
      <c r="C1304">
        <v>-0.018607856650585</v>
      </c>
      <c r="D1304">
        <v>0.208828522920203</v>
      </c>
      <c r="E1304">
        <v>0.021520803443328</v>
      </c>
      <c r="F1304">
        <v>0.215017064846416</v>
      </c>
      <c r="G1304">
        <v>0.014245014245014</v>
      </c>
      <c r="H1304">
        <v>-0.282077136375094</v>
      </c>
      <c r="I1304">
        <v>-0.409006017846026</v>
      </c>
    </row>
    <row r="1305" spans="1:9">
      <c r="A1305" s="1" t="s">
        <v>1317</v>
      </c>
      <c r="B1305">
        <f>HYPERLINK("https://www.suredividend.com/sure-analysis-research-database/","RAPT Therapeutics Inc")</f>
        <v>0</v>
      </c>
      <c r="C1305">
        <v>0.228782287822878</v>
      </c>
      <c r="D1305">
        <v>0.241214057507987</v>
      </c>
      <c r="E1305">
        <v>-0.168983957219251</v>
      </c>
      <c r="F1305">
        <v>0.177272727272727</v>
      </c>
      <c r="G1305">
        <v>0.25187969924812</v>
      </c>
      <c r="H1305">
        <v>-0.250241235123834</v>
      </c>
      <c r="I1305">
        <v>0.793076923076923</v>
      </c>
    </row>
    <row r="1306" spans="1:9">
      <c r="A1306" s="1" t="s">
        <v>1318</v>
      </c>
      <c r="B1306">
        <f>HYPERLINK("https://www.suredividend.com/sure-analysis-research-database/","RBB Bancorp")</f>
        <v>0</v>
      </c>
      <c r="C1306">
        <v>0.268438864346792</v>
      </c>
      <c r="D1306">
        <v>0.5426506781169811</v>
      </c>
      <c r="E1306">
        <v>-0.259352373290426</v>
      </c>
      <c r="F1306">
        <v>-0.252743238924315</v>
      </c>
      <c r="G1306">
        <v>-0.299778477101377</v>
      </c>
      <c r="H1306">
        <v>-0.338040005212991</v>
      </c>
      <c r="I1306">
        <v>-0.427903399954946</v>
      </c>
    </row>
    <row r="1307" spans="1:9">
      <c r="A1307" s="1" t="s">
        <v>1319</v>
      </c>
      <c r="B1307">
        <f>HYPERLINK("https://www.suredividend.com/sure-analysis-research-database/","Ribbon Communications Inc")</f>
        <v>0</v>
      </c>
      <c r="C1307">
        <v>0.07692307692307701</v>
      </c>
      <c r="D1307">
        <v>0.18007662835249</v>
      </c>
      <c r="E1307">
        <v>-0.2</v>
      </c>
      <c r="F1307">
        <v>0.103942652329749</v>
      </c>
      <c r="G1307">
        <v>-0.07507507507507501</v>
      </c>
      <c r="H1307">
        <v>-0.551020408163265</v>
      </c>
      <c r="I1307">
        <v>-0.555555555555555</v>
      </c>
    </row>
    <row r="1308" spans="1:9">
      <c r="A1308" s="1" t="s">
        <v>1320</v>
      </c>
      <c r="B1308">
        <f>HYPERLINK("https://www.suredividend.com/sure-analysis-research-database/","RBC Bearings Inc.")</f>
        <v>0</v>
      </c>
      <c r="C1308">
        <v>-0.021044462704281</v>
      </c>
      <c r="D1308">
        <v>-0.063823285458593</v>
      </c>
      <c r="E1308">
        <v>-0.134165051679586</v>
      </c>
      <c r="F1308">
        <v>0.024361117745402</v>
      </c>
      <c r="G1308">
        <v>-0.137334566957641</v>
      </c>
      <c r="H1308">
        <v>-0.06781134535970401</v>
      </c>
      <c r="I1308">
        <v>0.5328806290207281</v>
      </c>
    </row>
    <row r="1309" spans="1:9">
      <c r="A1309" s="1" t="s">
        <v>1321</v>
      </c>
      <c r="B1309">
        <f>HYPERLINK("https://www.suredividend.com/sure-analysis-RBCAA/","Republic Bancorp, Inc. (KY)")</f>
        <v>0</v>
      </c>
      <c r="C1309">
        <v>0.08925233644859801</v>
      </c>
      <c r="D1309">
        <v>0.225094733301448</v>
      </c>
      <c r="E1309">
        <v>0.025918639502488</v>
      </c>
      <c r="F1309">
        <v>0.168825308001263</v>
      </c>
      <c r="G1309">
        <v>0.07375316114588901</v>
      </c>
      <c r="H1309">
        <v>0.005146470668135001</v>
      </c>
      <c r="I1309">
        <v>0.131457279114638</v>
      </c>
    </row>
    <row r="1310" spans="1:9">
      <c r="A1310" s="1" t="s">
        <v>1322</v>
      </c>
      <c r="B1310">
        <f>HYPERLINK("https://www.suredividend.com/sure-analysis-research-database/","Vicarious Surgical Inc")</f>
        <v>0</v>
      </c>
      <c r="C1310">
        <v>-0.472513661202185</v>
      </c>
      <c r="D1310">
        <v>-0.540333333333333</v>
      </c>
      <c r="E1310">
        <v>-0.6727796610169491</v>
      </c>
      <c r="F1310">
        <v>-0.522128712871287</v>
      </c>
      <c r="G1310">
        <v>-0.778091954022988</v>
      </c>
      <c r="H1310">
        <v>-0.902593340060544</v>
      </c>
      <c r="I1310">
        <v>-0.900994871794871</v>
      </c>
    </row>
    <row r="1311" spans="1:9">
      <c r="A1311" s="1" t="s">
        <v>1323</v>
      </c>
      <c r="B1311">
        <f>HYPERLINK("https://www.suredividend.com/sure-analysis-research-database/","Ready Capital Corp")</f>
        <v>0</v>
      </c>
      <c r="C1311">
        <v>-0.016873889875666</v>
      </c>
      <c r="D1311">
        <v>0.118057589560755</v>
      </c>
      <c r="E1311">
        <v>-0.110943347735997</v>
      </c>
      <c r="F1311">
        <v>0.07420453553026</v>
      </c>
      <c r="G1311">
        <v>-0.047127178825048</v>
      </c>
      <c r="H1311">
        <v>-0.044041450777202</v>
      </c>
      <c r="I1311">
        <v>-0.337125748502993</v>
      </c>
    </row>
    <row r="1312" spans="1:9">
      <c r="A1312" s="1" t="s">
        <v>1324</v>
      </c>
      <c r="B1312">
        <f>HYPERLINK("https://www.suredividend.com/sure-analysis-research-database/","Rocket Pharmaceuticals Inc")</f>
        <v>0</v>
      </c>
      <c r="C1312">
        <v>-0.112224448897795</v>
      </c>
      <c r="D1312">
        <v>-0.002252252252252</v>
      </c>
      <c r="E1312">
        <v>-0.136452241715399</v>
      </c>
      <c r="F1312">
        <v>-0.09453244762391401</v>
      </c>
      <c r="G1312">
        <v>0.222068965517241</v>
      </c>
      <c r="H1312">
        <v>-0.5072302558398221</v>
      </c>
      <c r="I1312">
        <v>-0.164545025931164</v>
      </c>
    </row>
    <row r="1313" spans="1:9">
      <c r="A1313" s="1" t="s">
        <v>1325</v>
      </c>
      <c r="B1313">
        <f>HYPERLINK("https://www.suredividend.com/sure-analysis-research-database/","Rocky Brands, Inc")</f>
        <v>0</v>
      </c>
      <c r="C1313">
        <v>-0.011726078799249</v>
      </c>
      <c r="D1313">
        <v>0.019632893444249</v>
      </c>
      <c r="E1313">
        <v>-0.317515588306745</v>
      </c>
      <c r="F1313">
        <v>-0.08867176180033801</v>
      </c>
      <c r="G1313">
        <v>-0.208474990138808</v>
      </c>
      <c r="H1313">
        <v>-0.62388566981196</v>
      </c>
      <c r="I1313">
        <v>-0.227636464943053</v>
      </c>
    </row>
    <row r="1314" spans="1:9">
      <c r="A1314" s="1" t="s">
        <v>1326</v>
      </c>
      <c r="B1314">
        <f>HYPERLINK("https://www.suredividend.com/sure-analysis-research-database/","R1 RCM Inc.")</f>
        <v>0</v>
      </c>
      <c r="C1314">
        <v>-0.04155276107162301</v>
      </c>
      <c r="D1314">
        <v>0.128056628056628</v>
      </c>
      <c r="E1314">
        <v>0.217361111111111</v>
      </c>
      <c r="F1314">
        <v>0.6009132420091321</v>
      </c>
      <c r="G1314">
        <v>-0.334977238239757</v>
      </c>
      <c r="H1314">
        <v>-0.142787286063569</v>
      </c>
      <c r="I1314">
        <v>-0.142787286063569</v>
      </c>
    </row>
    <row r="1315" spans="1:9">
      <c r="A1315" s="1" t="s">
        <v>1327</v>
      </c>
      <c r="B1315">
        <f>HYPERLINK("https://www.suredividend.com/sure-analysis-research-database/","Arcus Biosciences Inc")</f>
        <v>0</v>
      </c>
      <c r="C1315">
        <v>-0.068982387475538</v>
      </c>
      <c r="D1315">
        <v>0.025323275862069</v>
      </c>
      <c r="E1315">
        <v>-0.072159921989273</v>
      </c>
      <c r="F1315">
        <v>-0.079787234042553</v>
      </c>
      <c r="G1315">
        <v>-0.277798861480076</v>
      </c>
      <c r="H1315">
        <v>-0.366089273817454</v>
      </c>
      <c r="I1315">
        <v>0.7300000000000001</v>
      </c>
    </row>
    <row r="1316" spans="1:9">
      <c r="A1316" s="1" t="s">
        <v>1328</v>
      </c>
      <c r="B1316">
        <f>HYPERLINK("https://www.suredividend.com/sure-analysis-research-database/","Redfin Corp")</f>
        <v>0</v>
      </c>
      <c r="C1316">
        <v>0.073298429319371</v>
      </c>
      <c r="D1316">
        <v>1.082728592162554</v>
      </c>
      <c r="E1316">
        <v>0.518518518518518</v>
      </c>
      <c r="F1316">
        <v>2.38443396226415</v>
      </c>
      <c r="G1316">
        <v>0.630681818181817</v>
      </c>
      <c r="H1316">
        <v>-0.7496073983597971</v>
      </c>
      <c r="I1316">
        <v>-0.3903993203058621</v>
      </c>
    </row>
    <row r="1317" spans="1:9">
      <c r="A1317" s="1" t="s">
        <v>1329</v>
      </c>
      <c r="B1317">
        <f>HYPERLINK("https://www.suredividend.com/sure-analysis-research-database/","Radian Group, Inc.")</f>
        <v>0</v>
      </c>
      <c r="C1317">
        <v>0.07553816046966701</v>
      </c>
      <c r="D1317">
        <v>0.17091628033815</v>
      </c>
      <c r="E1317">
        <v>0.22928819382314</v>
      </c>
      <c r="F1317">
        <v>0.46908663227393</v>
      </c>
      <c r="G1317">
        <v>0.277676005914133</v>
      </c>
      <c r="H1317">
        <v>0.306071235064305</v>
      </c>
      <c r="I1317">
        <v>0.593708678404899</v>
      </c>
    </row>
    <row r="1318" spans="1:9">
      <c r="A1318" s="1" t="s">
        <v>1330</v>
      </c>
      <c r="B1318">
        <f>HYPERLINK("https://www.suredividend.com/sure-analysis-research-database/","Radnet Inc")</f>
        <v>0</v>
      </c>
      <c r="C1318">
        <v>0.024012638230647</v>
      </c>
      <c r="D1318">
        <v>0.169613857813063</v>
      </c>
      <c r="E1318">
        <v>0.503944315545243</v>
      </c>
      <c r="F1318">
        <v>0.721189591078066</v>
      </c>
      <c r="G1318">
        <v>0.54259876249405</v>
      </c>
      <c r="H1318">
        <v>-0.148897058823529</v>
      </c>
      <c r="I1318">
        <v>1.315</v>
      </c>
    </row>
    <row r="1319" spans="1:9">
      <c r="A1319" s="1" t="s">
        <v>1331</v>
      </c>
      <c r="B1319">
        <f>HYPERLINK("https://www.suredividend.com/sure-analysis-research-database/","Red Violet Inc")</f>
        <v>0</v>
      </c>
      <c r="C1319">
        <v>-0.039829302987197</v>
      </c>
      <c r="D1319">
        <v>0.211849192100538</v>
      </c>
      <c r="E1319">
        <v>-0.1587037806398</v>
      </c>
      <c r="F1319">
        <v>-0.120330147697654</v>
      </c>
      <c r="G1319">
        <v>-0.155898290954564</v>
      </c>
      <c r="H1319">
        <v>-0.189999999999999</v>
      </c>
      <c r="I1319">
        <v>1.664473684210526</v>
      </c>
    </row>
    <row r="1320" spans="1:9">
      <c r="A1320" s="1" t="s">
        <v>1332</v>
      </c>
      <c r="B1320">
        <f>HYPERLINK("https://www.suredividend.com/sure-analysis-research-database/","Redwire Corporation")</f>
        <v>0</v>
      </c>
      <c r="C1320">
        <v>0.300380228136882</v>
      </c>
      <c r="D1320">
        <v>0.230215827338129</v>
      </c>
      <c r="E1320">
        <v>0.271375464684014</v>
      </c>
      <c r="F1320">
        <v>0.7272727272727271</v>
      </c>
      <c r="G1320">
        <v>-0.022857142857142</v>
      </c>
      <c r="H1320">
        <v>-0.7205882352941171</v>
      </c>
      <c r="I1320">
        <v>-0.7205882352941171</v>
      </c>
    </row>
    <row r="1321" spans="1:9">
      <c r="A1321" s="1" t="s">
        <v>1333</v>
      </c>
      <c r="B1321">
        <f>HYPERLINK("https://www.suredividend.com/sure-analysis-research-database/","Therealreal Inc")</f>
        <v>0</v>
      </c>
      <c r="C1321">
        <v>0.08779443254817901</v>
      </c>
      <c r="D1321">
        <v>1.419047619047619</v>
      </c>
      <c r="E1321">
        <v>0.221153846153846</v>
      </c>
      <c r="F1321">
        <v>1.032</v>
      </c>
      <c r="G1321">
        <v>-0.023076923076923</v>
      </c>
      <c r="H1321">
        <v>-0.8403519798868631</v>
      </c>
      <c r="I1321">
        <v>-0.912110726643598</v>
      </c>
    </row>
    <row r="1322" spans="1:9">
      <c r="A1322" s="1" t="s">
        <v>1334</v>
      </c>
      <c r="B1322">
        <f>HYPERLINK("https://www.suredividend.com/sure-analysis-research-database/","Chicago Atlantic Real Estate Finance Inc")</f>
        <v>0</v>
      </c>
      <c r="C1322">
        <v>0.006622516556291</v>
      </c>
      <c r="D1322">
        <v>0.160411640760985</v>
      </c>
      <c r="E1322">
        <v>0.08626517733993601</v>
      </c>
      <c r="F1322">
        <v>0.110056233111808</v>
      </c>
      <c r="G1322">
        <v>0.200129487655246</v>
      </c>
      <c r="H1322">
        <v>0.123213573149283</v>
      </c>
      <c r="I1322">
        <v>0.123213573149283</v>
      </c>
    </row>
    <row r="1323" spans="1:9">
      <c r="A1323" s="1" t="s">
        <v>1335</v>
      </c>
      <c r="B1323">
        <f>HYPERLINK("https://www.suredividend.com/sure-analysis-research-database/","Ring Energy Inc")</f>
        <v>0</v>
      </c>
      <c r="C1323">
        <v>0.284090909090908</v>
      </c>
      <c r="D1323">
        <v>0.337278106508875</v>
      </c>
      <c r="E1323">
        <v>0.008928571428571001</v>
      </c>
      <c r="F1323">
        <v>-0.08130081300813001</v>
      </c>
      <c r="G1323">
        <v>-0.153558052434456</v>
      </c>
      <c r="H1323">
        <v>-0.172161172161172</v>
      </c>
      <c r="I1323">
        <v>-0.809121621621621</v>
      </c>
    </row>
    <row r="1324" spans="1:9">
      <c r="A1324" s="1" t="s">
        <v>1336</v>
      </c>
      <c r="B1324">
        <f>HYPERLINK("https://www.suredividend.com/sure-analysis-research-database/","Remitly Global Inc")</f>
        <v>0</v>
      </c>
      <c r="C1324">
        <v>0.174933333333333</v>
      </c>
      <c r="D1324">
        <v>0.275622466705269</v>
      </c>
      <c r="E1324">
        <v>0.6946153846153841</v>
      </c>
      <c r="F1324">
        <v>0.9240174672489081</v>
      </c>
      <c r="G1324">
        <v>1.096098953377735</v>
      </c>
      <c r="H1324">
        <v>-0.5453044375644991</v>
      </c>
      <c r="I1324">
        <v>-0.5453044375644991</v>
      </c>
    </row>
    <row r="1325" spans="1:9">
      <c r="A1325" s="1" t="s">
        <v>1337</v>
      </c>
      <c r="B1325">
        <f>HYPERLINK("https://www.suredividend.com/sure-analysis-research-database/","Rent the Runway Inc")</f>
        <v>0</v>
      </c>
      <c r="C1325">
        <v>-0.181372549019607</v>
      </c>
      <c r="D1325">
        <v>-0.261061946902654</v>
      </c>
      <c r="E1325">
        <v>-0.6321585903083701</v>
      </c>
      <c r="F1325">
        <v>-0.452459016393442</v>
      </c>
      <c r="G1325">
        <v>-0.646186440677966</v>
      </c>
      <c r="H1325">
        <v>-0.913426645930534</v>
      </c>
      <c r="I1325">
        <v>-0.913426645930534</v>
      </c>
    </row>
    <row r="1326" spans="1:9">
      <c r="A1326" s="1" t="s">
        <v>1338</v>
      </c>
      <c r="B1326">
        <f>HYPERLINK("https://www.suredividend.com/sure-analysis-research-database/","Replimune Group Inc")</f>
        <v>0</v>
      </c>
      <c r="C1326">
        <v>-0.121578467153284</v>
      </c>
      <c r="D1326">
        <v>0.089083710407239</v>
      </c>
      <c r="E1326">
        <v>-0.319370802403676</v>
      </c>
      <c r="F1326">
        <v>-0.292095588235294</v>
      </c>
      <c r="G1326">
        <v>-0.060273304050756</v>
      </c>
      <c r="H1326">
        <v>-0.437481741162722</v>
      </c>
      <c r="I1326">
        <v>0.201935081148564</v>
      </c>
    </row>
    <row r="1327" spans="1:9">
      <c r="A1327" s="1" t="s">
        <v>1339</v>
      </c>
      <c r="B1327">
        <f>HYPERLINK("https://www.suredividend.com/sure-analysis-research-database/","Riley Exploration Permian Inc.")</f>
        <v>0</v>
      </c>
      <c r="C1327">
        <v>0.03907086880532201</v>
      </c>
      <c r="D1327">
        <v>-0.08002945103764901</v>
      </c>
      <c r="E1327">
        <v>0.176421775611749</v>
      </c>
      <c r="F1327">
        <v>0.308145209086747</v>
      </c>
      <c r="G1327">
        <v>0.469995892306649</v>
      </c>
      <c r="H1327">
        <v>0.8629333872435051</v>
      </c>
      <c r="I1327">
        <v>1.878034878409663</v>
      </c>
    </row>
    <row r="1328" spans="1:9">
      <c r="A1328" s="1" t="s">
        <v>1340</v>
      </c>
      <c r="B1328">
        <f>HYPERLINK("https://www.suredividend.com/sure-analysis-research-database/","RPC, Inc.")</f>
        <v>0</v>
      </c>
      <c r="C1328">
        <v>0.164804469273742</v>
      </c>
      <c r="D1328">
        <v>0.233563578813471</v>
      </c>
      <c r="E1328">
        <v>-0.09123598443986801</v>
      </c>
      <c r="F1328">
        <v>-0.05239117837543</v>
      </c>
      <c r="G1328">
        <v>0.129989431753515</v>
      </c>
      <c r="H1328">
        <v>1.005627299617632</v>
      </c>
      <c r="I1328">
        <v>-0.409908443828095</v>
      </c>
    </row>
    <row r="1329" spans="1:9">
      <c r="A1329" s="1" t="s">
        <v>1341</v>
      </c>
      <c r="B1329">
        <f>HYPERLINK("https://www.suredividend.com/sure-analysis-research-database/","Reata Pharmaceuticals Inc")</f>
        <v>0</v>
      </c>
      <c r="C1329">
        <v>0.6248055987558321</v>
      </c>
      <c r="D1329">
        <v>0.6381811054488431</v>
      </c>
      <c r="E1329">
        <v>2.420503376304481</v>
      </c>
      <c r="F1329">
        <v>3.400105290866017</v>
      </c>
      <c r="G1329">
        <v>4.079307201458524</v>
      </c>
      <c r="H1329">
        <v>0.301565054893716</v>
      </c>
      <c r="I1329">
        <v>1.357354392892399</v>
      </c>
    </row>
    <row r="1330" spans="1:9">
      <c r="A1330" s="1" t="s">
        <v>1342</v>
      </c>
      <c r="B1330">
        <f>HYPERLINK("https://www.suredividend.com/sure-analysis-research-database/","REV Group Inc")</f>
        <v>0</v>
      </c>
      <c r="C1330">
        <v>0.02781954887218</v>
      </c>
      <c r="D1330">
        <v>0.276472565644492</v>
      </c>
      <c r="E1330">
        <v>0.05682257441051301</v>
      </c>
      <c r="F1330">
        <v>0.09199258691206501</v>
      </c>
      <c r="G1330">
        <v>0.193719654895385</v>
      </c>
      <c r="H1330">
        <v>-0.078095495009441</v>
      </c>
      <c r="I1330">
        <v>-0.157436684479453</v>
      </c>
    </row>
    <row r="1331" spans="1:9">
      <c r="A1331" s="1" t="s">
        <v>1343</v>
      </c>
      <c r="B1331">
        <f>HYPERLINK("https://www.suredividend.com/sure-analysis-research-database/","REX American Resources Corp")</f>
        <v>0</v>
      </c>
      <c r="C1331">
        <v>0.065691336775674</v>
      </c>
      <c r="D1331">
        <v>0.340671237820281</v>
      </c>
      <c r="E1331">
        <v>0.121678743961352</v>
      </c>
      <c r="F1331">
        <v>0.166038920276208</v>
      </c>
      <c r="G1331">
        <v>0.160574820368634</v>
      </c>
      <c r="H1331">
        <v>0.3331323766359121</v>
      </c>
      <c r="I1331">
        <v>0.444586591592233</v>
      </c>
    </row>
    <row r="1332" spans="1:9">
      <c r="A1332" s="1" t="s">
        <v>1344</v>
      </c>
      <c r="B1332">
        <f>HYPERLINK("https://www.suredividend.com/sure-analysis-research-database/","Resideo Technologies Inc")</f>
        <v>0</v>
      </c>
      <c r="C1332">
        <v>0.025128498001142</v>
      </c>
      <c r="D1332">
        <v>0.042998256827425</v>
      </c>
      <c r="E1332">
        <v>-0.091139240506329</v>
      </c>
      <c r="F1332">
        <v>0.091185410334346</v>
      </c>
      <c r="G1332">
        <v>-0.212719298245614</v>
      </c>
      <c r="H1332">
        <v>-0.418340894361633</v>
      </c>
      <c r="I1332">
        <v>-0.38103448275862</v>
      </c>
    </row>
    <row r="1333" spans="1:9">
      <c r="A1333" s="1" t="s">
        <v>1345</v>
      </c>
      <c r="B1333">
        <f>HYPERLINK("https://www.suredividend.com/sure-analysis-research-database/","Regenxbio Inc")</f>
        <v>0</v>
      </c>
      <c r="C1333">
        <v>-0.125562781390695</v>
      </c>
      <c r="D1333">
        <v>-0.135936727632229</v>
      </c>
      <c r="E1333">
        <v>-0.264</v>
      </c>
      <c r="F1333">
        <v>-0.229276895943562</v>
      </c>
      <c r="G1333">
        <v>-0.485731097381582</v>
      </c>
      <c r="H1333">
        <v>-0.454602184087363</v>
      </c>
      <c r="I1333">
        <v>-0.7475812274368231</v>
      </c>
    </row>
    <row r="1334" spans="1:9">
      <c r="A1334" s="1" t="s">
        <v>1346</v>
      </c>
      <c r="B1334">
        <f>HYPERLINK("https://www.suredividend.com/sure-analysis-research-database/","Resources Connection Inc")</f>
        <v>0</v>
      </c>
      <c r="C1334">
        <v>0.011912225705329</v>
      </c>
      <c r="D1334">
        <v>0.145233162092356</v>
      </c>
      <c r="E1334">
        <v>-0.08431246844168501</v>
      </c>
      <c r="F1334">
        <v>-0.09826357074217201</v>
      </c>
      <c r="G1334">
        <v>-0.225033250586986</v>
      </c>
      <c r="H1334">
        <v>0.156806811828958</v>
      </c>
      <c r="I1334">
        <v>0.057459215095328</v>
      </c>
    </row>
    <row r="1335" spans="1:9">
      <c r="A1335" s="1" t="s">
        <v>1347</v>
      </c>
      <c r="B1335">
        <f>HYPERLINK("https://www.suredividend.com/sure-analysis-research-database/","Sturm, Ruger &amp; Co., Inc.")</f>
        <v>0</v>
      </c>
      <c r="C1335">
        <v>0.03720405862457701</v>
      </c>
      <c r="D1335">
        <v>-0.040592329952811</v>
      </c>
      <c r="E1335">
        <v>-0.023943445302816</v>
      </c>
      <c r="F1335">
        <v>0.10524671829824</v>
      </c>
      <c r="G1335">
        <v>-0.063867313367025</v>
      </c>
      <c r="H1335">
        <v>-0.152362788726425</v>
      </c>
      <c r="I1335">
        <v>0.334016452869585</v>
      </c>
    </row>
    <row r="1336" spans="1:9">
      <c r="A1336" s="1" t="s">
        <v>1348</v>
      </c>
      <c r="B1336">
        <f>HYPERLINK("https://www.suredividend.com/sure-analysis-research-database/","Rigetti Computing Inc")</f>
        <v>0</v>
      </c>
      <c r="C1336">
        <v>1.037313432835821</v>
      </c>
      <c r="D1336">
        <v>6.278059184217542</v>
      </c>
      <c r="E1336">
        <v>1.6</v>
      </c>
      <c r="F1336">
        <v>2.743828853538124</v>
      </c>
      <c r="G1336">
        <v>-0.366589327146171</v>
      </c>
      <c r="H1336">
        <v>-0.7104984093319191</v>
      </c>
      <c r="I1336">
        <v>-0.7104984093319191</v>
      </c>
    </row>
    <row r="1337" spans="1:9">
      <c r="A1337" s="1" t="s">
        <v>1349</v>
      </c>
      <c r="B1337">
        <f>HYPERLINK("https://www.suredividend.com/sure-analysis-research-database/","Ryman Hospitality Properties Inc")</f>
        <v>0</v>
      </c>
      <c r="C1337">
        <v>-0.049462138789284</v>
      </c>
      <c r="D1337">
        <v>0.001570197146975</v>
      </c>
      <c r="E1337">
        <v>-0.026988045976515</v>
      </c>
      <c r="F1337">
        <v>0.124234596189851</v>
      </c>
      <c r="G1337">
        <v>0.06396039276700501</v>
      </c>
      <c r="H1337">
        <v>0.200153930760452</v>
      </c>
      <c r="I1337">
        <v>0.221588213767772</v>
      </c>
    </row>
    <row r="1338" spans="1:9">
      <c r="A1338" s="1" t="s">
        <v>1350</v>
      </c>
      <c r="B1338">
        <f>HYPERLINK("https://www.suredividend.com/sure-analysis-research-database/","RCI Hospitality Holdings Inc")</f>
        <v>0</v>
      </c>
      <c r="C1338">
        <v>-0.08856619570905201</v>
      </c>
      <c r="D1338">
        <v>-0.055261826855406</v>
      </c>
      <c r="E1338">
        <v>-0.252662664133707</v>
      </c>
      <c r="F1338">
        <v>-0.250657167318456</v>
      </c>
      <c r="G1338">
        <v>0.161515121203027</v>
      </c>
      <c r="H1338">
        <v>0.109440836722539</v>
      </c>
      <c r="I1338">
        <v>1.215720260149156</v>
      </c>
    </row>
    <row r="1339" spans="1:9">
      <c r="A1339" s="1" t="s">
        <v>1351</v>
      </c>
      <c r="B1339">
        <f>HYPERLINK("https://www.suredividend.com/sure-analysis-research-database/","Lordstown Motors Corp.")</f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>
      <c r="A1340" s="1" t="s">
        <v>1352</v>
      </c>
      <c r="B1340">
        <f>HYPERLINK("https://www.suredividend.com/sure-analysis-research-database/","Rigel Pharmaceuticals")</f>
        <v>0</v>
      </c>
      <c r="C1340">
        <v>-0.038167938931297</v>
      </c>
      <c r="D1340">
        <v>0.09565217391304301</v>
      </c>
      <c r="E1340">
        <v>-0.29608938547486</v>
      </c>
      <c r="F1340">
        <v>-0.16</v>
      </c>
      <c r="G1340">
        <v>-0.106382978723404</v>
      </c>
      <c r="H1340">
        <v>-0.6666666666666661</v>
      </c>
      <c r="I1340">
        <v>-0.524528301886792</v>
      </c>
    </row>
    <row r="1341" spans="1:9">
      <c r="A1341" s="1" t="s">
        <v>1353</v>
      </c>
      <c r="B1341">
        <f>HYPERLINK("https://www.suredividend.com/sure-analysis-research-database/","B. Riley Financial Inc")</f>
        <v>0</v>
      </c>
      <c r="C1341">
        <v>0.138780804150453</v>
      </c>
      <c r="D1341">
        <v>0.9415829724500131</v>
      </c>
      <c r="E1341">
        <v>0.295523459844428</v>
      </c>
      <c r="F1341">
        <v>0.6754659372813431</v>
      </c>
      <c r="G1341">
        <v>0.071060427082295</v>
      </c>
      <c r="H1341">
        <v>-0.032126492322051</v>
      </c>
      <c r="I1341">
        <v>2.159011999208448</v>
      </c>
    </row>
    <row r="1342" spans="1:9">
      <c r="A1342" s="1" t="s">
        <v>1354</v>
      </c>
      <c r="B1342">
        <f>HYPERLINK("https://www.suredividend.com/sure-analysis-research-database/","Riot Platforms Inc")</f>
        <v>0</v>
      </c>
      <c r="C1342">
        <v>0.334082397003745</v>
      </c>
      <c r="D1342">
        <v>0.65828677839851</v>
      </c>
      <c r="E1342">
        <v>1.603801169590643</v>
      </c>
      <c r="F1342">
        <v>4.253687315634218</v>
      </c>
      <c r="G1342">
        <v>1.193349753694581</v>
      </c>
      <c r="H1342">
        <v>-0.434243964421855</v>
      </c>
      <c r="I1342">
        <v>1.607613469985358</v>
      </c>
    </row>
    <row r="1343" spans="1:9">
      <c r="A1343" s="1" t="s">
        <v>1355</v>
      </c>
      <c r="B1343">
        <f>HYPERLINK("https://www.suredividend.com/sure-analysis-research-database/","Rocket Lab USA Inc")</f>
        <v>0</v>
      </c>
      <c r="C1343">
        <v>0.175585284280936</v>
      </c>
      <c r="D1343">
        <v>0.797953964194373</v>
      </c>
      <c r="E1343">
        <v>0.323917137476459</v>
      </c>
      <c r="F1343">
        <v>0.86472148541114</v>
      </c>
      <c r="G1343">
        <v>0.36504854368932</v>
      </c>
      <c r="H1343">
        <v>-0.325982742090124</v>
      </c>
      <c r="I1343">
        <v>-0.325982742090124</v>
      </c>
    </row>
    <row r="1344" spans="1:9">
      <c r="A1344" s="1" t="s">
        <v>1356</v>
      </c>
      <c r="B1344">
        <f>HYPERLINK("https://www.suredividend.com/sure-analysis-research-database/","Relay Therapeutics Inc")</f>
        <v>0</v>
      </c>
      <c r="C1344">
        <v>-0.127172195892575</v>
      </c>
      <c r="D1344">
        <v>-0.014272970561998</v>
      </c>
      <c r="E1344">
        <v>-0.499320344358858</v>
      </c>
      <c r="F1344">
        <v>-0.260374832663989</v>
      </c>
      <c r="G1344">
        <v>-0.418421052631578</v>
      </c>
      <c r="H1344">
        <v>-0.655333749220212</v>
      </c>
      <c r="I1344">
        <v>-0.6847360912981451</v>
      </c>
    </row>
    <row r="1345" spans="1:9">
      <c r="A1345" s="1" t="s">
        <v>1357</v>
      </c>
      <c r="B1345">
        <f>HYPERLINK("https://www.suredividend.com/sure-analysis-research-database/","Radiant Logistics, Inc.")</f>
        <v>0</v>
      </c>
      <c r="C1345">
        <v>0.087020648967551</v>
      </c>
      <c r="D1345">
        <v>0.118361153262519</v>
      </c>
      <c r="E1345">
        <v>0.275086505190311</v>
      </c>
      <c r="F1345">
        <v>0.447937131630648</v>
      </c>
      <c r="G1345">
        <v>0</v>
      </c>
      <c r="H1345">
        <v>0.177316293929712</v>
      </c>
      <c r="I1345">
        <v>0.7931873479318731</v>
      </c>
    </row>
    <row r="1346" spans="1:9">
      <c r="A1346" s="1" t="s">
        <v>1358</v>
      </c>
      <c r="B1346">
        <f>HYPERLINK("https://www.suredividend.com/sure-analysis-RLI/","RLI Corp.")</f>
        <v>0</v>
      </c>
      <c r="C1346">
        <v>7.3378338714E-05</v>
      </c>
      <c r="D1346">
        <v>-0.022870662460567</v>
      </c>
      <c r="E1346">
        <v>0.033446543083778</v>
      </c>
      <c r="F1346">
        <v>0.04029591453529</v>
      </c>
      <c r="G1346">
        <v>0.257890078367779</v>
      </c>
      <c r="H1346">
        <v>0.300657056558397</v>
      </c>
      <c r="I1346">
        <v>0.9414944763777001</v>
      </c>
    </row>
    <row r="1347" spans="1:9">
      <c r="A1347" s="1" t="s">
        <v>1359</v>
      </c>
      <c r="B1347">
        <f>HYPERLINK("https://www.suredividend.com/sure-analysis-research-database/","RLJ Lodging Trust")</f>
        <v>0</v>
      </c>
      <c r="C1347">
        <v>-0.08136234626300801</v>
      </c>
      <c r="D1347">
        <v>-0.033648152387018</v>
      </c>
      <c r="E1347">
        <v>-0.222409968528024</v>
      </c>
      <c r="F1347">
        <v>-0.06820973437739801</v>
      </c>
      <c r="G1347">
        <v>-0.195286083670357</v>
      </c>
      <c r="H1347">
        <v>-0.292341104705822</v>
      </c>
      <c r="I1347">
        <v>-0.4978720323513131</v>
      </c>
    </row>
    <row r="1348" spans="1:9">
      <c r="A1348" s="1" t="s">
        <v>1360</v>
      </c>
      <c r="B1348">
        <f>HYPERLINK("https://www.suredividend.com/sure-analysis-research-database/","Relmada Therapeutics Inc")</f>
        <v>0</v>
      </c>
      <c r="C1348">
        <v>0.031620553359683</v>
      </c>
      <c r="D1348">
        <v>-0.040441176470588</v>
      </c>
      <c r="E1348">
        <v>-0.366504854368932</v>
      </c>
      <c r="F1348">
        <v>-0.25214899713467</v>
      </c>
      <c r="G1348">
        <v>-0.89390243902439</v>
      </c>
      <c r="H1348">
        <v>-0.894673123486682</v>
      </c>
      <c r="I1348">
        <v>0.373684210526315</v>
      </c>
    </row>
    <row r="1349" spans="1:9">
      <c r="A1349" s="1" t="s">
        <v>1361</v>
      </c>
      <c r="B1349">
        <f>HYPERLINK("https://www.suredividend.com/sure-analysis-research-database/","Rallybio Corp")</f>
        <v>0</v>
      </c>
      <c r="C1349">
        <v>-0.016949152542372</v>
      </c>
      <c r="D1349">
        <v>0.074074074074073</v>
      </c>
      <c r="E1349">
        <v>-0.100775193798449</v>
      </c>
      <c r="F1349">
        <v>-0.117199391171993</v>
      </c>
      <c r="G1349">
        <v>-0.400826446280991</v>
      </c>
      <c r="H1349">
        <v>-0.697601668404588</v>
      </c>
      <c r="I1349">
        <v>-0.5886524822695031</v>
      </c>
    </row>
    <row r="1350" spans="1:9">
      <c r="A1350" s="1" t="s">
        <v>1362</v>
      </c>
      <c r="B1350">
        <f>HYPERLINK("https://www.suredividend.com/sure-analysis-research-database/","Regional Management Corp")</f>
        <v>0</v>
      </c>
      <c r="C1350">
        <v>0.067144719687092</v>
      </c>
      <c r="D1350">
        <v>0.302219022580016</v>
      </c>
      <c r="E1350">
        <v>-0.124856325679612</v>
      </c>
      <c r="F1350">
        <v>0.179326839951587</v>
      </c>
      <c r="G1350">
        <v>-0.182025548585034</v>
      </c>
      <c r="H1350">
        <v>-0.359646377718666</v>
      </c>
      <c r="I1350">
        <v>0.04999166164227101</v>
      </c>
    </row>
    <row r="1351" spans="1:9">
      <c r="A1351" s="1" t="s">
        <v>1363</v>
      </c>
      <c r="B1351">
        <f>HYPERLINK("https://www.suredividend.com/sure-analysis-research-database/","RE/MAX Holdings Inc")</f>
        <v>0</v>
      </c>
      <c r="C1351">
        <v>-0.014351614556637</v>
      </c>
      <c r="D1351">
        <v>0.045051899353296</v>
      </c>
      <c r="E1351">
        <v>-0.169344806137259</v>
      </c>
      <c r="F1351">
        <v>0.057930351543159</v>
      </c>
      <c r="G1351">
        <v>-0.219663030775224</v>
      </c>
      <c r="H1351">
        <v>-0.384310975785459</v>
      </c>
      <c r="I1351">
        <v>-0.553672972032029</v>
      </c>
    </row>
    <row r="1352" spans="1:9">
      <c r="A1352" s="1" t="s">
        <v>1364</v>
      </c>
      <c r="B1352">
        <f>HYPERLINK("https://www.suredividend.com/sure-analysis-research-database/","RumbleON Inc")</f>
        <v>0</v>
      </c>
      <c r="C1352">
        <v>-0.101068200493015</v>
      </c>
      <c r="D1352">
        <v>0.6017569546120051</v>
      </c>
      <c r="E1352">
        <v>0.200878155872667</v>
      </c>
      <c r="F1352">
        <v>0.6908809891808341</v>
      </c>
      <c r="G1352">
        <v>-0.404139433551198</v>
      </c>
      <c r="H1352">
        <v>-0.711345646437994</v>
      </c>
      <c r="I1352">
        <v>-0.9073666384419981</v>
      </c>
    </row>
    <row r="1353" spans="1:9">
      <c r="A1353" s="1" t="s">
        <v>1365</v>
      </c>
      <c r="B1353">
        <f>HYPERLINK("https://www.suredividend.com/sure-analysis-research-database/","Rambus Inc.")</f>
        <v>0</v>
      </c>
      <c r="C1353">
        <v>-0.161138923654568</v>
      </c>
      <c r="D1353">
        <v>0.137221633085895</v>
      </c>
      <c r="E1353">
        <v>0.229252636405318</v>
      </c>
      <c r="F1353">
        <v>0.496929089893913</v>
      </c>
      <c r="G1353">
        <v>1.020346646571213</v>
      </c>
      <c r="H1353">
        <v>1.189465087790935</v>
      </c>
      <c r="I1353">
        <v>3.279329608938547</v>
      </c>
    </row>
    <row r="1354" spans="1:9">
      <c r="A1354" s="1" t="s">
        <v>1366</v>
      </c>
      <c r="B1354">
        <f>HYPERLINK("https://www.suredividend.com/sure-analysis-research-database/","Rimini Street Inc.")</f>
        <v>0</v>
      </c>
      <c r="C1354">
        <v>-0.4876033057851241</v>
      </c>
      <c r="D1354">
        <v>-0.283236994219653</v>
      </c>
      <c r="E1354">
        <v>-0.508910891089108</v>
      </c>
      <c r="F1354">
        <v>-0.349081364829396</v>
      </c>
      <c r="G1354">
        <v>-0.656509695290858</v>
      </c>
      <c r="H1354">
        <v>-0.711292200232828</v>
      </c>
      <c r="I1354">
        <v>-0.69268897149938</v>
      </c>
    </row>
    <row r="1355" spans="1:9">
      <c r="A1355" s="1" t="s">
        <v>1367</v>
      </c>
      <c r="B1355">
        <f>HYPERLINK("https://www.suredividend.com/sure-analysis-research-database/","RMR Group Inc (The)")</f>
        <v>0</v>
      </c>
      <c r="C1355">
        <v>0.007942288652689001</v>
      </c>
      <c r="D1355">
        <v>0.029233619553211</v>
      </c>
      <c r="E1355">
        <v>-0.181972963693192</v>
      </c>
      <c r="F1355">
        <v>-0.115034081335682</v>
      </c>
      <c r="G1355">
        <v>-0.110863166804532</v>
      </c>
      <c r="H1355">
        <v>-0.186181638905518</v>
      </c>
      <c r="I1355">
        <v>-0.5945087607864881</v>
      </c>
    </row>
    <row r="1356" spans="1:9">
      <c r="A1356" s="1" t="s">
        <v>1368</v>
      </c>
      <c r="B1356">
        <f>HYPERLINK("https://www.suredividend.com/sure-analysis-research-database/","Avidity Biosciences Inc")</f>
        <v>0</v>
      </c>
      <c r="C1356">
        <v>-0.17533039647577</v>
      </c>
      <c r="D1356">
        <v>-0.190311418685121</v>
      </c>
      <c r="E1356">
        <v>-0.61274306992139</v>
      </c>
      <c r="F1356">
        <v>-0.5781883731410541</v>
      </c>
      <c r="G1356">
        <v>-0.463610315186246</v>
      </c>
      <c r="H1356">
        <v>-0.5081450341565951</v>
      </c>
      <c r="I1356">
        <v>-0.6715789473684211</v>
      </c>
    </row>
    <row r="1357" spans="1:9">
      <c r="A1357" s="1" t="s">
        <v>1369</v>
      </c>
      <c r="B1357">
        <f>HYPERLINK("https://www.suredividend.com/sure-analysis-research-database/","Renasant Corp.")</f>
        <v>0</v>
      </c>
      <c r="C1357">
        <v>0.148511119487372</v>
      </c>
      <c r="D1357">
        <v>0.196689956366178</v>
      </c>
      <c r="E1357">
        <v>-0.185100197640615</v>
      </c>
      <c r="F1357">
        <v>-0.171224884469238</v>
      </c>
      <c r="G1357">
        <v>-0.05943726752172301</v>
      </c>
      <c r="H1357">
        <v>-0.07799658674154801</v>
      </c>
      <c r="I1357">
        <v>-0.218936246023547</v>
      </c>
    </row>
    <row r="1358" spans="1:9">
      <c r="A1358" s="1" t="s">
        <v>1370</v>
      </c>
      <c r="B1358">
        <f>HYPERLINK("https://www.suredividend.com/sure-analysis-research-database/","Construction Partners Inc")</f>
        <v>0</v>
      </c>
      <c r="C1358">
        <v>0.09353905496624801</v>
      </c>
      <c r="D1358">
        <v>0.342541436464088</v>
      </c>
      <c r="E1358">
        <v>0.184952978056426</v>
      </c>
      <c r="F1358">
        <v>0.274634694642188</v>
      </c>
      <c r="G1358">
        <v>0.450746268656716</v>
      </c>
      <c r="H1358">
        <v>0.043238270469181</v>
      </c>
      <c r="I1358">
        <v>1.968586387434554</v>
      </c>
    </row>
    <row r="1359" spans="1:9">
      <c r="A1359" s="1" t="s">
        <v>1371</v>
      </c>
      <c r="B1359">
        <f>HYPERLINK("https://www.suredividend.com/sure-analysis-research-database/","Ranger Oil Corp")</f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>
      <c r="A1360" s="1" t="s">
        <v>1372</v>
      </c>
      <c r="B1360">
        <f>HYPERLINK("https://www.suredividend.com/sure-analysis-research-database/","Gibraltar Industries Inc.")</f>
        <v>0</v>
      </c>
      <c r="C1360">
        <v>0.158701969648046</v>
      </c>
      <c r="D1360">
        <v>0.321001288422602</v>
      </c>
      <c r="E1360">
        <v>0.261114039711825</v>
      </c>
      <c r="F1360">
        <v>0.564298169136878</v>
      </c>
      <c r="G1360">
        <v>0.613897009219698</v>
      </c>
      <c r="H1360">
        <v>0.002934600335382</v>
      </c>
      <c r="I1360">
        <v>0.6651972157772621</v>
      </c>
    </row>
    <row r="1361" spans="1:9">
      <c r="A1361" s="1" t="s">
        <v>1373</v>
      </c>
      <c r="B1361">
        <f>HYPERLINK("https://www.suredividend.com/sure-analysis-research-database/","Rogers Corp.")</f>
        <v>0</v>
      </c>
      <c r="C1361">
        <v>-0.044343725117902</v>
      </c>
      <c r="D1361">
        <v>-0.050276949296974</v>
      </c>
      <c r="E1361">
        <v>0.06150078236614701</v>
      </c>
      <c r="F1361">
        <v>0.307440925087984</v>
      </c>
      <c r="G1361">
        <v>-0.417298427755163</v>
      </c>
      <c r="H1361">
        <v>-0.180213313718278</v>
      </c>
      <c r="I1361">
        <v>0.223380900109769</v>
      </c>
    </row>
    <row r="1362" spans="1:9">
      <c r="A1362" s="1" t="s">
        <v>1374</v>
      </c>
      <c r="B1362">
        <f>HYPERLINK("https://www.suredividend.com/sure-analysis-research-database/","Retail Opportunity Investments Corp")</f>
        <v>0</v>
      </c>
      <c r="C1362">
        <v>0.09743589743589701</v>
      </c>
      <c r="D1362">
        <v>0.203454508937537</v>
      </c>
      <c r="E1362">
        <v>-0.020447664571985</v>
      </c>
      <c r="F1362">
        <v>0.031041365544772</v>
      </c>
      <c r="G1362">
        <v>-0.07907194058845901</v>
      </c>
      <c r="H1362">
        <v>-0.07335238590109901</v>
      </c>
      <c r="I1362">
        <v>-0.07014854035667001</v>
      </c>
    </row>
    <row r="1363" spans="1:9">
      <c r="A1363" s="1" t="s">
        <v>1375</v>
      </c>
      <c r="B1363">
        <f>HYPERLINK("https://www.suredividend.com/sure-analysis-research-database/","Root Inc")</f>
        <v>0</v>
      </c>
      <c r="C1363">
        <v>0.08928571428571401</v>
      </c>
      <c r="D1363">
        <v>1.64578313253012</v>
      </c>
      <c r="E1363">
        <v>0.5165745856353591</v>
      </c>
      <c r="F1363">
        <v>1.44543429844098</v>
      </c>
      <c r="G1363">
        <v>-0.519685039370078</v>
      </c>
      <c r="H1363">
        <v>-0.917232021709633</v>
      </c>
      <c r="I1363">
        <v>-0.9774074074074071</v>
      </c>
    </row>
    <row r="1364" spans="1:9">
      <c r="A1364" s="1" t="s">
        <v>1376</v>
      </c>
      <c r="B1364">
        <f>HYPERLINK("https://www.suredividend.com/sure-analysis-research-database/","Rover Group Inc")</f>
        <v>0</v>
      </c>
      <c r="C1364">
        <v>0.274390243902439</v>
      </c>
      <c r="D1364">
        <v>0.4718309859154931</v>
      </c>
      <c r="E1364">
        <v>0.4581395348837201</v>
      </c>
      <c r="F1364">
        <v>0.7084468664850131</v>
      </c>
      <c r="G1364">
        <v>0.381057268722466</v>
      </c>
      <c r="H1364">
        <v>-0.460413080895008</v>
      </c>
      <c r="I1364">
        <v>-0.43</v>
      </c>
    </row>
    <row r="1365" spans="1:9">
      <c r="A1365" s="1" t="s">
        <v>1377</v>
      </c>
      <c r="B1365">
        <f>HYPERLINK("https://www.suredividend.com/sure-analysis-research-database/","Repay Holdings Corporation")</f>
        <v>0</v>
      </c>
      <c r="C1365">
        <v>0.038993710691823</v>
      </c>
      <c r="D1365">
        <v>0.4241379310344821</v>
      </c>
      <c r="E1365">
        <v>-0.182987141444114</v>
      </c>
      <c r="F1365">
        <v>0.026086956521738</v>
      </c>
      <c r="G1365">
        <v>-0.3922001471670341</v>
      </c>
      <c r="H1365">
        <v>-0.6388281591604721</v>
      </c>
      <c r="I1365">
        <v>-0.139583333333333</v>
      </c>
    </row>
    <row r="1366" spans="1:9">
      <c r="A1366" s="1" t="s">
        <v>1378</v>
      </c>
      <c r="B1366">
        <f>HYPERLINK("https://www.suredividend.com/sure-analysis-research-database/","Rapid7 Inc")</f>
        <v>0</v>
      </c>
      <c r="C1366">
        <v>-0.046470458065943</v>
      </c>
      <c r="D1366">
        <v>-0.06549555410973701</v>
      </c>
      <c r="E1366">
        <v>-0.138544582167133</v>
      </c>
      <c r="F1366">
        <v>0.268098881695115</v>
      </c>
      <c r="G1366">
        <v>-0.39969350794093</v>
      </c>
      <c r="H1366">
        <v>-0.626473647711511</v>
      </c>
      <c r="I1366">
        <v>0.496180555555555</v>
      </c>
    </row>
    <row r="1367" spans="1:9">
      <c r="A1367" s="1" t="s">
        <v>1379</v>
      </c>
      <c r="B1367">
        <f>HYPERLINK("https://www.suredividend.com/sure-analysis-RPT/","RPT Realty")</f>
        <v>0</v>
      </c>
      <c r="C1367">
        <v>0.003795066413662</v>
      </c>
      <c r="D1367">
        <v>0.19318822600654</v>
      </c>
      <c r="E1367">
        <v>0.008916225623420001</v>
      </c>
      <c r="F1367">
        <v>0.08428302041485601</v>
      </c>
      <c r="G1367">
        <v>0.049863557429917</v>
      </c>
      <c r="H1367">
        <v>-0.066443130680314</v>
      </c>
      <c r="I1367">
        <v>0.023379085536306</v>
      </c>
    </row>
    <row r="1368" spans="1:9">
      <c r="A1368" s="1" t="s">
        <v>1380</v>
      </c>
      <c r="B1368">
        <f>HYPERLINK("https://www.suredividend.com/sure-analysis-research-database/","Red River Bancshares Inc")</f>
        <v>0</v>
      </c>
      <c r="C1368">
        <v>-0.007831325301204001</v>
      </c>
      <c r="D1368">
        <v>0.119309159034326</v>
      </c>
      <c r="E1368">
        <v>-0.03494774342617901</v>
      </c>
      <c r="F1368">
        <v>-0.027766026315841</v>
      </c>
      <c r="G1368">
        <v>-0.08143972842889201</v>
      </c>
      <c r="H1368">
        <v>-0.026290741189616</v>
      </c>
      <c r="I1368">
        <v>0.00398872671634</v>
      </c>
    </row>
    <row r="1369" spans="1:9">
      <c r="A1369" s="1" t="s">
        <v>1381</v>
      </c>
      <c r="B1369">
        <f>HYPERLINK("https://www.suredividend.com/sure-analysis-research-database/","Red Rock Resorts Inc")</f>
        <v>0</v>
      </c>
      <c r="C1369">
        <v>0.009629788144660001</v>
      </c>
      <c r="D1369">
        <v>0.002483899275653</v>
      </c>
      <c r="E1369">
        <v>0.014093710168664</v>
      </c>
      <c r="F1369">
        <v>0.1983591775568</v>
      </c>
      <c r="G1369">
        <v>0.195077839639703</v>
      </c>
      <c r="H1369">
        <v>0.359595406538622</v>
      </c>
      <c r="I1369">
        <v>0.6516831905001951</v>
      </c>
    </row>
    <row r="1370" spans="1:9">
      <c r="A1370" s="1" t="s">
        <v>1382</v>
      </c>
      <c r="B1370">
        <f>HYPERLINK("https://www.suredividend.com/sure-analysis-research-database/","Rush Street Interactive Inc")</f>
        <v>0</v>
      </c>
      <c r="C1370">
        <v>0.394984326018808</v>
      </c>
      <c r="D1370">
        <v>0.40378548895899</v>
      </c>
      <c r="E1370">
        <v>-0.015486725663716</v>
      </c>
      <c r="F1370">
        <v>0.239554317548746</v>
      </c>
      <c r="G1370">
        <v>-0.274061990212071</v>
      </c>
      <c r="H1370">
        <v>-0.543589743589743</v>
      </c>
      <c r="I1370">
        <v>-0.5374220374220371</v>
      </c>
    </row>
    <row r="1371" spans="1:9">
      <c r="A1371" s="1" t="s">
        <v>1383</v>
      </c>
      <c r="B1371">
        <f>HYPERLINK("https://www.suredividend.com/sure-analysis-research-database/","Reservoir Media Inc")</f>
        <v>0</v>
      </c>
      <c r="C1371">
        <v>-0.09612141652613801</v>
      </c>
      <c r="D1371">
        <v>-0.162499999999999</v>
      </c>
      <c r="E1371">
        <v>-0.261707988980716</v>
      </c>
      <c r="F1371">
        <v>-0.10217755443886</v>
      </c>
      <c r="G1371">
        <v>-0.168992248062015</v>
      </c>
      <c r="H1371">
        <v>-0.25452016689847</v>
      </c>
      <c r="I1371">
        <v>-0.465069860279441</v>
      </c>
    </row>
    <row r="1372" spans="1:9">
      <c r="A1372" s="1" t="s">
        <v>1384</v>
      </c>
      <c r="B1372">
        <f>HYPERLINK("https://www.suredividend.com/sure-analysis-RTL/","Necessity Retail REIT Inc (The)")</f>
        <v>0</v>
      </c>
      <c r="C1372">
        <v>0.061928134278615</v>
      </c>
      <c r="D1372">
        <v>0.394636320229189</v>
      </c>
      <c r="E1372">
        <v>0.159520973931454</v>
      </c>
      <c r="F1372">
        <v>0.3890815416625381</v>
      </c>
      <c r="G1372">
        <v>0.134102344242934</v>
      </c>
      <c r="H1372">
        <v>-0.125324416051108</v>
      </c>
      <c r="I1372">
        <v>-0.343866414571594</v>
      </c>
    </row>
    <row r="1373" spans="1:9">
      <c r="A1373" s="1" t="s">
        <v>1385</v>
      </c>
      <c r="B1373">
        <f>HYPERLINK("https://www.suredividend.com/sure-analysis-research-database/","Rush Enterprises Inc")</f>
        <v>0</v>
      </c>
      <c r="C1373">
        <v>0.06281694748895701</v>
      </c>
      <c r="D1373">
        <v>0.265571279693785</v>
      </c>
      <c r="E1373">
        <v>0.153666535857419</v>
      </c>
      <c r="F1373">
        <v>0.257602328993569</v>
      </c>
      <c r="G1373">
        <v>0.3533414849053571</v>
      </c>
      <c r="H1373">
        <v>0.4556885449388101</v>
      </c>
      <c r="I1373">
        <v>1.397965586222678</v>
      </c>
    </row>
    <row r="1374" spans="1:9">
      <c r="A1374" s="1" t="s">
        <v>1386</v>
      </c>
      <c r="B1374">
        <f>HYPERLINK("https://www.suredividend.com/sure-analysis-research-database/","Rush Enterprises Inc")</f>
        <v>0</v>
      </c>
      <c r="C1374">
        <v>0.016463325003674</v>
      </c>
      <c r="D1374">
        <v>0.231187227701089</v>
      </c>
      <c r="E1374">
        <v>0.135753317335882</v>
      </c>
      <c r="F1374">
        <v>0.242527316733959</v>
      </c>
      <c r="G1374">
        <v>0.283862690745977</v>
      </c>
      <c r="H1374">
        <v>0.653716737335256</v>
      </c>
      <c r="I1374">
        <v>2.832320063844291</v>
      </c>
    </row>
    <row r="1375" spans="1:9">
      <c r="A1375" s="1" t="s">
        <v>1387</v>
      </c>
      <c r="B1375">
        <f>HYPERLINK("https://www.suredividend.com/sure-analysis-research-database/","Revolve Group Inc")</f>
        <v>0</v>
      </c>
      <c r="C1375">
        <v>0.04363419007770401</v>
      </c>
      <c r="D1375">
        <v>-0.12743628185907</v>
      </c>
      <c r="E1375">
        <v>-0.424332344213649</v>
      </c>
      <c r="F1375">
        <v>-0.215633423180592</v>
      </c>
      <c r="G1375">
        <v>-0.435681965093729</v>
      </c>
      <c r="H1375">
        <v>-0.762254901960784</v>
      </c>
      <c r="I1375">
        <v>-0.486470588235294</v>
      </c>
    </row>
    <row r="1376" spans="1:9">
      <c r="A1376" s="1" t="s">
        <v>1388</v>
      </c>
      <c r="B1376">
        <f>HYPERLINK("https://www.suredividend.com/sure-analysis-research-database/","Revolution Medicines Inc")</f>
        <v>0</v>
      </c>
      <c r="C1376">
        <v>0.188594856503913</v>
      </c>
      <c r="D1376">
        <v>0.3382291229542591</v>
      </c>
      <c r="E1376">
        <v>0.231274131274131</v>
      </c>
      <c r="F1376">
        <v>0.338790931989924</v>
      </c>
      <c r="G1376">
        <v>0.5480582524271841</v>
      </c>
      <c r="H1376">
        <v>0.08065062690613301</v>
      </c>
      <c r="I1376">
        <v>0.103460207612456</v>
      </c>
    </row>
    <row r="1377" spans="1:9">
      <c r="A1377" s="1" t="s">
        <v>1389</v>
      </c>
      <c r="B1377">
        <f>HYPERLINK("https://www.suredividend.com/sure-analysis-research-database/","Revance Therapeutics Inc")</f>
        <v>0</v>
      </c>
      <c r="C1377">
        <v>-0.082568807339449</v>
      </c>
      <c r="D1377">
        <v>-0.315679857185361</v>
      </c>
      <c r="E1377">
        <v>-0.341351660939289</v>
      </c>
      <c r="F1377">
        <v>0.245937161430119</v>
      </c>
      <c r="G1377">
        <v>0.277777777777777</v>
      </c>
      <c r="H1377">
        <v>-0.23714759535655</v>
      </c>
      <c r="I1377">
        <v>-0.143389199255121</v>
      </c>
    </row>
    <row r="1378" spans="1:9">
      <c r="A1378" s="1" t="s">
        <v>1390</v>
      </c>
      <c r="B1378">
        <f>HYPERLINK("https://www.suredividend.com/sure-analysis-research-database/","Redwood Trust Inc.")</f>
        <v>0</v>
      </c>
      <c r="C1378">
        <v>0.152037617554859</v>
      </c>
      <c r="D1378">
        <v>0.322108898602342</v>
      </c>
      <c r="E1378">
        <v>-0.09161692187905501</v>
      </c>
      <c r="F1378">
        <v>0.155624036979969</v>
      </c>
      <c r="G1378">
        <v>0.022494887525562</v>
      </c>
      <c r="H1378">
        <v>-0.23155737704918</v>
      </c>
      <c r="I1378">
        <v>-0.313808781380411</v>
      </c>
    </row>
    <row r="1379" spans="1:9">
      <c r="A1379" s="1" t="s">
        <v>1391</v>
      </c>
      <c r="B1379">
        <f>HYPERLINK("https://www.suredividend.com/sure-analysis-research-database/","Prometheus Biosciences Inc")</f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>
      <c r="A1380" s="1" t="s">
        <v>1392</v>
      </c>
      <c r="B1380">
        <f>HYPERLINK("https://www.suredividend.com/sure-analysis-research-database/","Recursion Pharmaceuticals Inc")</f>
        <v>0</v>
      </c>
      <c r="C1380">
        <v>0.6768292682926821</v>
      </c>
      <c r="D1380">
        <v>1.398255813953488</v>
      </c>
      <c r="E1380">
        <v>0.283713692946058</v>
      </c>
      <c r="F1380">
        <v>0.605058365758754</v>
      </c>
      <c r="G1380">
        <v>0.265337423312883</v>
      </c>
      <c r="H1380">
        <v>-0.6052631578947361</v>
      </c>
      <c r="I1380">
        <v>-0.6046325878594251</v>
      </c>
    </row>
    <row r="1381" spans="1:9">
      <c r="A1381" s="1" t="s">
        <v>1393</v>
      </c>
      <c r="B1381">
        <f>HYPERLINK("https://www.suredividend.com/sure-analysis-research-database/","RxSight Inc")</f>
        <v>0</v>
      </c>
      <c r="C1381">
        <v>0.124646892655367</v>
      </c>
      <c r="D1381">
        <v>0.689655172413793</v>
      </c>
      <c r="E1381">
        <v>1.289719626168224</v>
      </c>
      <c r="F1381">
        <v>1.513812154696132</v>
      </c>
      <c r="G1381">
        <v>1.130434782608695</v>
      </c>
      <c r="H1381">
        <v>0.948012232415902</v>
      </c>
      <c r="I1381">
        <v>0.990625</v>
      </c>
    </row>
    <row r="1382" spans="1:9">
      <c r="A1382" s="1" t="s">
        <v>1394</v>
      </c>
      <c r="B1382">
        <f>HYPERLINK("https://www.suredividend.com/sure-analysis-research-database/","Rackspace Technology Inc")</f>
        <v>0</v>
      </c>
      <c r="C1382">
        <v>-0.228136882129277</v>
      </c>
      <c r="D1382">
        <v>0.5263157894736841</v>
      </c>
      <c r="E1382">
        <v>-0.388554216867469</v>
      </c>
      <c r="F1382">
        <v>-0.311864406779661</v>
      </c>
      <c r="G1382">
        <v>-0.7136812411847671</v>
      </c>
      <c r="H1382">
        <v>-0.8823870220162221</v>
      </c>
      <c r="I1382">
        <v>-0.87614399023795</v>
      </c>
    </row>
    <row r="1383" spans="1:9">
      <c r="A1383" s="1" t="s">
        <v>1395</v>
      </c>
      <c r="B1383">
        <f>HYPERLINK("https://www.suredividend.com/sure-analysis-research-database/","Rayonier Advanced Materials Inc")</f>
        <v>0</v>
      </c>
      <c r="C1383">
        <v>0.015765765765765</v>
      </c>
      <c r="D1383">
        <v>-0.166358595194085</v>
      </c>
      <c r="E1383">
        <v>-0.39300134589502</v>
      </c>
      <c r="F1383">
        <v>-0.5302083333333331</v>
      </c>
      <c r="G1383">
        <v>0.11910669975186</v>
      </c>
      <c r="H1383">
        <v>-0.369230769230769</v>
      </c>
      <c r="I1383">
        <v>-0.7656960282619421</v>
      </c>
    </row>
    <row r="1384" spans="1:9">
      <c r="A1384" s="1" t="s">
        <v>1396</v>
      </c>
      <c r="B1384">
        <f>HYPERLINK("https://www.suredividend.com/sure-analysis-research-database/","Ryerson Holding Corp.")</f>
        <v>0</v>
      </c>
      <c r="C1384">
        <v>-0.260889292196007</v>
      </c>
      <c r="D1384">
        <v>-0.136992506297729</v>
      </c>
      <c r="E1384">
        <v>-0.186642766912487</v>
      </c>
      <c r="F1384">
        <v>0.08698553355041901</v>
      </c>
      <c r="G1384">
        <v>0.246933378240285</v>
      </c>
      <c r="H1384">
        <v>1.142744396506366</v>
      </c>
      <c r="I1384">
        <v>2.024816867671225</v>
      </c>
    </row>
    <row r="1385" spans="1:9">
      <c r="A1385" s="1" t="s">
        <v>1397</v>
      </c>
      <c r="B1385">
        <f>HYPERLINK("https://www.suredividend.com/sure-analysis-research-database/","Sabre Corp")</f>
        <v>0</v>
      </c>
      <c r="C1385">
        <v>0.481818181818181</v>
      </c>
      <c r="D1385">
        <v>0.237974683544303</v>
      </c>
      <c r="E1385">
        <v>-0.3616187989556131</v>
      </c>
      <c r="F1385">
        <v>-0.208737864077669</v>
      </c>
      <c r="G1385">
        <v>-0.3382949932341</v>
      </c>
      <c r="H1385">
        <v>-0.554238833181403</v>
      </c>
      <c r="I1385">
        <v>-0.789885274781936</v>
      </c>
    </row>
    <row r="1386" spans="1:9">
      <c r="A1386" s="1" t="s">
        <v>1398</v>
      </c>
      <c r="B1386">
        <f>HYPERLINK("https://www.suredividend.com/sure-analysis-SAFE/","Safehold Inc.")</f>
        <v>0</v>
      </c>
      <c r="C1386">
        <v>-0.046817248459958</v>
      </c>
      <c r="D1386">
        <v>-0.114314824637388</v>
      </c>
      <c r="E1386">
        <v>1.432914046121593</v>
      </c>
      <c r="F1386">
        <v>2.041939711664482</v>
      </c>
      <c r="G1386">
        <v>0.838576034347547</v>
      </c>
      <c r="H1386">
        <v>0.219883950721103</v>
      </c>
      <c r="I1386">
        <v>2.085492469058665</v>
      </c>
    </row>
    <row r="1387" spans="1:9">
      <c r="A1387" s="1" t="s">
        <v>1399</v>
      </c>
      <c r="B1387">
        <f>HYPERLINK("https://www.suredividend.com/sure-analysis-research-database/","Safety Insurance Group, Inc.")</f>
        <v>0</v>
      </c>
      <c r="C1387">
        <v>0.008651967624895</v>
      </c>
      <c r="D1387">
        <v>0.035570143830778</v>
      </c>
      <c r="E1387">
        <v>-0.151275611150838</v>
      </c>
      <c r="F1387">
        <v>-0.110884772979163</v>
      </c>
      <c r="G1387">
        <v>-0.09462927774514</v>
      </c>
      <c r="H1387">
        <v>0.023382911997281</v>
      </c>
      <c r="I1387">
        <v>-0.046792618049749</v>
      </c>
    </row>
    <row r="1388" spans="1:9">
      <c r="A1388" s="1" t="s">
        <v>1400</v>
      </c>
      <c r="B1388">
        <f>HYPERLINK("https://www.suredividend.com/sure-analysis-research-database/","Sage Therapeutics Inc")</f>
        <v>0</v>
      </c>
      <c r="C1388">
        <v>-0.252439277558646</v>
      </c>
      <c r="D1388">
        <v>-0.241255794353139</v>
      </c>
      <c r="E1388">
        <v>-0.184556159420289</v>
      </c>
      <c r="F1388">
        <v>-0.05584687991609801</v>
      </c>
      <c r="G1388">
        <v>-0.000277623542476</v>
      </c>
      <c r="H1388">
        <v>-0.137691570881226</v>
      </c>
      <c r="I1388">
        <v>-0.7528143876990661</v>
      </c>
    </row>
    <row r="1389" spans="1:9">
      <c r="A1389" s="1" t="s">
        <v>1401</v>
      </c>
      <c r="B1389">
        <f>HYPERLINK("https://www.suredividend.com/sure-analysis-research-database/","Sonic Automotive, Inc.")</f>
        <v>0</v>
      </c>
      <c r="C1389">
        <v>0.016423732293163</v>
      </c>
      <c r="D1389">
        <v>0.193322599616285</v>
      </c>
      <c r="E1389">
        <v>-0.150553315604357</v>
      </c>
      <c r="F1389">
        <v>0.01650929353528</v>
      </c>
      <c r="G1389">
        <v>0.175074465686449</v>
      </c>
      <c r="H1389">
        <v>-0.05647612604457401</v>
      </c>
      <c r="I1389">
        <v>1.658583341835501</v>
      </c>
    </row>
    <row r="1390" spans="1:9">
      <c r="A1390" s="1" t="s">
        <v>1402</v>
      </c>
      <c r="B1390">
        <f>HYPERLINK("https://www.suredividend.com/sure-analysis-research-database/","Saia Inc.")</f>
        <v>0</v>
      </c>
      <c r="C1390">
        <v>0.250844768313107</v>
      </c>
      <c r="D1390">
        <v>0.439099421926236</v>
      </c>
      <c r="E1390">
        <v>0.486590305908646</v>
      </c>
      <c r="F1390">
        <v>1.030236550934757</v>
      </c>
      <c r="G1390">
        <v>0.7990111143980051</v>
      </c>
      <c r="H1390">
        <v>0.8075665576833251</v>
      </c>
      <c r="I1390">
        <v>4.630952380952381</v>
      </c>
    </row>
    <row r="1391" spans="1:9">
      <c r="A1391" s="1" t="s">
        <v>1403</v>
      </c>
      <c r="B1391">
        <f>HYPERLINK("https://www.suredividend.com/sure-analysis-research-database/","Silvercrest Asset Management Group Inc")</f>
        <v>0</v>
      </c>
      <c r="C1391">
        <v>-0.014243614931237</v>
      </c>
      <c r="D1391">
        <v>0.121993761110924</v>
      </c>
      <c r="E1391">
        <v>0.028539801466706</v>
      </c>
      <c r="F1391">
        <v>0.09923212583934801</v>
      </c>
      <c r="G1391">
        <v>0.192477941831793</v>
      </c>
      <c r="H1391">
        <v>0.296076253454911</v>
      </c>
      <c r="I1391">
        <v>0.486765784385625</v>
      </c>
    </row>
    <row r="1392" spans="1:9">
      <c r="A1392" s="1" t="s">
        <v>1404</v>
      </c>
      <c r="B1392">
        <f>HYPERLINK("https://www.suredividend.com/sure-analysis-research-database/","Sana Biotechnology Inc")</f>
        <v>0</v>
      </c>
      <c r="C1392">
        <v>-0.100993377483443</v>
      </c>
      <c r="D1392">
        <v>-0.012727272727272</v>
      </c>
      <c r="E1392">
        <v>0.16025641025641</v>
      </c>
      <c r="F1392">
        <v>0.374683544303797</v>
      </c>
      <c r="G1392">
        <v>-0.193164933135215</v>
      </c>
      <c r="H1392">
        <v>-0.6916524701873931</v>
      </c>
      <c r="I1392">
        <v>-0.8452991452991451</v>
      </c>
    </row>
    <row r="1393" spans="1:9">
      <c r="A1393" s="1" t="s">
        <v>1405</v>
      </c>
      <c r="B1393">
        <f>HYPERLINK("https://www.suredividend.com/sure-analysis-research-database/","Sanmina Corp")</f>
        <v>0</v>
      </c>
      <c r="C1393">
        <v>-0.08837209302325501</v>
      </c>
      <c r="D1393">
        <v>0.047328244274809</v>
      </c>
      <c r="E1393">
        <v>-0.125696989007487</v>
      </c>
      <c r="F1393">
        <v>-0.042066678303368</v>
      </c>
      <c r="G1393">
        <v>0.09760000000000001</v>
      </c>
      <c r="H1393">
        <v>0.437778359968561</v>
      </c>
      <c r="I1393">
        <v>0.8698466780238501</v>
      </c>
    </row>
    <row r="1394" spans="1:9">
      <c r="A1394" s="1" t="s">
        <v>1406</v>
      </c>
      <c r="B1394">
        <f>HYPERLINK("https://www.suredividend.com/sure-analysis-research-database/","Sandy Spring Bancorp")</f>
        <v>0</v>
      </c>
      <c r="C1394">
        <v>0.034467901766479</v>
      </c>
      <c r="D1394">
        <v>0.156701497786321</v>
      </c>
      <c r="E1394">
        <v>-0.285620775016661</v>
      </c>
      <c r="F1394">
        <v>-0.289068653286984</v>
      </c>
      <c r="G1394">
        <v>-0.371283278649031</v>
      </c>
      <c r="H1394">
        <v>-0.374542499068716</v>
      </c>
      <c r="I1394">
        <v>-0.260222395449797</v>
      </c>
    </row>
    <row r="1395" spans="1:9">
      <c r="A1395" s="1" t="s">
        <v>1407</v>
      </c>
      <c r="B1395">
        <f>HYPERLINK("https://www.suredividend.com/sure-analysis-research-database/","EchoStar Corp")</f>
        <v>0</v>
      </c>
      <c r="C1395">
        <v>0.100869565217391</v>
      </c>
      <c r="D1395">
        <v>0.168615384615384</v>
      </c>
      <c r="E1395">
        <v>0.010643959552953</v>
      </c>
      <c r="F1395">
        <v>0.138489208633093</v>
      </c>
      <c r="G1395">
        <v>-0.07320644216691001</v>
      </c>
      <c r="H1395">
        <v>-0.213338856669428</v>
      </c>
      <c r="I1395">
        <v>-0.576777356808558</v>
      </c>
    </row>
    <row r="1396" spans="1:9">
      <c r="A1396" s="1" t="s">
        <v>1408</v>
      </c>
      <c r="B1396">
        <f>HYPERLINK("https://www.suredividend.com/sure-analysis-research-database/","Cassava Sciences Inc")</f>
        <v>0</v>
      </c>
      <c r="C1396">
        <v>-0.17693522906793</v>
      </c>
      <c r="D1396">
        <v>-0.06588973554459801</v>
      </c>
      <c r="E1396">
        <v>-0.326002587322121</v>
      </c>
      <c r="F1396">
        <v>-0.294515910629654</v>
      </c>
      <c r="G1396">
        <v>0.126486486486486</v>
      </c>
      <c r="H1396">
        <v>-0.7544190431298611</v>
      </c>
      <c r="I1396">
        <v>7.647302904564315</v>
      </c>
    </row>
    <row r="1397" spans="1:9">
      <c r="A1397" s="1" t="s">
        <v>1409</v>
      </c>
      <c r="B1397">
        <f>HYPERLINK("https://www.suredividend.com/sure-analysis-research-database/","Spirit Airlines Inc")</f>
        <v>0</v>
      </c>
      <c r="C1397">
        <v>-0.07676366663368001</v>
      </c>
      <c r="D1397">
        <v>-0.03197060510992501</v>
      </c>
      <c r="E1397">
        <v>-0.168087282645755</v>
      </c>
      <c r="F1397">
        <v>-0.152732517762701</v>
      </c>
      <c r="G1397">
        <v>-0.326885124840315</v>
      </c>
      <c r="H1397">
        <v>-0.383459932670403</v>
      </c>
      <c r="I1397">
        <v>-0.612564063729058</v>
      </c>
    </row>
    <row r="1398" spans="1:9">
      <c r="A1398" s="1" t="s">
        <v>1410</v>
      </c>
      <c r="B1398">
        <f>HYPERLINK("https://www.suredividend.com/sure-analysis-research-database/","Safe Bulkers, Inc")</f>
        <v>0</v>
      </c>
      <c r="C1398">
        <v>-0.009036144578313001</v>
      </c>
      <c r="D1398">
        <v>-0.035671366181082</v>
      </c>
      <c r="E1398">
        <v>0.018575851393188</v>
      </c>
      <c r="F1398">
        <v>0.162092472890395</v>
      </c>
      <c r="G1398">
        <v>-0.09318927262203301</v>
      </c>
      <c r="H1398">
        <v>0.026713269254774</v>
      </c>
      <c r="I1398">
        <v>0.05452097823648101</v>
      </c>
    </row>
    <row r="1399" spans="1:9">
      <c r="A1399" s="1" t="s">
        <v>1411</v>
      </c>
      <c r="B1399">
        <f>HYPERLINK("https://www.suredividend.com/sure-analysis-research-database/","Seacoast Banking Corp. Of Florida")</f>
        <v>0</v>
      </c>
      <c r="C1399">
        <v>0.05028927458834</v>
      </c>
      <c r="D1399">
        <v>0.245987497888156</v>
      </c>
      <c r="E1399">
        <v>-0.275989225737969</v>
      </c>
      <c r="F1399">
        <v>-0.225617619167932</v>
      </c>
      <c r="G1399">
        <v>-0.330219041078006</v>
      </c>
      <c r="H1399">
        <v>-0.182624537195778</v>
      </c>
      <c r="I1399">
        <v>-0.145107187619992</v>
      </c>
    </row>
    <row r="1400" spans="1:9">
      <c r="A1400" s="1" t="s">
        <v>1412</v>
      </c>
      <c r="B1400">
        <f>HYPERLINK("https://www.suredividend.com/sure-analysis-research-database/","Sinclair Inc")</f>
        <v>0</v>
      </c>
      <c r="C1400">
        <v>-0.060101375814627</v>
      </c>
      <c r="D1400">
        <v>-0.140397350993377</v>
      </c>
      <c r="E1400">
        <v>-0.140397350993377</v>
      </c>
      <c r="F1400">
        <v>-0.140397350993377</v>
      </c>
      <c r="G1400">
        <v>-0.140397350993377</v>
      </c>
      <c r="H1400">
        <v>-0.140397350993377</v>
      </c>
      <c r="I1400">
        <v>-0.140397350993377</v>
      </c>
    </row>
    <row r="1401" spans="1:9">
      <c r="A1401" s="1" t="s">
        <v>1413</v>
      </c>
      <c r="B1401">
        <f>HYPERLINK("https://www.suredividend.com/sure-analysis-research-database/","Sally Beauty Holdings Inc")</f>
        <v>0</v>
      </c>
      <c r="C1401">
        <v>-0.06304868316041401</v>
      </c>
      <c r="D1401">
        <v>-0.152958152958152</v>
      </c>
      <c r="E1401">
        <v>-0.334089619965967</v>
      </c>
      <c r="F1401">
        <v>-0.06230031948881701</v>
      </c>
      <c r="G1401">
        <v>-0.152346570397111</v>
      </c>
      <c r="H1401">
        <v>-0.38630423418714</v>
      </c>
      <c r="I1401">
        <v>-0.169143665958952</v>
      </c>
    </row>
    <row r="1402" spans="1:9">
      <c r="A1402" s="1" t="s">
        <v>1414</v>
      </c>
      <c r="B1402">
        <f>HYPERLINK("https://www.suredividend.com/sure-analysis-research-database/","SilverBow Resources Inc")</f>
        <v>0</v>
      </c>
      <c r="C1402">
        <v>0.266321243523316</v>
      </c>
      <c r="D1402">
        <v>0.6732085805568231</v>
      </c>
      <c r="E1402">
        <v>0.504308576118177</v>
      </c>
      <c r="F1402">
        <v>0.296322489391796</v>
      </c>
      <c r="G1402">
        <v>-0.08919254658385101</v>
      </c>
      <c r="H1402">
        <v>0.889690721649484</v>
      </c>
      <c r="I1402">
        <v>0.211500330469266</v>
      </c>
    </row>
    <row r="1403" spans="1:9">
      <c r="A1403" s="1" t="s">
        <v>1415</v>
      </c>
      <c r="B1403">
        <f>HYPERLINK("https://www.suredividend.com/sure-analysis-SBRA/","Sabra Healthcare REIT Inc")</f>
        <v>0</v>
      </c>
      <c r="C1403">
        <v>0.07939189189189101</v>
      </c>
      <c r="D1403">
        <v>0.187776497267556</v>
      </c>
      <c r="E1403">
        <v>0.01467225609756</v>
      </c>
      <c r="F1403">
        <v>0.109365370092273</v>
      </c>
      <c r="G1403">
        <v>-0.07030204271663801</v>
      </c>
      <c r="H1403">
        <v>-0.128091420774347</v>
      </c>
      <c r="I1403">
        <v>-0.09731737981889801</v>
      </c>
    </row>
    <row r="1404" spans="1:9">
      <c r="A1404" s="1" t="s">
        <v>1416</v>
      </c>
      <c r="B1404">
        <f>HYPERLINK("https://www.suredividend.com/sure-analysis-SBSI/","Southside Bancshares Inc")</f>
        <v>0</v>
      </c>
      <c r="C1404">
        <v>0.278381416260771</v>
      </c>
      <c r="D1404">
        <v>0.232209345578383</v>
      </c>
      <c r="E1404">
        <v>-0.108151060181506</v>
      </c>
      <c r="F1404">
        <v>-0.018445853422781</v>
      </c>
      <c r="G1404">
        <v>-0.10569190929011</v>
      </c>
      <c r="H1404">
        <v>0.017086577557323</v>
      </c>
      <c r="I1404">
        <v>0.169598661748776</v>
      </c>
    </row>
    <row r="1405" spans="1:9">
      <c r="A1405" s="1" t="s">
        <v>1417</v>
      </c>
      <c r="B1405">
        <f>HYPERLINK("https://www.suredividend.com/sure-analysis-research-database/","Sterling Bancorp Inc")</f>
        <v>0</v>
      </c>
      <c r="C1405">
        <v>0.08363636363636301</v>
      </c>
      <c r="D1405">
        <v>0.221311475409836</v>
      </c>
      <c r="E1405">
        <v>-0.050955414012738</v>
      </c>
      <c r="F1405">
        <v>-0.021346469622331</v>
      </c>
      <c r="G1405">
        <v>0.03832752613240401</v>
      </c>
      <c r="H1405">
        <v>0.216326530612244</v>
      </c>
      <c r="I1405">
        <v>-0.5142109595963711</v>
      </c>
    </row>
    <row r="1406" spans="1:9">
      <c r="A1406" s="1" t="s">
        <v>1418</v>
      </c>
      <c r="B1406">
        <f>HYPERLINK("https://www.suredividend.com/sure-analysis-SCHL/","Scholastic Corp.")</f>
        <v>0</v>
      </c>
      <c r="C1406">
        <v>0.126898326898326</v>
      </c>
      <c r="D1406">
        <v>0.223930668157674</v>
      </c>
      <c r="E1406">
        <v>-0.025875054791746</v>
      </c>
      <c r="F1406">
        <v>0.120768</v>
      </c>
      <c r="G1406">
        <v>-0.022735136221078</v>
      </c>
      <c r="H1406">
        <v>0.347786065899288</v>
      </c>
      <c r="I1406">
        <v>0.174151502554543</v>
      </c>
    </row>
    <row r="1407" spans="1:9">
      <c r="A1407" s="1" t="s">
        <v>1419</v>
      </c>
      <c r="B1407">
        <f>HYPERLINK("https://www.suredividend.com/sure-analysis-research-database/","Schnitzer Steel Industries, Inc.")</f>
        <v>0</v>
      </c>
      <c r="C1407">
        <v>0.152015436669511</v>
      </c>
      <c r="D1407">
        <v>0.218181039894983</v>
      </c>
      <c r="E1407">
        <v>0.038618986502515</v>
      </c>
      <c r="F1407">
        <v>0.147918452410964</v>
      </c>
      <c r="G1407">
        <v>0.04738858269769201</v>
      </c>
      <c r="H1407">
        <v>-0.307804880026268</v>
      </c>
      <c r="I1407">
        <v>0.259051158400802</v>
      </c>
    </row>
    <row r="1408" spans="1:9">
      <c r="A1408" s="1" t="s">
        <v>1420</v>
      </c>
      <c r="B1408">
        <f>HYPERLINK("https://www.suredividend.com/sure-analysis-SCL/","Stepan Co.")</f>
        <v>0</v>
      </c>
      <c r="C1408">
        <v>-0.018958835236199</v>
      </c>
      <c r="D1408">
        <v>0.03881987577639701</v>
      </c>
      <c r="E1408">
        <v>-0.174800308018163</v>
      </c>
      <c r="F1408">
        <v>-0.117131383971494</v>
      </c>
      <c r="G1408">
        <v>-0.121272138247178</v>
      </c>
      <c r="H1408">
        <v>-0.1935226939063</v>
      </c>
      <c r="I1408">
        <v>0.113883464432081</v>
      </c>
    </row>
    <row r="1409" spans="1:9">
      <c r="A1409" s="1" t="s">
        <v>1421</v>
      </c>
      <c r="B1409">
        <f>HYPERLINK("https://www.suredividend.com/sure-analysis-research-database/","Steelcase, Inc.")</f>
        <v>0</v>
      </c>
      <c r="C1409">
        <v>0.09355246523388101</v>
      </c>
      <c r="D1409">
        <v>0.101910828025477</v>
      </c>
      <c r="E1409">
        <v>0.12647809553576</v>
      </c>
      <c r="F1409">
        <v>0.238013453556605</v>
      </c>
      <c r="G1409">
        <v>-0.19954100848579</v>
      </c>
      <c r="H1409">
        <v>-0.319572707392665</v>
      </c>
      <c r="I1409">
        <v>-0.243550502842151</v>
      </c>
    </row>
    <row r="1410" spans="1:9">
      <c r="A1410" s="1" t="s">
        <v>1422</v>
      </c>
      <c r="B1410">
        <f>HYPERLINK("https://www.suredividend.com/sure-analysis-research-database/","Scansource, Inc.")</f>
        <v>0</v>
      </c>
      <c r="C1410">
        <v>-0.016846361185983</v>
      </c>
      <c r="D1410">
        <v>0.08234421364985101</v>
      </c>
      <c r="E1410">
        <v>-0.174073025757146</v>
      </c>
      <c r="F1410">
        <v>-0.001368925393566</v>
      </c>
      <c r="G1410">
        <v>-0.099660598580684</v>
      </c>
      <c r="H1410">
        <v>0.05993461678169201</v>
      </c>
      <c r="I1410">
        <v>-0.272319201995012</v>
      </c>
    </row>
    <row r="1411" spans="1:9">
      <c r="A1411" s="1" t="s">
        <v>1423</v>
      </c>
      <c r="B1411">
        <f>HYPERLINK("https://www.suredividend.com/sure-analysis-research-database/","Sculptor Capital Management Inc")</f>
        <v>0</v>
      </c>
      <c r="C1411">
        <v>0.266895761741122</v>
      </c>
      <c r="D1411">
        <v>0.28667488773587</v>
      </c>
      <c r="E1411">
        <v>0.16542502186489</v>
      </c>
      <c r="F1411">
        <v>0.316149607892137</v>
      </c>
      <c r="G1411">
        <v>0.22638161979952</v>
      </c>
      <c r="H1411">
        <v>-0.5063888281420851</v>
      </c>
      <c r="I1411">
        <v>-0.334332436547917</v>
      </c>
    </row>
    <row r="1412" spans="1:9">
      <c r="A1412" s="1" t="s">
        <v>1424</v>
      </c>
      <c r="B1412">
        <f>HYPERLINK("https://www.suredividend.com/sure-analysis-research-database/","Shoe Carnival, Inc.")</f>
        <v>0</v>
      </c>
      <c r="C1412">
        <v>0.110373443983402</v>
      </c>
      <c r="D1412">
        <v>0.193683647069319</v>
      </c>
      <c r="E1412">
        <v>-0.030206389185858</v>
      </c>
      <c r="F1412">
        <v>0.137542296509156</v>
      </c>
      <c r="G1412">
        <v>0.182908824075465</v>
      </c>
      <c r="H1412">
        <v>-0.181305872202948</v>
      </c>
      <c r="I1412">
        <v>0.788578761629772</v>
      </c>
    </row>
    <row r="1413" spans="1:9">
      <c r="A1413" s="1" t="s">
        <v>1425</v>
      </c>
      <c r="B1413">
        <f>HYPERLINK("https://www.suredividend.com/sure-analysis-research-database/","SecureWorks Corp")</f>
        <v>0</v>
      </c>
      <c r="C1413">
        <v>0.001388888888888</v>
      </c>
      <c r="D1413">
        <v>-0.180681818181818</v>
      </c>
      <c r="E1413">
        <v>-0.153258954785672</v>
      </c>
      <c r="F1413">
        <v>0.128325508607198</v>
      </c>
      <c r="G1413">
        <v>-0.304054054054054</v>
      </c>
      <c r="H1413">
        <v>-0.6446525381961551</v>
      </c>
      <c r="I1413">
        <v>-0.4227381905524421</v>
      </c>
    </row>
    <row r="1414" spans="1:9">
      <c r="A1414" s="1" t="s">
        <v>1426</v>
      </c>
      <c r="B1414">
        <f>HYPERLINK("https://www.suredividend.com/sure-analysis-research-database/","Sandridge Energy Inc")</f>
        <v>0</v>
      </c>
      <c r="C1414">
        <v>0.08207485226526501</v>
      </c>
      <c r="D1414">
        <v>0.420126501559726</v>
      </c>
      <c r="E1414">
        <v>0.219115253735759</v>
      </c>
      <c r="F1414">
        <v>0.092410794185298</v>
      </c>
      <c r="G1414">
        <v>0.06428322333156801</v>
      </c>
      <c r="H1414">
        <v>2.263818747153071</v>
      </c>
      <c r="I1414">
        <v>0.147672272711445</v>
      </c>
    </row>
    <row r="1415" spans="1:9">
      <c r="A1415" s="1" t="s">
        <v>1427</v>
      </c>
      <c r="B1415">
        <f>HYPERLINK("https://www.suredividend.com/sure-analysis-research-database/","Schrodinger Inc")</f>
        <v>0</v>
      </c>
      <c r="C1415">
        <v>-0.214182939362795</v>
      </c>
      <c r="D1415">
        <v>0.311492281303602</v>
      </c>
      <c r="E1415">
        <v>0.463069269039418</v>
      </c>
      <c r="F1415">
        <v>1.045478865703584</v>
      </c>
      <c r="G1415">
        <v>0.156032657998185</v>
      </c>
      <c r="H1415">
        <v>-0.424246987951807</v>
      </c>
      <c r="I1415">
        <v>0.3348463687150831</v>
      </c>
    </row>
    <row r="1416" spans="1:9">
      <c r="A1416" s="1" t="s">
        <v>1428</v>
      </c>
      <c r="B1416">
        <f>HYPERLINK("https://www.suredividend.com/sure-analysis-research-database/","SeaWorld Entertainment Inc")</f>
        <v>0</v>
      </c>
      <c r="C1416">
        <v>-0.04621776008308801</v>
      </c>
      <c r="D1416">
        <v>0.028368794326241</v>
      </c>
      <c r="E1416">
        <v>-0.139197000468676</v>
      </c>
      <c r="F1416">
        <v>0.029714072136049</v>
      </c>
      <c r="G1416">
        <v>0.123801754028145</v>
      </c>
      <c r="H1416">
        <v>0.202269255945886</v>
      </c>
      <c r="I1416">
        <v>1.607666824420255</v>
      </c>
    </row>
    <row r="1417" spans="1:9">
      <c r="A1417" s="1" t="s">
        <v>1429</v>
      </c>
      <c r="B1417">
        <f>HYPERLINK("https://www.suredividend.com/sure-analysis-research-database/","Vivid Seats Inc")</f>
        <v>0</v>
      </c>
      <c r="C1417">
        <v>-0.025316455696202</v>
      </c>
      <c r="D1417">
        <v>0.084507042253521</v>
      </c>
      <c r="E1417">
        <v>-0.112903225806451</v>
      </c>
      <c r="F1417">
        <v>0.054794520547945</v>
      </c>
      <c r="G1417">
        <v>-0.082240762812872</v>
      </c>
      <c r="H1417">
        <v>-0.221435793731041</v>
      </c>
      <c r="I1417">
        <v>-0.23</v>
      </c>
    </row>
    <row r="1418" spans="1:9">
      <c r="A1418" s="1" t="s">
        <v>1430</v>
      </c>
      <c r="B1418">
        <f>HYPERLINK("https://www.suredividend.com/sure-analysis-research-database/","Seer Inc")</f>
        <v>0</v>
      </c>
      <c r="C1418">
        <v>0.17892156862745</v>
      </c>
      <c r="D1418">
        <v>0.414705882352941</v>
      </c>
      <c r="E1418">
        <v>-0.127041742286751</v>
      </c>
      <c r="F1418">
        <v>-0.170689655172413</v>
      </c>
      <c r="G1418">
        <v>-0.525641025641025</v>
      </c>
      <c r="H1418">
        <v>-0.8448887455659461</v>
      </c>
      <c r="I1418">
        <v>-0.9148069429684731</v>
      </c>
    </row>
    <row r="1419" spans="1:9">
      <c r="A1419" s="1" t="s">
        <v>1431</v>
      </c>
      <c r="B1419">
        <f>HYPERLINK("https://www.suredividend.com/sure-analysis-research-database/","Select Medical Holdings Corporation")</f>
        <v>0</v>
      </c>
      <c r="C1419">
        <v>-0.022479126525369</v>
      </c>
      <c r="D1419">
        <v>0.042194497322614</v>
      </c>
      <c r="E1419">
        <v>0.012523491942056</v>
      </c>
      <c r="F1419">
        <v>0.237212289208533</v>
      </c>
      <c r="G1419">
        <v>0.052875519260635</v>
      </c>
      <c r="H1419">
        <v>-0.204220454985124</v>
      </c>
      <c r="I1419">
        <v>0.571453646247406</v>
      </c>
    </row>
    <row r="1420" spans="1:9">
      <c r="A1420" s="1" t="s">
        <v>1432</v>
      </c>
      <c r="B1420">
        <f>HYPERLINK("https://www.suredividend.com/sure-analysis-research-database/","Seneca Foods Corp.")</f>
        <v>0</v>
      </c>
      <c r="C1420">
        <v>0.120756984079303</v>
      </c>
      <c r="D1420">
        <v>-0.201241704131877</v>
      </c>
      <c r="E1420">
        <v>-0.393431962282555</v>
      </c>
      <c r="F1420">
        <v>-0.38785890073831</v>
      </c>
      <c r="G1420">
        <v>-0.390160183066361</v>
      </c>
      <c r="H1420">
        <v>-0.315035799522673</v>
      </c>
      <c r="I1420">
        <v>0.313732394366197</v>
      </c>
    </row>
    <row r="1421" spans="1:9">
      <c r="A1421" s="1" t="s">
        <v>1433</v>
      </c>
      <c r="B1421">
        <f>HYPERLINK("https://www.suredividend.com/sure-analysis-research-database/","Senseonics Holdings Inc")</f>
        <v>0</v>
      </c>
      <c r="C1421">
        <v>0.053760726905603</v>
      </c>
      <c r="D1421">
        <v>0.420792921558618</v>
      </c>
      <c r="E1421">
        <v>-0.304166666666666</v>
      </c>
      <c r="F1421">
        <v>-0.189320388349514</v>
      </c>
      <c r="G1421">
        <v>-0.5</v>
      </c>
      <c r="H1421">
        <v>-0.729773462783171</v>
      </c>
      <c r="I1421">
        <v>-0.786989795918367</v>
      </c>
    </row>
    <row r="1422" spans="1:9">
      <c r="A1422" s="1" t="s">
        <v>1434</v>
      </c>
      <c r="B1422">
        <f>HYPERLINK("https://www.suredividend.com/sure-analysis-research-database/","ServisFirst Bancshares Inc")</f>
        <v>0</v>
      </c>
      <c r="C1422">
        <v>0.38576512455516</v>
      </c>
      <c r="D1422">
        <v>0.271964303990975</v>
      </c>
      <c r="E1422">
        <v>-0.181987765528367</v>
      </c>
      <c r="F1422">
        <v>-0.14222021194107</v>
      </c>
      <c r="G1422">
        <v>-0.312405310053291</v>
      </c>
      <c r="H1422">
        <v>-0.160638380424379</v>
      </c>
      <c r="I1422">
        <v>0.50508652765896</v>
      </c>
    </row>
    <row r="1423" spans="1:9">
      <c r="A1423" s="1" t="s">
        <v>1435</v>
      </c>
      <c r="B1423">
        <f>HYPERLINK("https://www.suredividend.com/sure-analysis-research-database/","Stitch Fix Inc")</f>
        <v>0</v>
      </c>
      <c r="C1423">
        <v>0.09692671394799</v>
      </c>
      <c r="D1423">
        <v>0.4871794871794871</v>
      </c>
      <c r="E1423">
        <v>-0.11787072243346</v>
      </c>
      <c r="F1423">
        <v>0.491961414790996</v>
      </c>
      <c r="G1423">
        <v>-0.282843894899536</v>
      </c>
      <c r="H1423">
        <v>-0.913674418604651</v>
      </c>
      <c r="I1423">
        <v>-0.8395019024558971</v>
      </c>
    </row>
    <row r="1424" spans="1:9">
      <c r="A1424" s="1" t="s">
        <v>1436</v>
      </c>
      <c r="B1424">
        <f>HYPERLINK("https://www.suredividend.com/sure-analysis-SFL/","SFL Corporation Ltd")</f>
        <v>0</v>
      </c>
      <c r="C1424">
        <v>0.05414012738853401</v>
      </c>
      <c r="D1424">
        <v>0.169652637902399</v>
      </c>
      <c r="E1424">
        <v>0.018294433733951</v>
      </c>
      <c r="F1424">
        <v>0.13316063949972</v>
      </c>
      <c r="G1424">
        <v>0.09811120449418301</v>
      </c>
      <c r="H1424">
        <v>0.7071241919955991</v>
      </c>
      <c r="I1424">
        <v>0.084037466430864</v>
      </c>
    </row>
    <row r="1425" spans="1:9">
      <c r="A1425" s="1" t="s">
        <v>1437</v>
      </c>
      <c r="B1425">
        <f>HYPERLINK("https://www.suredividend.com/sure-analysis-research-database/","Sprouts Farmers Market Inc")</f>
        <v>0</v>
      </c>
      <c r="C1425">
        <v>0.04878713545925301</v>
      </c>
      <c r="D1425">
        <v>0.0677025527192</v>
      </c>
      <c r="E1425">
        <v>0.177838996020814</v>
      </c>
      <c r="F1425">
        <v>0.188755020080321</v>
      </c>
      <c r="G1425">
        <v>0.416267942583731</v>
      </c>
      <c r="H1425">
        <v>0.5751125665165771</v>
      </c>
      <c r="I1425">
        <v>0.6479657387580291</v>
      </c>
    </row>
    <row r="1426" spans="1:9">
      <c r="A1426" s="1" t="s">
        <v>1438</v>
      </c>
      <c r="B1426">
        <f>HYPERLINK("https://www.suredividend.com/sure-analysis-research-database/","Simmons First National Corp.")</f>
        <v>0</v>
      </c>
      <c r="C1426">
        <v>0.118114707552527</v>
      </c>
      <c r="D1426">
        <v>0.275787891353929</v>
      </c>
      <c r="E1426">
        <v>-0.135106168023965</v>
      </c>
      <c r="F1426">
        <v>-0.05775497801109201</v>
      </c>
      <c r="G1426">
        <v>-0.127649393917913</v>
      </c>
      <c r="H1426">
        <v>-0.235330897058994</v>
      </c>
      <c r="I1426">
        <v>-0.227200653091982</v>
      </c>
    </row>
    <row r="1427" spans="1:9">
      <c r="A1427" s="1" t="s">
        <v>1439</v>
      </c>
      <c r="B1427">
        <f>HYPERLINK("https://www.suredividend.com/sure-analysis-research-database/","Southern First Bancshares Inc")</f>
        <v>0</v>
      </c>
      <c r="C1427">
        <v>0.183876092136616</v>
      </c>
      <c r="D1427">
        <v>0.285467874083656</v>
      </c>
      <c r="E1427">
        <v>-0.28786430960344</v>
      </c>
      <c r="F1427">
        <v>-0.348415300546448</v>
      </c>
      <c r="G1427">
        <v>-0.321111364153951</v>
      </c>
      <c r="H1427">
        <v>-0.3992341797662231</v>
      </c>
      <c r="I1427">
        <v>-0.314712643678161</v>
      </c>
    </row>
    <row r="1428" spans="1:9">
      <c r="A1428" s="1" t="s">
        <v>1440</v>
      </c>
      <c r="B1428">
        <f>HYPERLINK("https://www.suredividend.com/sure-analysis-research-database/","Sweetgreen Inc")</f>
        <v>0</v>
      </c>
      <c r="C1428">
        <v>0.100075815011372</v>
      </c>
      <c r="D1428">
        <v>0.8942558746736291</v>
      </c>
      <c r="E1428">
        <v>0.285208148804251</v>
      </c>
      <c r="F1428">
        <v>0.693115519253208</v>
      </c>
      <c r="G1428">
        <v>-0.257040450588837</v>
      </c>
      <c r="H1428">
        <v>-0.7068686868686861</v>
      </c>
      <c r="I1428">
        <v>-0.7068686868686861</v>
      </c>
    </row>
    <row r="1429" spans="1:9">
      <c r="A1429" s="1" t="s">
        <v>1441</v>
      </c>
      <c r="B1429">
        <f>HYPERLINK("https://www.suredividend.com/sure-analysis-research-database/","Superior Group of Companies Inc..")</f>
        <v>0</v>
      </c>
      <c r="C1429">
        <v>-0.055437100213219</v>
      </c>
      <c r="D1429">
        <v>0.194939713538154</v>
      </c>
      <c r="E1429">
        <v>-0.229759451964287</v>
      </c>
      <c r="F1429">
        <v>-0.078168405938842</v>
      </c>
      <c r="G1429">
        <v>-0.4857268896344361</v>
      </c>
      <c r="H1429">
        <v>-0.5567983432461771</v>
      </c>
      <c r="I1429">
        <v>-0.45097164386278</v>
      </c>
    </row>
    <row r="1430" spans="1:9">
      <c r="A1430" s="1" t="s">
        <v>1442</v>
      </c>
      <c r="B1430">
        <f>HYPERLINK("https://www.suredividend.com/sure-analysis-research-database/","SMART Global Holdings Inc")</f>
        <v>0</v>
      </c>
      <c r="C1430">
        <v>-0.04414382342470601</v>
      </c>
      <c r="D1430">
        <v>0.6322188449848021</v>
      </c>
      <c r="E1430">
        <v>0.44743935309973</v>
      </c>
      <c r="F1430">
        <v>0.8044354838709671</v>
      </c>
      <c r="G1430">
        <v>0.345190380761523</v>
      </c>
      <c r="H1430">
        <v>0.103575832305795</v>
      </c>
      <c r="I1430">
        <v>0.7118265859101051</v>
      </c>
    </row>
    <row r="1431" spans="1:9">
      <c r="A1431" s="1" t="s">
        <v>1443</v>
      </c>
      <c r="B1431">
        <f>HYPERLINK("https://www.suredividend.com/sure-analysis-research-database/","Sight Sciences Inc")</f>
        <v>0</v>
      </c>
      <c r="C1431">
        <v>-0.06620209059233401</v>
      </c>
      <c r="D1431">
        <v>-0.199203187250996</v>
      </c>
      <c r="E1431">
        <v>-0.303292894280762</v>
      </c>
      <c r="F1431">
        <v>-0.341523341523341</v>
      </c>
      <c r="G1431">
        <v>-0.19840478564307</v>
      </c>
      <c r="H1431">
        <v>-0.7938461538461531</v>
      </c>
      <c r="I1431">
        <v>-0.76</v>
      </c>
    </row>
    <row r="1432" spans="1:9">
      <c r="A1432" s="1" t="s">
        <v>1444</v>
      </c>
      <c r="B1432">
        <f>HYPERLINK("https://www.suredividend.com/sure-analysis-research-database/","Sangamo Therapeutics Inc")</f>
        <v>0</v>
      </c>
      <c r="C1432">
        <v>-0.111111111111111</v>
      </c>
      <c r="D1432">
        <v>-0.09774436090225501</v>
      </c>
      <c r="E1432">
        <v>-0.658119658119658</v>
      </c>
      <c r="F1432">
        <v>-0.617834394904458</v>
      </c>
      <c r="G1432">
        <v>-0.75</v>
      </c>
      <c r="H1432">
        <v>-0.8747390396659701</v>
      </c>
      <c r="I1432">
        <v>-0.9111111111111111</v>
      </c>
    </row>
    <row r="1433" spans="1:9">
      <c r="A1433" s="1" t="s">
        <v>1445</v>
      </c>
      <c r="B1433">
        <f>HYPERLINK("https://www.suredividend.com/sure-analysis-research-database/","Surgery Partners Inc")</f>
        <v>0</v>
      </c>
      <c r="C1433">
        <v>-0.152577319587628</v>
      </c>
      <c r="D1433">
        <v>0.005983138428066001</v>
      </c>
      <c r="E1433">
        <v>0.044620163795538</v>
      </c>
      <c r="F1433">
        <v>0.327709978463747</v>
      </c>
      <c r="G1433">
        <v>0.009828009828009</v>
      </c>
      <c r="H1433">
        <v>-0.344381425026586</v>
      </c>
      <c r="I1433">
        <v>1.333753943217666</v>
      </c>
    </row>
    <row r="1434" spans="1:9">
      <c r="A1434" s="1" t="s">
        <v>1446</v>
      </c>
      <c r="B1434">
        <f>HYPERLINK("https://www.suredividend.com/sure-analysis-research-database/","Shake Shack Inc")</f>
        <v>0</v>
      </c>
      <c r="C1434">
        <v>-0.043918053777208</v>
      </c>
      <c r="D1434">
        <v>0.413669064748201</v>
      </c>
      <c r="E1434">
        <v>0.281008749356665</v>
      </c>
      <c r="F1434">
        <v>0.797977365759691</v>
      </c>
      <c r="G1434">
        <v>0.371853757119235</v>
      </c>
      <c r="H1434">
        <v>-0.19787302610377</v>
      </c>
      <c r="I1434">
        <v>0.325346112886048</v>
      </c>
    </row>
    <row r="1435" spans="1:9">
      <c r="A1435" s="1" t="s">
        <v>1447</v>
      </c>
      <c r="B1435">
        <f>HYPERLINK("https://www.suredividend.com/sure-analysis-research-database/","Shore Bancshares Inc.")</f>
        <v>0</v>
      </c>
      <c r="C1435">
        <v>-0.017928217907451</v>
      </c>
      <c r="D1435">
        <v>0.036709566043422</v>
      </c>
      <c r="E1435">
        <v>-0.345394983476269</v>
      </c>
      <c r="F1435">
        <v>-0.323236539264206</v>
      </c>
      <c r="G1435">
        <v>-0.381292689441637</v>
      </c>
      <c r="H1435">
        <v>-0.291797959629363</v>
      </c>
      <c r="I1435">
        <v>-0.288137931899574</v>
      </c>
    </row>
    <row r="1436" spans="1:9">
      <c r="A1436" s="1" t="s">
        <v>1448</v>
      </c>
      <c r="B1436">
        <f>HYPERLINK("https://www.suredividend.com/sure-analysis-research-database/","Sharecare Inc")</f>
        <v>0</v>
      </c>
      <c r="C1436">
        <v>-0.271676300578034</v>
      </c>
      <c r="D1436">
        <v>-0.165562913907284</v>
      </c>
      <c r="E1436">
        <v>-0.515384615384615</v>
      </c>
      <c r="F1436">
        <v>-0.2125</v>
      </c>
      <c r="G1436">
        <v>-0.197452229299363</v>
      </c>
      <c r="H1436">
        <v>-0.83399209486166</v>
      </c>
      <c r="I1436">
        <v>-0.874</v>
      </c>
    </row>
    <row r="1437" spans="1:9">
      <c r="A1437" s="1" t="s">
        <v>1449</v>
      </c>
      <c r="B1437">
        <f>HYPERLINK("https://www.suredividend.com/sure-analysis-research-database/","Shenandoah Telecommunications Co.")</f>
        <v>0</v>
      </c>
      <c r="C1437">
        <v>-0.047474747474747</v>
      </c>
      <c r="D1437">
        <v>-0.03971486761710701</v>
      </c>
      <c r="E1437">
        <v>-0.070019723865877</v>
      </c>
      <c r="F1437">
        <v>0.187657430730478</v>
      </c>
      <c r="G1437">
        <v>-0.134648032081341</v>
      </c>
      <c r="H1437">
        <v>-0.3579793028322441</v>
      </c>
      <c r="I1437">
        <v>-0.07517738843040001</v>
      </c>
    </row>
    <row r="1438" spans="1:9">
      <c r="A1438" s="1" t="s">
        <v>1450</v>
      </c>
      <c r="B1438">
        <f>HYPERLINK("https://www.suredividend.com/sure-analysis-research-database/","Shoals Technologies Group Inc")</f>
        <v>0</v>
      </c>
      <c r="C1438">
        <v>-0.044585987261146</v>
      </c>
      <c r="D1438">
        <v>0.293800539083557</v>
      </c>
      <c r="E1438">
        <v>-0.075500770416024</v>
      </c>
      <c r="F1438">
        <v>-0.027158492095662</v>
      </c>
      <c r="G1438">
        <v>0.09190172884440301</v>
      </c>
      <c r="H1438">
        <v>-0.213372664700098</v>
      </c>
      <c r="I1438">
        <v>-0.225306649451258</v>
      </c>
    </row>
    <row r="1439" spans="1:9">
      <c r="A1439" s="1" t="s">
        <v>1451</v>
      </c>
      <c r="B1439">
        <f>HYPERLINK("https://www.suredividend.com/sure-analysis-research-database/","Sunstone Hotel Investors Inc")</f>
        <v>0</v>
      </c>
      <c r="C1439">
        <v>-0.07980769230769201</v>
      </c>
      <c r="D1439">
        <v>-0.006271805947831</v>
      </c>
      <c r="E1439">
        <v>-0.128740634189419</v>
      </c>
      <c r="F1439">
        <v>0.001129801657042</v>
      </c>
      <c r="G1439">
        <v>-0.128359731494721</v>
      </c>
      <c r="H1439">
        <v>-0.13911752799892</v>
      </c>
      <c r="I1439">
        <v>-0.338064409030544</v>
      </c>
    </row>
    <row r="1440" spans="1:9">
      <c r="A1440" s="1" t="s">
        <v>1452</v>
      </c>
      <c r="B1440">
        <f>HYPERLINK("https://www.suredividend.com/sure-analysis-research-database/","Steven Madden Ltd.")</f>
        <v>0</v>
      </c>
      <c r="C1440">
        <v>0.100638491942839</v>
      </c>
      <c r="D1440">
        <v>0.114645268761912</v>
      </c>
      <c r="E1440">
        <v>-0.005431661890723001</v>
      </c>
      <c r="F1440">
        <v>0.153898871282899</v>
      </c>
      <c r="G1440">
        <v>0.147403286898366</v>
      </c>
      <c r="H1440">
        <v>-0.122632683629101</v>
      </c>
      <c r="I1440">
        <v>0.05971586734230801</v>
      </c>
    </row>
    <row r="1441" spans="1:9">
      <c r="A1441" s="1" t="s">
        <v>1453</v>
      </c>
      <c r="B1441">
        <f>HYPERLINK("https://www.suredividend.com/sure-analysis-research-database/","Shyft Group Inc (The)")</f>
        <v>0</v>
      </c>
      <c r="C1441">
        <v>-0.321272885789014</v>
      </c>
      <c r="D1441">
        <v>-0.35965190068641</v>
      </c>
      <c r="E1441">
        <v>-0.528114610262673</v>
      </c>
      <c r="F1441">
        <v>-0.369997815021323</v>
      </c>
      <c r="G1441">
        <v>-0.387584123600234</v>
      </c>
      <c r="H1441">
        <v>-0.598436041203505</v>
      </c>
      <c r="I1441">
        <v>0.028952081364534</v>
      </c>
    </row>
    <row r="1442" spans="1:9">
      <c r="A1442" s="1" t="s">
        <v>1454</v>
      </c>
      <c r="B1442">
        <f>HYPERLINK("https://www.suredividend.com/sure-analysis-research-database/","SI-BONE Inc")</f>
        <v>0</v>
      </c>
      <c r="C1442">
        <v>-0.113636363636363</v>
      </c>
      <c r="D1442">
        <v>-0.003708281829419</v>
      </c>
      <c r="E1442">
        <v>0.319868995633187</v>
      </c>
      <c r="F1442">
        <v>0.777941176470588</v>
      </c>
      <c r="G1442">
        <v>0.506542056074766</v>
      </c>
      <c r="H1442">
        <v>-0.061699650756693</v>
      </c>
      <c r="I1442">
        <v>0.205383848454636</v>
      </c>
    </row>
    <row r="1443" spans="1:9">
      <c r="A1443" s="1" t="s">
        <v>1455</v>
      </c>
      <c r="B1443">
        <f>HYPERLINK("https://www.suredividend.com/sure-analysis-research-database/","Signet Jewelers Ltd")</f>
        <v>0</v>
      </c>
      <c r="C1443">
        <v>0.171412735743068</v>
      </c>
      <c r="D1443">
        <v>0.1333300483187</v>
      </c>
      <c r="E1443">
        <v>-0.026505928105844</v>
      </c>
      <c r="F1443">
        <v>0.16004117997846</v>
      </c>
      <c r="G1443">
        <v>0.224477013654014</v>
      </c>
      <c r="H1443">
        <v>0.216045581493714</v>
      </c>
      <c r="I1443">
        <v>0.497163621604339</v>
      </c>
    </row>
    <row r="1444" spans="1:9">
      <c r="A1444" s="1" t="s">
        <v>1456</v>
      </c>
      <c r="B1444">
        <f>HYPERLINK("https://www.suredividend.com/sure-analysis-research-database/","SIGA Technologies Inc")</f>
        <v>0</v>
      </c>
      <c r="C1444">
        <v>0.100393700787401</v>
      </c>
      <c r="D1444">
        <v>0.161244754663675</v>
      </c>
      <c r="E1444">
        <v>-0.104051801513014</v>
      </c>
      <c r="F1444">
        <v>-0.110141836068705</v>
      </c>
      <c r="G1444">
        <v>-0.6419145719629999</v>
      </c>
      <c r="H1444">
        <v>0.07892146455385901</v>
      </c>
      <c r="I1444">
        <v>-0.021084337349397</v>
      </c>
    </row>
    <row r="1445" spans="1:9">
      <c r="A1445" s="1" t="s">
        <v>1457</v>
      </c>
      <c r="B1445">
        <f>HYPERLINK("https://www.suredividend.com/sure-analysis-research-database/","Selective Insurance Group Inc.")</f>
        <v>0</v>
      </c>
      <c r="C1445">
        <v>0.06267598289706901</v>
      </c>
      <c r="D1445">
        <v>0.025825845173786</v>
      </c>
      <c r="E1445">
        <v>0.01889199744827</v>
      </c>
      <c r="F1445">
        <v>0.160210363559147</v>
      </c>
      <c r="G1445">
        <v>0.367851332413378</v>
      </c>
      <c r="H1445">
        <v>0.299920652537205</v>
      </c>
      <c r="I1445">
        <v>0.776325881713082</v>
      </c>
    </row>
    <row r="1446" spans="1:9">
      <c r="A1446" s="1" t="s">
        <v>1458</v>
      </c>
      <c r="B1446">
        <f>HYPERLINK("https://www.suredividend.com/sure-analysis-research-database/","Silk Road Medical Inc")</f>
        <v>0</v>
      </c>
      <c r="C1446">
        <v>-0.339274546591619</v>
      </c>
      <c r="D1446">
        <v>-0.494618512317627</v>
      </c>
      <c r="E1446">
        <v>-0.6144864075898561</v>
      </c>
      <c r="F1446">
        <v>-0.6001892147587511</v>
      </c>
      <c r="G1446">
        <v>-0.550521165709423</v>
      </c>
      <c r="H1446">
        <v>-0.5974471327871971</v>
      </c>
      <c r="I1446">
        <v>-0.415975677169707</v>
      </c>
    </row>
    <row r="1447" spans="1:9">
      <c r="A1447" s="1" t="s">
        <v>1459</v>
      </c>
      <c r="B1447">
        <f>HYPERLINK("https://www.suredividend.com/sure-analysis-research-database/","SITE Centers Corp")</f>
        <v>0</v>
      </c>
      <c r="C1447">
        <v>0.044128646222887</v>
      </c>
      <c r="D1447">
        <v>0.185834543801975</v>
      </c>
      <c r="E1447">
        <v>0.03330866025166501</v>
      </c>
      <c r="F1447">
        <v>0.043145577092642</v>
      </c>
      <c r="G1447">
        <v>0.023010405979774</v>
      </c>
      <c r="H1447">
        <v>-0.051243713470164</v>
      </c>
      <c r="I1447">
        <v>0.019618154461925</v>
      </c>
    </row>
    <row r="1448" spans="1:9">
      <c r="A1448" s="1" t="s">
        <v>1460</v>
      </c>
      <c r="B1448">
        <f>HYPERLINK("https://www.suredividend.com/sure-analysis-research-database/","SiTime Corp")</f>
        <v>0</v>
      </c>
      <c r="C1448">
        <v>0.146290924160795</v>
      </c>
      <c r="D1448">
        <v>0.298103998498216</v>
      </c>
      <c r="E1448">
        <v>0.081059954662706</v>
      </c>
      <c r="F1448">
        <v>0.360952568392048</v>
      </c>
      <c r="G1448">
        <v>-0.339888310820485</v>
      </c>
      <c r="H1448">
        <v>0.004868124682118001</v>
      </c>
      <c r="I1448">
        <v>6.415549597855229</v>
      </c>
    </row>
    <row r="1449" spans="1:9">
      <c r="A1449" s="1" t="s">
        <v>1461</v>
      </c>
      <c r="B1449">
        <f>HYPERLINK("https://www.suredividend.com/sure-analysis-SJW/","SJW Group")</f>
        <v>0</v>
      </c>
      <c r="C1449">
        <v>-0.022026431718061</v>
      </c>
      <c r="D1449">
        <v>-0.084275403972664</v>
      </c>
      <c r="E1449">
        <v>-0.133600731189618</v>
      </c>
      <c r="F1449">
        <v>-0.144093724348929</v>
      </c>
      <c r="G1449">
        <v>0.042307191344094</v>
      </c>
      <c r="H1449">
        <v>0.034387912000372</v>
      </c>
      <c r="I1449">
        <v>0.193879675248074</v>
      </c>
    </row>
    <row r="1450" spans="1:9">
      <c r="A1450" s="1" t="s">
        <v>1462</v>
      </c>
      <c r="B1450">
        <f>HYPERLINK("https://www.suredividend.com/sure-analysis-research-database/","Skillsoft Corp.")</f>
        <v>0</v>
      </c>
      <c r="C1450">
        <v>0.155737704918032</v>
      </c>
      <c r="D1450">
        <v>0.165289256198347</v>
      </c>
      <c r="E1450">
        <v>-0.287878787878788</v>
      </c>
      <c r="F1450">
        <v>0.08461538461538401</v>
      </c>
      <c r="G1450">
        <v>-0.654411764705882</v>
      </c>
      <c r="H1450">
        <v>-0.836805555555555</v>
      </c>
      <c r="I1450">
        <v>-0.8575757575757571</v>
      </c>
    </row>
    <row r="1451" spans="1:9">
      <c r="A1451" s="1" t="s">
        <v>1463</v>
      </c>
      <c r="B1451">
        <f>HYPERLINK("https://www.suredividend.com/sure-analysis-research-database/","Beauty Health Company (The)")</f>
        <v>0</v>
      </c>
      <c r="C1451">
        <v>-0.111896348645465</v>
      </c>
      <c r="D1451">
        <v>-0.283269961977186</v>
      </c>
      <c r="E1451">
        <v>-0.415503875968992</v>
      </c>
      <c r="F1451">
        <v>-0.171428571428571</v>
      </c>
      <c r="G1451">
        <v>-0.472358292512246</v>
      </c>
      <c r="H1451">
        <v>-0.592432432432432</v>
      </c>
      <c r="I1451">
        <v>-0.3044216275057881</v>
      </c>
    </row>
    <row r="1452" spans="1:9">
      <c r="A1452" s="1" t="s">
        <v>1464</v>
      </c>
      <c r="B1452">
        <f>HYPERLINK("https://www.suredividend.com/sure-analysis-research-database/","Skillz Inc")</f>
        <v>0</v>
      </c>
      <c r="C1452">
        <v>0.03357817418677801</v>
      </c>
      <c r="D1452">
        <v>-0.153925442363854</v>
      </c>
      <c r="E1452">
        <v>-0.460864805692391</v>
      </c>
      <c r="F1452">
        <v>-0.027640671273445</v>
      </c>
      <c r="G1452">
        <v>-0.727900552486187</v>
      </c>
      <c r="H1452">
        <v>-0.963813372520205</v>
      </c>
      <c r="I1452">
        <v>-0.005050505050505001</v>
      </c>
    </row>
    <row r="1453" spans="1:9">
      <c r="A1453" s="1" t="s">
        <v>1465</v>
      </c>
      <c r="B1453">
        <f>HYPERLINK("https://www.suredividend.com/sure-analysis-SKT/","Tanger Factory Outlet Centers, Inc.")</f>
        <v>0</v>
      </c>
      <c r="C1453">
        <v>0.07825451556184701</v>
      </c>
      <c r="D1453">
        <v>0.275347601093309</v>
      </c>
      <c r="E1453">
        <v>0.240979117280673</v>
      </c>
      <c r="F1453">
        <v>0.363778144892041</v>
      </c>
      <c r="G1453">
        <v>0.5515133991352</v>
      </c>
      <c r="H1453">
        <v>0.529164885555512</v>
      </c>
      <c r="I1453">
        <v>0.299709340731932</v>
      </c>
    </row>
    <row r="1454" spans="1:9">
      <c r="A1454" s="1" t="s">
        <v>1466</v>
      </c>
      <c r="B1454">
        <f>HYPERLINK("https://www.suredividend.com/sure-analysis-research-database/","Skyward Specialty Insurance Group Inc")</f>
        <v>0</v>
      </c>
      <c r="C1454">
        <v>-0.069510268562401</v>
      </c>
      <c r="D1454">
        <v>0.096323871568171</v>
      </c>
      <c r="E1454">
        <v>0.233507853403141</v>
      </c>
      <c r="F1454">
        <v>0.233507853403141</v>
      </c>
      <c r="G1454">
        <v>0.233507853403141</v>
      </c>
      <c r="H1454">
        <v>0.233507853403141</v>
      </c>
      <c r="I1454">
        <v>0.233507853403141</v>
      </c>
    </row>
    <row r="1455" spans="1:9">
      <c r="A1455" s="1" t="s">
        <v>1467</v>
      </c>
      <c r="B1455">
        <f>HYPERLINK("https://www.suredividend.com/sure-analysis-research-database/","Skyline Champion Corp")</f>
        <v>0</v>
      </c>
      <c r="C1455">
        <v>0.004885496183206</v>
      </c>
      <c r="D1455">
        <v>-0.113774067591221</v>
      </c>
      <c r="E1455">
        <v>0.061784158735279</v>
      </c>
      <c r="F1455">
        <v>0.277810133954571</v>
      </c>
      <c r="G1455">
        <v>0.07919331037875001</v>
      </c>
      <c r="H1455">
        <v>0.152109224575529</v>
      </c>
      <c r="I1455">
        <v>1.715346534653465</v>
      </c>
    </row>
    <row r="1456" spans="1:9">
      <c r="A1456" s="1" t="s">
        <v>1468</v>
      </c>
      <c r="B1456">
        <f>HYPERLINK("https://www.suredividend.com/sure-analysis-research-database/","SkyWater Technology Inc")</f>
        <v>0</v>
      </c>
      <c r="C1456">
        <v>0.062365591397849</v>
      </c>
      <c r="D1456">
        <v>0.09899888765294701</v>
      </c>
      <c r="E1456">
        <v>-0.132572431957857</v>
      </c>
      <c r="F1456">
        <v>0.3895921237693381</v>
      </c>
      <c r="G1456">
        <v>-0.443066516347237</v>
      </c>
      <c r="H1456">
        <v>-0.413649851632047</v>
      </c>
      <c r="I1456">
        <v>-0.443066516347237</v>
      </c>
    </row>
    <row r="1457" spans="1:9">
      <c r="A1457" s="1" t="s">
        <v>1469</v>
      </c>
      <c r="B1457">
        <f>HYPERLINK("https://www.suredividend.com/sure-analysis-research-database/","Skywest Inc.")</f>
        <v>0</v>
      </c>
      <c r="C1457">
        <v>0.052592954990215</v>
      </c>
      <c r="D1457">
        <v>0.5124780316344461</v>
      </c>
      <c r="E1457">
        <v>1.322180248246087</v>
      </c>
      <c r="F1457">
        <v>1.606299212598425</v>
      </c>
      <c r="G1457">
        <v>0.72257806244996</v>
      </c>
      <c r="H1457">
        <v>0.080070281124497</v>
      </c>
      <c r="I1457">
        <v>-0.261655141646219</v>
      </c>
    </row>
    <row r="1458" spans="1:9">
      <c r="A1458" s="1" t="s">
        <v>1470</v>
      </c>
      <c r="B1458">
        <f>HYPERLINK("https://www.suredividend.com/sure-analysis-research-database/","Silicon Laboratories Inc")</f>
        <v>0</v>
      </c>
      <c r="C1458">
        <v>-0.113799339028496</v>
      </c>
      <c r="D1458">
        <v>0.022813961856783</v>
      </c>
      <c r="E1458">
        <v>-0.225968084526986</v>
      </c>
      <c r="F1458">
        <v>0.04754182943908</v>
      </c>
      <c r="G1458">
        <v>-0.067882206335672</v>
      </c>
      <c r="H1458">
        <v>-0.088389993585631</v>
      </c>
      <c r="I1458">
        <v>0.496787783043707</v>
      </c>
    </row>
    <row r="1459" spans="1:9">
      <c r="A1459" s="1" t="s">
        <v>1471</v>
      </c>
      <c r="B1459">
        <f>HYPERLINK("https://www.suredividend.com/sure-analysis-research-database/","U.S. Silica Holdings Inc")</f>
        <v>0</v>
      </c>
      <c r="C1459">
        <v>0.05550952775476301</v>
      </c>
      <c r="D1459">
        <v>0.06255212677231001</v>
      </c>
      <c r="E1459">
        <v>0.042553191489361</v>
      </c>
      <c r="F1459">
        <v>0.0192</v>
      </c>
      <c r="G1459">
        <v>-0.117728531855955</v>
      </c>
      <c r="H1459">
        <v>0.230917874396135</v>
      </c>
      <c r="I1459">
        <v>-0.467838480206849</v>
      </c>
    </row>
    <row r="1460" spans="1:9">
      <c r="A1460" s="1" t="s">
        <v>1472</v>
      </c>
      <c r="B1460">
        <f>HYPERLINK("https://www.suredividend.com/sure-analysis-research-database/","Solid Power Inc")</f>
        <v>0</v>
      </c>
      <c r="C1460">
        <v>0.022900763358778</v>
      </c>
      <c r="D1460">
        <v>0.333333333333333</v>
      </c>
      <c r="E1460">
        <v>-0.263736263736263</v>
      </c>
      <c r="F1460">
        <v>0.05511811023622001</v>
      </c>
      <c r="G1460">
        <v>-0.596385542168674</v>
      </c>
      <c r="H1460">
        <v>-0.728470111448834</v>
      </c>
      <c r="I1460">
        <v>-0.732</v>
      </c>
    </row>
    <row r="1461" spans="1:9">
      <c r="A1461" s="1" t="s">
        <v>1473</v>
      </c>
      <c r="B1461">
        <f>HYPERLINK("https://www.suredividend.com/sure-analysis-research-database/","SomaLogic Inc")</f>
        <v>0</v>
      </c>
      <c r="C1461">
        <v>-0.050884955752212</v>
      </c>
      <c r="D1461">
        <v>-0.22841726618705</v>
      </c>
      <c r="E1461">
        <v>-0.404166666666666</v>
      </c>
      <c r="F1461">
        <v>-0.145418326693226</v>
      </c>
      <c r="G1461">
        <v>-0.56841046277666</v>
      </c>
      <c r="H1461">
        <v>-0.8172913117546841</v>
      </c>
      <c r="I1461">
        <v>-0.8449248120300751</v>
      </c>
    </row>
    <row r="1462" spans="1:9">
      <c r="A1462" s="1" t="s">
        <v>1474</v>
      </c>
      <c r="B1462">
        <f>HYPERLINK("https://www.suredividend.com/sure-analysis-research-database/","Simulations Plus Inc.")</f>
        <v>0</v>
      </c>
      <c r="C1462">
        <v>0.120682806133451</v>
      </c>
      <c r="D1462">
        <v>0.215955942839972</v>
      </c>
      <c r="E1462">
        <v>0.16252784462581</v>
      </c>
      <c r="F1462">
        <v>0.359126547152358</v>
      </c>
      <c r="G1462">
        <v>-0.223690872667691</v>
      </c>
      <c r="H1462">
        <v>0.06630669546436201</v>
      </c>
      <c r="I1462">
        <v>1.821287951951814</v>
      </c>
    </row>
    <row r="1463" spans="1:9">
      <c r="A1463" s="1" t="s">
        <v>1475</v>
      </c>
      <c r="B1463">
        <f>HYPERLINK("https://www.suredividend.com/sure-analysis-research-database/","SelectQuote Inc")</f>
        <v>0</v>
      </c>
      <c r="C1463">
        <v>-0.111111111111111</v>
      </c>
      <c r="D1463">
        <v>0.803921568627451</v>
      </c>
      <c r="E1463">
        <v>1.154062280496371</v>
      </c>
      <c r="F1463">
        <v>1.73850275338592</v>
      </c>
      <c r="G1463">
        <v>0.022222222222222</v>
      </c>
      <c r="H1463">
        <v>-0.897321428571428</v>
      </c>
      <c r="I1463">
        <v>-0.931851851851851</v>
      </c>
    </row>
    <row r="1464" spans="1:9">
      <c r="A1464" s="1" t="s">
        <v>1476</v>
      </c>
      <c r="B1464">
        <f>HYPERLINK("https://www.suredividend.com/sure-analysis-research-database/","Sylvamo Corp")</f>
        <v>0</v>
      </c>
      <c r="C1464">
        <v>0.166221142162819</v>
      </c>
      <c r="D1464">
        <v>0.09541200639123401</v>
      </c>
      <c r="E1464">
        <v>-0.011662750250739</v>
      </c>
      <c r="F1464">
        <v>-0.006780138086328</v>
      </c>
      <c r="G1464">
        <v>0.254410957471835</v>
      </c>
      <c r="H1464">
        <v>0.9196000000000001</v>
      </c>
      <c r="I1464">
        <v>0.9196000000000001</v>
      </c>
    </row>
    <row r="1465" spans="1:9">
      <c r="A1465" s="1" t="s">
        <v>1477</v>
      </c>
      <c r="B1465">
        <f>HYPERLINK("https://www.suredividend.com/sure-analysis-research-database/","SM Energy Co")</f>
        <v>0</v>
      </c>
      <c r="C1465">
        <v>0.169946489846871</v>
      </c>
      <c r="D1465">
        <v>0.457651890844148</v>
      </c>
      <c r="E1465">
        <v>0.17199037271179</v>
      </c>
      <c r="F1465">
        <v>0.08605137343279501</v>
      </c>
      <c r="G1465">
        <v>0.019476650431569</v>
      </c>
      <c r="H1465">
        <v>1.001964394016649</v>
      </c>
      <c r="I1465">
        <v>0.373762968801216</v>
      </c>
    </row>
    <row r="1466" spans="1:9">
      <c r="A1466" s="1" t="s">
        <v>1478</v>
      </c>
      <c r="B1466">
        <f>HYPERLINK("https://www.suredividend.com/sure-analysis-research-database/","Southern Missouri Bancorp, Inc.")</f>
        <v>0</v>
      </c>
      <c r="C1466">
        <v>0.203372508942258</v>
      </c>
      <c r="D1466">
        <v>0.4915400229906171</v>
      </c>
      <c r="E1466">
        <v>-0.04160375707605701</v>
      </c>
      <c r="F1466">
        <v>0.04601813542270401</v>
      </c>
      <c r="G1466">
        <v>-0.095629065828987</v>
      </c>
      <c r="H1466">
        <v>0.08016869895858901</v>
      </c>
      <c r="I1466">
        <v>0.322309409171942</v>
      </c>
    </row>
    <row r="1467" spans="1:9">
      <c r="A1467" s="1" t="s">
        <v>1479</v>
      </c>
      <c r="B1467">
        <f>HYPERLINK("https://www.suredividend.com/sure-analysis-research-database/","SmartFinancial Inc")</f>
        <v>0</v>
      </c>
      <c r="C1467">
        <v>0.160681399631676</v>
      </c>
      <c r="D1467">
        <v>0.273553927759535</v>
      </c>
      <c r="E1467">
        <v>-0.09540742548145001</v>
      </c>
      <c r="F1467">
        <v>-0.07336957520556001</v>
      </c>
      <c r="G1467">
        <v>-0.014468278075535</v>
      </c>
      <c r="H1467">
        <v>0.07049741399077701</v>
      </c>
      <c r="I1467">
        <v>0.07389468931174401</v>
      </c>
    </row>
    <row r="1468" spans="1:9">
      <c r="A1468" s="1" t="s">
        <v>1480</v>
      </c>
      <c r="B1468">
        <f>HYPERLINK("https://www.suredividend.com/sure-analysis-research-database/","Super Micro Computer Inc")</f>
        <v>0</v>
      </c>
      <c r="C1468">
        <v>0.288964686998394</v>
      </c>
      <c r="D1468">
        <v>1.397984322508398</v>
      </c>
      <c r="E1468">
        <v>2.808513161014939</v>
      </c>
      <c r="F1468">
        <v>2.912423873325213</v>
      </c>
      <c r="G1468">
        <v>4.610655021834061</v>
      </c>
      <c r="H1468">
        <v>7.479672650475184</v>
      </c>
      <c r="I1468">
        <v>14.29571428571428</v>
      </c>
    </row>
    <row r="1469" spans="1:9">
      <c r="A1469" s="1" t="s">
        <v>1481</v>
      </c>
      <c r="B1469">
        <f>HYPERLINK("https://www.suredividend.com/sure-analysis-research-database/","Summit Financial Group Inc")</f>
        <v>0</v>
      </c>
      <c r="C1469">
        <v>0.13125</v>
      </c>
      <c r="D1469">
        <v>0.291742837222835</v>
      </c>
      <c r="E1469">
        <v>-0.09958863484167201</v>
      </c>
      <c r="F1469">
        <v>-0.02760156873117</v>
      </c>
      <c r="G1469">
        <v>-0.165327572568258</v>
      </c>
      <c r="H1469">
        <v>0.08636434988965501</v>
      </c>
      <c r="I1469">
        <v>0.09719987876244401</v>
      </c>
    </row>
    <row r="1470" spans="1:9">
      <c r="A1470" s="1" t="s">
        <v>1482</v>
      </c>
      <c r="B1470">
        <f>HYPERLINK("https://www.suredividend.com/sure-analysis-research-database/","Standard Motor Products, Inc.")</f>
        <v>0</v>
      </c>
      <c r="C1470">
        <v>-0.036344482486173</v>
      </c>
      <c r="D1470">
        <v>0.034068589354095</v>
      </c>
      <c r="E1470">
        <v>-0.109574206610906</v>
      </c>
      <c r="F1470">
        <v>0.06748899398133401</v>
      </c>
      <c r="G1470">
        <v>-0.06948001251204701</v>
      </c>
      <c r="H1470">
        <v>-0.09446607155673101</v>
      </c>
      <c r="I1470">
        <v>-0.151854839457409</v>
      </c>
    </row>
    <row r="1471" spans="1:9">
      <c r="A1471" s="1" t="s">
        <v>1483</v>
      </c>
      <c r="B1471">
        <f>HYPERLINK("https://www.suredividend.com/sure-analysis-research-database/","Simply Good Foods Co")</f>
        <v>0</v>
      </c>
      <c r="C1471">
        <v>0.05099536405781201</v>
      </c>
      <c r="D1471">
        <v>0.038814016172506</v>
      </c>
      <c r="E1471">
        <v>0.06907073509015201</v>
      </c>
      <c r="F1471">
        <v>0.013410465422035</v>
      </c>
      <c r="G1471">
        <v>0.147365287287883</v>
      </c>
      <c r="H1471">
        <v>0.045010845986984</v>
      </c>
      <c r="I1471">
        <v>1.310551558752997</v>
      </c>
    </row>
    <row r="1472" spans="1:9">
      <c r="A1472" s="1" t="s">
        <v>1484</v>
      </c>
      <c r="B1472">
        <f>HYPERLINK("https://www.suredividend.com/sure-analysis-research-database/","NuScale Power Corporation")</f>
        <v>0</v>
      </c>
      <c r="C1472">
        <v>0.004243281471004</v>
      </c>
      <c r="D1472">
        <v>-0.09323116219667901</v>
      </c>
      <c r="E1472">
        <v>-0.333958724202626</v>
      </c>
      <c r="F1472">
        <v>-0.307992202729044</v>
      </c>
      <c r="G1472">
        <v>-0.521563342318059</v>
      </c>
      <c r="H1472">
        <v>-0.292828685258964</v>
      </c>
      <c r="I1472">
        <v>-0.28643216080402</v>
      </c>
    </row>
    <row r="1473" spans="1:9">
      <c r="A1473" s="1" t="s">
        <v>1485</v>
      </c>
      <c r="B1473">
        <f>HYPERLINK("https://www.suredividend.com/sure-analysis-research-database/","SmartRent Inc")</f>
        <v>0</v>
      </c>
      <c r="C1473">
        <v>-0.01038961038961</v>
      </c>
      <c r="D1473">
        <v>0.432330827067669</v>
      </c>
      <c r="E1473">
        <v>0.205696202531645</v>
      </c>
      <c r="F1473">
        <v>0.5679012345679011</v>
      </c>
      <c r="G1473">
        <v>-0.335078534031413</v>
      </c>
      <c r="H1473">
        <v>-0.6929895245769541</v>
      </c>
      <c r="I1473">
        <v>-0.656756756756756</v>
      </c>
    </row>
    <row r="1474" spans="1:9">
      <c r="A1474" s="1" t="s">
        <v>1486</v>
      </c>
      <c r="B1474">
        <f>HYPERLINK("https://www.suredividend.com/sure-analysis-research-database/","Semtech Corp.")</f>
        <v>0</v>
      </c>
      <c r="C1474">
        <v>0.05045871559633</v>
      </c>
      <c r="D1474">
        <v>0.479009687836383</v>
      </c>
      <c r="E1474">
        <v>-0.191526919682259</v>
      </c>
      <c r="F1474">
        <v>-0.042174973858487</v>
      </c>
      <c r="G1474">
        <v>-0.510160427807486</v>
      </c>
      <c r="H1474">
        <v>-0.558483290488431</v>
      </c>
      <c r="I1474">
        <v>-0.42510460251046</v>
      </c>
    </row>
    <row r="1475" spans="1:9">
      <c r="A1475" s="1" t="s">
        <v>1487</v>
      </c>
      <c r="B1475">
        <f>HYPERLINK("https://www.suredividend.com/sure-analysis-research-database/","Sleep Number Corp")</f>
        <v>0</v>
      </c>
      <c r="C1475">
        <v>0.010261854210898</v>
      </c>
      <c r="D1475">
        <v>0.24836029733275</v>
      </c>
      <c r="E1475">
        <v>-0.239882854100106</v>
      </c>
      <c r="F1475">
        <v>0.09892224788298601</v>
      </c>
      <c r="G1475">
        <v>-0.360868591896127</v>
      </c>
      <c r="H1475">
        <v>-0.7071794871794871</v>
      </c>
      <c r="I1475">
        <v>-0.011426592797783</v>
      </c>
    </row>
    <row r="1476" spans="1:9">
      <c r="A1476" s="1" t="s">
        <v>1488</v>
      </c>
      <c r="B1476">
        <f>HYPERLINK("https://www.suredividend.com/sure-analysis-research-database/","Science 37 Holdings Inc")</f>
        <v>0</v>
      </c>
      <c r="C1476">
        <v>0.177254553531763</v>
      </c>
      <c r="D1476">
        <v>-0.09863945578231201</v>
      </c>
      <c r="E1476">
        <v>-0.5711974110032361</v>
      </c>
      <c r="F1476">
        <v>-0.361753371868978</v>
      </c>
      <c r="G1476">
        <v>-0.8886554621848731</v>
      </c>
      <c r="H1476">
        <v>-0.9732862903225801</v>
      </c>
      <c r="I1476">
        <v>-0.9736187157789941</v>
      </c>
    </row>
    <row r="1477" spans="1:9">
      <c r="A1477" s="1" t="s">
        <v>1489</v>
      </c>
      <c r="B1477">
        <f>HYPERLINK("https://www.suredividend.com/sure-analysis-research-database/","Sun Country Airlines Holdings Inc")</f>
        <v>0</v>
      </c>
      <c r="C1477">
        <v>-0.088918677390527</v>
      </c>
      <c r="D1477">
        <v>0.128389596015495</v>
      </c>
      <c r="E1477">
        <v>-0.045858680393074</v>
      </c>
      <c r="F1477">
        <v>0.28562421185372</v>
      </c>
      <c r="G1477">
        <v>-0.0276585598474</v>
      </c>
      <c r="H1477">
        <v>-0.379110840438489</v>
      </c>
      <c r="I1477">
        <v>-0.43952721275426</v>
      </c>
    </row>
    <row r="1478" spans="1:9">
      <c r="A1478" s="1" t="s">
        <v>1490</v>
      </c>
      <c r="B1478">
        <f>HYPERLINK("https://www.suredividend.com/sure-analysis-research-database/","Syndax Pharmaceuticals Inc")</f>
        <v>0</v>
      </c>
      <c r="C1478">
        <v>-0.024916147580258</v>
      </c>
      <c r="D1478">
        <v>-0.001472031403336</v>
      </c>
      <c r="E1478">
        <v>-0.272174535050071</v>
      </c>
      <c r="F1478">
        <v>-0.200392927308447</v>
      </c>
      <c r="G1478">
        <v>-0.030490709861838</v>
      </c>
      <c r="H1478">
        <v>0.412213740458015</v>
      </c>
      <c r="I1478">
        <v>2.214849921011058</v>
      </c>
    </row>
    <row r="1479" spans="1:9">
      <c r="A1479" s="1" t="s">
        <v>1491</v>
      </c>
      <c r="B1479">
        <f>HYPERLINK("https://www.suredividend.com/sure-analysis-research-database/","StoneX Group Inc")</f>
        <v>0</v>
      </c>
      <c r="C1479">
        <v>0.177069605846411</v>
      </c>
      <c r="D1479">
        <v>0.03661109938805601</v>
      </c>
      <c r="E1479">
        <v>0.08960851724520301</v>
      </c>
      <c r="F1479">
        <v>0.030954879328436</v>
      </c>
      <c r="G1479">
        <v>0.122857142857142</v>
      </c>
      <c r="H1479">
        <v>0.51246921182266</v>
      </c>
      <c r="I1479">
        <v>0.7753885074087451</v>
      </c>
    </row>
    <row r="1480" spans="1:9">
      <c r="A1480" s="1" t="s">
        <v>1492</v>
      </c>
      <c r="B1480">
        <f>HYPERLINK("https://www.suredividend.com/sure-analysis-research-database/","Snap One Holdings Corp")</f>
        <v>0</v>
      </c>
      <c r="C1480">
        <v>-0.050847457627118</v>
      </c>
      <c r="D1480">
        <v>0.188826815642458</v>
      </c>
      <c r="E1480">
        <v>-0.015726179463459</v>
      </c>
      <c r="F1480">
        <v>0.435897435897435</v>
      </c>
      <c r="G1480">
        <v>-0.113333333333333</v>
      </c>
      <c r="H1480">
        <v>-0.414419372592185</v>
      </c>
      <c r="I1480">
        <v>-0.357099697885196</v>
      </c>
    </row>
    <row r="1481" spans="1:9">
      <c r="A1481" s="1" t="s">
        <v>1493</v>
      </c>
      <c r="B1481">
        <f>HYPERLINK("https://www.suredividend.com/sure-analysis-research-database/","Solaris Oilfield Infrastructure Inc")</f>
        <v>0</v>
      </c>
      <c r="C1481">
        <v>0.291469194312796</v>
      </c>
      <c r="D1481">
        <v>0.497252747252747</v>
      </c>
      <c r="E1481">
        <v>0.085495194940995</v>
      </c>
      <c r="F1481">
        <v>0.110635609626867</v>
      </c>
      <c r="G1481">
        <v>0.004441659448202</v>
      </c>
      <c r="H1481">
        <v>0.406487909365403</v>
      </c>
      <c r="I1481">
        <v>-0.195904275723686</v>
      </c>
    </row>
    <row r="1482" spans="1:9">
      <c r="A1482" s="1" t="s">
        <v>1494</v>
      </c>
      <c r="B1482">
        <f>HYPERLINK("https://www.suredividend.com/sure-analysis-research-database/","Sonder Holdings Inc")</f>
        <v>0</v>
      </c>
      <c r="C1482">
        <v>0.06603773584905601</v>
      </c>
      <c r="D1482">
        <v>0.41320660330165</v>
      </c>
      <c r="E1482">
        <v>-0.673410404624277</v>
      </c>
      <c r="F1482">
        <v>-0.544354838709677</v>
      </c>
      <c r="G1482">
        <v>-0.6446540880503141</v>
      </c>
      <c r="H1482">
        <v>-0.9428137651821861</v>
      </c>
      <c r="I1482">
        <v>-0.9424643584521381</v>
      </c>
    </row>
    <row r="1483" spans="1:9">
      <c r="A1483" s="1" t="s">
        <v>1495</v>
      </c>
      <c r="B1483">
        <f>HYPERLINK("https://www.suredividend.com/sure-analysis-research-database/","Sonos Inc")</f>
        <v>0</v>
      </c>
      <c r="C1483">
        <v>0.03201970443349701</v>
      </c>
      <c r="D1483">
        <v>-0.212775951150774</v>
      </c>
      <c r="E1483">
        <v>-0.11369645690111</v>
      </c>
      <c r="F1483">
        <v>-0.008284023668638001</v>
      </c>
      <c r="G1483">
        <v>-0.257421355782011</v>
      </c>
      <c r="H1483">
        <v>-0.499253062443979</v>
      </c>
      <c r="I1483">
        <v>-0.199999999999999</v>
      </c>
    </row>
    <row r="1484" spans="1:9">
      <c r="A1484" s="1" t="s">
        <v>1496</v>
      </c>
      <c r="B1484">
        <f>HYPERLINK("https://www.suredividend.com/sure-analysis-research-database/","Sovos Brands Inc")</f>
        <v>0</v>
      </c>
      <c r="C1484">
        <v>-0.08980827447023201</v>
      </c>
      <c r="D1484">
        <v>0.0005546311702710001</v>
      </c>
      <c r="E1484">
        <v>0.3502994011976041</v>
      </c>
      <c r="F1484">
        <v>0.255393180236604</v>
      </c>
      <c r="G1484">
        <v>0.240715268225584</v>
      </c>
      <c r="H1484">
        <v>0.334319526627219</v>
      </c>
      <c r="I1484">
        <v>0.334319526627219</v>
      </c>
    </row>
    <row r="1485" spans="1:9">
      <c r="A1485" s="1" t="s">
        <v>1497</v>
      </c>
      <c r="B1485">
        <f>HYPERLINK("https://www.suredividend.com/sure-analysis-research-database/","SP Plus Corp")</f>
        <v>0</v>
      </c>
      <c r="C1485">
        <v>0.0180225281602</v>
      </c>
      <c r="D1485">
        <v>0.201122268163024</v>
      </c>
      <c r="E1485">
        <v>0.101272678039534</v>
      </c>
      <c r="F1485">
        <v>0.171370967741935</v>
      </c>
      <c r="G1485">
        <v>0.14177428411005</v>
      </c>
      <c r="H1485">
        <v>0.265007776049766</v>
      </c>
      <c r="I1485">
        <v>0.03749999999999901</v>
      </c>
    </row>
    <row r="1486" spans="1:9">
      <c r="A1486" s="1" t="s">
        <v>1498</v>
      </c>
      <c r="B1486">
        <f>HYPERLINK("https://www.suredividend.com/sure-analysis-research-database/","Virgin Galactic Holdings Inc")</f>
        <v>0</v>
      </c>
      <c r="C1486">
        <v>0.007957559681697</v>
      </c>
      <c r="D1486">
        <v>0.107871720116617</v>
      </c>
      <c r="E1486">
        <v>-0.375</v>
      </c>
      <c r="F1486">
        <v>0.09195402298850501</v>
      </c>
      <c r="G1486">
        <v>-0.5393939393939391</v>
      </c>
      <c r="H1486">
        <v>-0.878980891719745</v>
      </c>
      <c r="I1486">
        <v>-0.6188565697091271</v>
      </c>
    </row>
    <row r="1487" spans="1:9">
      <c r="A1487" s="1" t="s">
        <v>1499</v>
      </c>
      <c r="B1487">
        <f>HYPERLINK("https://www.suredividend.com/sure-analysis-research-database/","South Plains Financial Inc")</f>
        <v>0</v>
      </c>
      <c r="C1487">
        <v>0.174392200527796</v>
      </c>
      <c r="D1487">
        <v>0.361066092231406</v>
      </c>
      <c r="E1487">
        <v>-0.034441497030159</v>
      </c>
      <c r="F1487">
        <v>6.346054060900001E-05</v>
      </c>
      <c r="G1487">
        <v>0.033229971768408</v>
      </c>
      <c r="H1487">
        <v>0.200166652480299</v>
      </c>
      <c r="I1487">
        <v>0.6228396968760791</v>
      </c>
    </row>
    <row r="1488" spans="1:9">
      <c r="A1488" s="1" t="s">
        <v>1500</v>
      </c>
      <c r="B1488">
        <f>HYPERLINK("https://www.suredividend.com/sure-analysis-research-database/","Sphere Entertainment Co")</f>
        <v>0</v>
      </c>
      <c r="C1488">
        <v>0.392327180600796</v>
      </c>
      <c r="D1488">
        <v>0.276376907763769</v>
      </c>
      <c r="E1488">
        <v>-0.267795964979063</v>
      </c>
      <c r="F1488">
        <v>-0.144540804981098</v>
      </c>
      <c r="G1488">
        <v>-0.357977303070761</v>
      </c>
      <c r="H1488">
        <v>-0.447031766566048</v>
      </c>
      <c r="I1488">
        <v>-0.565359846345045</v>
      </c>
    </row>
    <row r="1489" spans="1:9">
      <c r="A1489" s="1" t="s">
        <v>1501</v>
      </c>
      <c r="B1489">
        <f>HYPERLINK("https://www.suredividend.com/sure-analysis-research-database/","Spire Global Inc")</f>
        <v>0</v>
      </c>
      <c r="C1489">
        <v>0.227838960101101</v>
      </c>
      <c r="D1489">
        <v>0.04646868749038301</v>
      </c>
      <c r="E1489">
        <v>-0.447073170731707</v>
      </c>
      <c r="F1489">
        <v>-0.291562499999999</v>
      </c>
      <c r="G1489">
        <v>-0.5435570469798651</v>
      </c>
      <c r="H1489">
        <v>-0.931716867469879</v>
      </c>
      <c r="I1489">
        <v>-0.9298865979381441</v>
      </c>
    </row>
    <row r="1490" spans="1:9">
      <c r="A1490" s="1" t="s">
        <v>1502</v>
      </c>
      <c r="B1490">
        <f>HYPERLINK("https://www.suredividend.com/sure-analysis-research-database/","Sapiens International Corp NV")</f>
        <v>0</v>
      </c>
      <c r="C1490">
        <v>0.09575666541494501</v>
      </c>
      <c r="D1490">
        <v>0.303260384100044</v>
      </c>
      <c r="E1490">
        <v>0.281826009031646</v>
      </c>
      <c r="F1490">
        <v>0.616853397165242</v>
      </c>
      <c r="G1490">
        <v>0.34225100737824</v>
      </c>
      <c r="H1490">
        <v>0.264604930139028</v>
      </c>
      <c r="I1490">
        <v>2.174844957023174</v>
      </c>
    </row>
    <row r="1491" spans="1:9">
      <c r="A1491" s="1" t="s">
        <v>1503</v>
      </c>
      <c r="B1491">
        <f>HYPERLINK("https://www.suredividend.com/sure-analysis-research-database/","SiriusPoint Ltd")</f>
        <v>0</v>
      </c>
      <c r="C1491">
        <v>0.124586549062844</v>
      </c>
      <c r="D1491">
        <v>0.153846153846153</v>
      </c>
      <c r="E1491">
        <v>0.369127516778523</v>
      </c>
      <c r="F1491">
        <v>0.7288135593220331</v>
      </c>
      <c r="G1491">
        <v>1.440191387559809</v>
      </c>
      <c r="H1491">
        <v>0.05699481865284901</v>
      </c>
      <c r="I1491">
        <v>-0.247232472324723</v>
      </c>
    </row>
    <row r="1492" spans="1:9">
      <c r="A1492" s="1" t="s">
        <v>1504</v>
      </c>
      <c r="B1492">
        <f>HYPERLINK("https://www.suredividend.com/sure-analysis-research-database/","SPS Commerce Inc.")</f>
        <v>0</v>
      </c>
      <c r="C1492">
        <v>-0.109230362338005</v>
      </c>
      <c r="D1492">
        <v>0.104334710472817</v>
      </c>
      <c r="E1492">
        <v>0.166204986149584</v>
      </c>
      <c r="F1492">
        <v>0.311220119909678</v>
      </c>
      <c r="G1492">
        <v>0.299984560753435</v>
      </c>
      <c r="H1492">
        <v>0.505722460658083</v>
      </c>
      <c r="I1492">
        <v>2.835990888382688</v>
      </c>
    </row>
    <row r="1493" spans="1:9">
      <c r="A1493" s="1" t="s">
        <v>1505</v>
      </c>
      <c r="B1493">
        <f>HYPERLINK("https://www.suredividend.com/sure-analysis-research-database/","Sprout Social Inc")</f>
        <v>0</v>
      </c>
      <c r="C1493">
        <v>0.151423641069887</v>
      </c>
      <c r="D1493">
        <v>0.257331291956189</v>
      </c>
      <c r="E1493">
        <v>-0.168794767985051</v>
      </c>
      <c r="F1493">
        <v>-0.05455189514700601</v>
      </c>
      <c r="G1493">
        <v>-0.093872008148022</v>
      </c>
      <c r="H1493">
        <v>-0.4023065726122491</v>
      </c>
      <c r="I1493">
        <v>2.215662650602409</v>
      </c>
    </row>
    <row r="1494" spans="1:9">
      <c r="A1494" s="1" t="s">
        <v>1506</v>
      </c>
      <c r="B1494">
        <f>HYPERLINK("https://www.suredividend.com/sure-analysis-SPTN/","SpartanNash Co")</f>
        <v>0</v>
      </c>
      <c r="C1494">
        <v>-0.03266550522648001</v>
      </c>
      <c r="D1494">
        <v>-0.04760679582507801</v>
      </c>
      <c r="E1494">
        <v>-0.28541782626741</v>
      </c>
      <c r="F1494">
        <v>-0.244300782579108</v>
      </c>
      <c r="G1494">
        <v>-0.292690927272321</v>
      </c>
      <c r="H1494">
        <v>0.213044736827732</v>
      </c>
      <c r="I1494">
        <v>0.168725925614094</v>
      </c>
    </row>
    <row r="1495" spans="1:9">
      <c r="A1495" s="1" t="s">
        <v>1507</v>
      </c>
      <c r="B1495">
        <f>HYPERLINK("https://www.suredividend.com/sure-analysis-research-database/","Sportsman`s Warehouse Holdings Inc")</f>
        <v>0</v>
      </c>
      <c r="C1495">
        <v>0.062937062937062</v>
      </c>
      <c r="D1495">
        <v>-0.006535947712418001</v>
      </c>
      <c r="E1495">
        <v>-0.390781563126252</v>
      </c>
      <c r="F1495">
        <v>-0.353878852284803</v>
      </c>
      <c r="G1495">
        <v>-0.397423191278493</v>
      </c>
      <c r="H1495">
        <v>-0.6591928251121071</v>
      </c>
      <c r="I1495">
        <v>0.233265720081135</v>
      </c>
    </row>
    <row r="1496" spans="1:9">
      <c r="A1496" s="1" t="s">
        <v>1508</v>
      </c>
      <c r="B1496">
        <f>HYPERLINK("https://www.suredividend.com/sure-analysis-research-database/","Sunpower Corp")</f>
        <v>0</v>
      </c>
      <c r="C1496">
        <v>-0.07910750507099301</v>
      </c>
      <c r="D1496">
        <v>-0.243963363863447</v>
      </c>
      <c r="E1496">
        <v>-0.481439177612792</v>
      </c>
      <c r="F1496">
        <v>-0.4963948973932331</v>
      </c>
      <c r="G1496">
        <v>-0.5917266187050361</v>
      </c>
      <c r="H1496">
        <v>-0.641248518372184</v>
      </c>
      <c r="I1496">
        <v>0.5073791855504091</v>
      </c>
    </row>
    <row r="1497" spans="1:9">
      <c r="A1497" s="1" t="s">
        <v>1509</v>
      </c>
      <c r="B1497">
        <f>HYPERLINK("https://www.suredividend.com/sure-analysis-research-database/","SPX Technologies Inc")</f>
        <v>0</v>
      </c>
      <c r="C1497">
        <v>0.040516735173223</v>
      </c>
      <c r="D1497">
        <v>0.420099374899823</v>
      </c>
      <c r="E1497">
        <v>0.154999348194498</v>
      </c>
      <c r="F1497">
        <v>0.349581111957349</v>
      </c>
      <c r="G1497">
        <v>0.3852407754846771</v>
      </c>
      <c r="H1497">
        <v>0.3852407754846771</v>
      </c>
      <c r="I1497">
        <v>0.3852407754846771</v>
      </c>
    </row>
    <row r="1498" spans="1:9">
      <c r="A1498" s="1" t="s">
        <v>1510</v>
      </c>
      <c r="B1498">
        <f>HYPERLINK("https://www.suredividend.com/sure-analysis-research-database/","Squarespace Inc")</f>
        <v>0</v>
      </c>
      <c r="C1498">
        <v>0.028124999999999</v>
      </c>
      <c r="D1498">
        <v>0.246684350132625</v>
      </c>
      <c r="E1498">
        <v>0.342857142857142</v>
      </c>
      <c r="F1498">
        <v>0.483987370320252</v>
      </c>
      <c r="G1498">
        <v>0.421166306695464</v>
      </c>
      <c r="H1498">
        <v>-0.363020329138431</v>
      </c>
      <c r="I1498">
        <v>-0.246277205040091</v>
      </c>
    </row>
    <row r="1499" spans="1:9">
      <c r="A1499" s="1" t="s">
        <v>1511</v>
      </c>
      <c r="B1499">
        <f>HYPERLINK("https://www.suredividend.com/sure-analysis-SR/","Spire Inc.")</f>
        <v>0</v>
      </c>
      <c r="C1499">
        <v>-0.044409448818897</v>
      </c>
      <c r="D1499">
        <v>-0.09400111682129901</v>
      </c>
      <c r="E1499">
        <v>-0.179927966645718</v>
      </c>
      <c r="F1499">
        <v>-0.09977805998314601</v>
      </c>
      <c r="G1499">
        <v>-0.141436579782161</v>
      </c>
      <c r="H1499">
        <v>-0.100087796312554</v>
      </c>
      <c r="I1499">
        <v>0.011773454786165</v>
      </c>
    </row>
    <row r="1500" spans="1:9">
      <c r="A1500" s="1" t="s">
        <v>1512</v>
      </c>
      <c r="B1500">
        <f>HYPERLINK("https://www.suredividend.com/sure-analysis-SRCE/","1st Source Corp.")</f>
        <v>0</v>
      </c>
      <c r="C1500">
        <v>0.137121853345939</v>
      </c>
      <c r="D1500">
        <v>0.206437669471598</v>
      </c>
      <c r="E1500">
        <v>-0.024110915065477</v>
      </c>
      <c r="F1500">
        <v>-0.058917647977053</v>
      </c>
      <c r="G1500">
        <v>0.05737631240285</v>
      </c>
      <c r="H1500">
        <v>0.139044695046348</v>
      </c>
      <c r="I1500">
        <v>-0.004659916872696001</v>
      </c>
    </row>
    <row r="1501" spans="1:9">
      <c r="A1501" s="1" t="s">
        <v>1513</v>
      </c>
      <c r="B1501">
        <f>HYPERLINK("https://www.suredividend.com/sure-analysis-research-database/","Surmodics, Inc.")</f>
        <v>0</v>
      </c>
      <c r="C1501">
        <v>0.05462184873949501</v>
      </c>
      <c r="D1501">
        <v>0.417463075586446</v>
      </c>
      <c r="E1501">
        <v>0.08948247078464101</v>
      </c>
      <c r="F1501">
        <v>-0.04366940211019901</v>
      </c>
      <c r="G1501">
        <v>-0.061007194244604</v>
      </c>
      <c r="H1501">
        <v>-0.4211459996452011</v>
      </c>
      <c r="I1501">
        <v>-0.450210614995787</v>
      </c>
    </row>
    <row r="1502" spans="1:9">
      <c r="A1502" s="1" t="s">
        <v>1514</v>
      </c>
      <c r="B1502">
        <f>HYPERLINK("https://www.suredividend.com/sure-analysis-research-database/","Stoneridge Inc.")</f>
        <v>0</v>
      </c>
      <c r="C1502">
        <v>0.24483306836248</v>
      </c>
      <c r="D1502">
        <v>0.225991649269311</v>
      </c>
      <c r="E1502">
        <v>-0.010947368421052</v>
      </c>
      <c r="F1502">
        <v>0.08951762523191001</v>
      </c>
      <c r="G1502">
        <v>0.186963112683173</v>
      </c>
      <c r="H1502">
        <v>-0.171136203246295</v>
      </c>
      <c r="I1502">
        <v>-0.244451592151817</v>
      </c>
    </row>
    <row r="1503" spans="1:9">
      <c r="A1503" s="1" t="s">
        <v>1515</v>
      </c>
      <c r="B1503">
        <f>HYPERLINK("https://www.suredividend.com/sure-analysis-research-database/","SouthState Corporation")</f>
        <v>0</v>
      </c>
      <c r="C1503">
        <v>0.16495306213679</v>
      </c>
      <c r="D1503">
        <v>0.236655493847567</v>
      </c>
      <c r="E1503">
        <v>-0.025263601487663</v>
      </c>
      <c r="F1503">
        <v>0.04685822020712201</v>
      </c>
      <c r="G1503">
        <v>-0.015349117806714</v>
      </c>
      <c r="H1503">
        <v>0.18984386533366</v>
      </c>
      <c r="I1503">
        <v>0.07998640692473201</v>
      </c>
    </row>
    <row r="1504" spans="1:9">
      <c r="A1504" s="1" t="s">
        <v>1516</v>
      </c>
      <c r="B1504">
        <f>HYPERLINK("https://www.suredividend.com/sure-analysis-research-database/","Simpson Manufacturing Co., Inc.")</f>
        <v>0</v>
      </c>
      <c r="C1504">
        <v>0.13047304730473</v>
      </c>
      <c r="D1504">
        <v>0.228696691909127</v>
      </c>
      <c r="E1504">
        <v>0.388593605298528</v>
      </c>
      <c r="F1504">
        <v>0.7478390137534311</v>
      </c>
      <c r="G1504">
        <v>0.518038899377479</v>
      </c>
      <c r="H1504">
        <v>0.394066669922563</v>
      </c>
      <c r="I1504">
        <v>1.205863412204804</v>
      </c>
    </row>
    <row r="1505" spans="1:9">
      <c r="A1505" s="1" t="s">
        <v>1517</v>
      </c>
      <c r="B1505">
        <f>HYPERLINK("https://www.suredividend.com/sure-analysis-research-database/","E.W. Scripps Co.")</f>
        <v>0</v>
      </c>
      <c r="C1505">
        <v>0.031351351351351</v>
      </c>
      <c r="D1505">
        <v>0.198492462311557</v>
      </c>
      <c r="E1505">
        <v>-0.3880692751763951</v>
      </c>
      <c r="F1505">
        <v>-0.276724791508718</v>
      </c>
      <c r="G1505">
        <v>-0.346575342465753</v>
      </c>
      <c r="H1505">
        <v>-0.4968354430379741</v>
      </c>
      <c r="I1505">
        <v>-0.279113173186637</v>
      </c>
    </row>
    <row r="1506" spans="1:9">
      <c r="A1506" s="1" t="s">
        <v>1518</v>
      </c>
      <c r="B1506">
        <f>HYPERLINK("https://www.suredividend.com/sure-analysis-research-database/","SoundThinking Inc")</f>
        <v>0</v>
      </c>
      <c r="C1506">
        <v>0.033348772579897</v>
      </c>
      <c r="D1506">
        <v>-0.293987341772152</v>
      </c>
      <c r="E1506">
        <v>-0.41025641025641</v>
      </c>
      <c r="F1506">
        <v>-0.340526160212828</v>
      </c>
      <c r="G1506">
        <v>-0.327606992163954</v>
      </c>
      <c r="H1506">
        <v>-0.496388261851015</v>
      </c>
      <c r="I1506">
        <v>-0.4808005585292061</v>
      </c>
    </row>
    <row r="1507" spans="1:9">
      <c r="A1507" s="1" t="s">
        <v>1519</v>
      </c>
      <c r="B1507">
        <f>HYPERLINK("https://www.suredividend.com/sure-analysis-research-database/","Shutterstock Inc")</f>
        <v>0</v>
      </c>
      <c r="C1507">
        <v>-0.131048387096774</v>
      </c>
      <c r="D1507">
        <v>-0.210564876547732</v>
      </c>
      <c r="E1507">
        <v>-0.433098373873595</v>
      </c>
      <c r="F1507">
        <v>-0.174810072295061</v>
      </c>
      <c r="G1507">
        <v>-0.27029173093235</v>
      </c>
      <c r="H1507">
        <v>-0.577553692827626</v>
      </c>
      <c r="I1507">
        <v>-0.05108717668712701</v>
      </c>
    </row>
    <row r="1508" spans="1:9">
      <c r="A1508" s="1" t="s">
        <v>1520</v>
      </c>
      <c r="B1508">
        <f>HYPERLINK("https://www.suredividend.com/sure-analysis-research-database/","Staar Surgical Co.")</f>
        <v>0</v>
      </c>
      <c r="C1508">
        <v>-0.096848137535816</v>
      </c>
      <c r="D1508">
        <v>-0.325438721643601</v>
      </c>
      <c r="E1508">
        <v>-0.393612928049249</v>
      </c>
      <c r="F1508">
        <v>-0.025957972805933</v>
      </c>
      <c r="G1508">
        <v>-0.4503603813066721</v>
      </c>
      <c r="H1508">
        <v>-0.6301916308173641</v>
      </c>
      <c r="I1508">
        <v>0.247493403693931</v>
      </c>
    </row>
    <row r="1509" spans="1:9">
      <c r="A1509" s="1" t="s">
        <v>1521</v>
      </c>
      <c r="B1509">
        <f>HYPERLINK("https://www.suredividend.com/sure-analysis-STAG/","STAG Industrial Inc")</f>
        <v>0</v>
      </c>
      <c r="C1509">
        <v>-0.017655172413793</v>
      </c>
      <c r="D1509">
        <v>0.028037922791782</v>
      </c>
      <c r="E1509">
        <v>0.002161358954442</v>
      </c>
      <c r="F1509">
        <v>0.129783973628855</v>
      </c>
      <c r="G1509">
        <v>0.12813754344169</v>
      </c>
      <c r="H1509">
        <v>-0.06289966894911</v>
      </c>
      <c r="I1509">
        <v>0.588916404524462</v>
      </c>
    </row>
    <row r="1510" spans="1:9">
      <c r="A1510" s="1" t="s">
        <v>1522</v>
      </c>
      <c r="B1510">
        <f>HYPERLINK("https://www.suredividend.com/sure-analysis-research-database/","S &amp; T Bancorp, Inc.")</f>
        <v>0</v>
      </c>
      <c r="C1510">
        <v>0.149081742888008</v>
      </c>
      <c r="D1510">
        <v>0.246396737729378</v>
      </c>
      <c r="E1510">
        <v>-0.123414261618675</v>
      </c>
      <c r="F1510">
        <v>-0.034937033497453</v>
      </c>
      <c r="G1510">
        <v>0.095479388097003</v>
      </c>
      <c r="H1510">
        <v>0.172080176014045</v>
      </c>
      <c r="I1510">
        <v>-0.131764469004998</v>
      </c>
    </row>
    <row r="1511" spans="1:9">
      <c r="A1511" s="1" t="s">
        <v>1523</v>
      </c>
      <c r="B1511">
        <f>HYPERLINK("https://www.suredividend.com/sure-analysis-research-database/","Stewart Information Services Corp.")</f>
        <v>0</v>
      </c>
      <c r="C1511">
        <v>0.124939817043813</v>
      </c>
      <c r="D1511">
        <v>0.127523838937574</v>
      </c>
      <c r="E1511">
        <v>-0.072303914270002</v>
      </c>
      <c r="F1511">
        <v>0.118314463422047</v>
      </c>
      <c r="G1511">
        <v>-0.06722823266397801</v>
      </c>
      <c r="H1511">
        <v>-0.128745434443361</v>
      </c>
      <c r="I1511">
        <v>0.21821509199831</v>
      </c>
    </row>
    <row r="1512" spans="1:9">
      <c r="A1512" s="1" t="s">
        <v>1524</v>
      </c>
      <c r="B1512">
        <f>HYPERLINK("https://www.suredividend.com/sure-analysis-research-database/","Stellar Bancorp Inc")</f>
        <v>0</v>
      </c>
      <c r="C1512">
        <v>0.05644118914261</v>
      </c>
      <c r="D1512">
        <v>0.129454250654088</v>
      </c>
      <c r="E1512">
        <v>-0.14395338525938</v>
      </c>
      <c r="F1512">
        <v>-0.154995588883987</v>
      </c>
      <c r="G1512">
        <v>-0.201466799972644</v>
      </c>
      <c r="H1512">
        <v>-0.02592888327434</v>
      </c>
      <c r="I1512">
        <v>-0.301101933085925</v>
      </c>
    </row>
    <row r="1513" spans="1:9">
      <c r="A1513" s="1" t="s">
        <v>1525</v>
      </c>
      <c r="B1513">
        <f>HYPERLINK("https://www.suredividend.com/sure-analysis-research-database/","Stem Inc")</f>
        <v>0</v>
      </c>
      <c r="C1513">
        <v>0.166380789022298</v>
      </c>
      <c r="D1513">
        <v>0.704260651629072</v>
      </c>
      <c r="E1513">
        <v>-0.334637964774951</v>
      </c>
      <c r="F1513">
        <v>-0.239373601789709</v>
      </c>
      <c r="G1513">
        <v>-0.41680960548885</v>
      </c>
      <c r="H1513">
        <v>-0.7561850125493</v>
      </c>
      <c r="I1513">
        <v>-0.298969072164948</v>
      </c>
    </row>
    <row r="1514" spans="1:9">
      <c r="A1514" s="1" t="s">
        <v>1526</v>
      </c>
      <c r="B1514">
        <f>HYPERLINK("https://www.suredividend.com/sure-analysis-research-database/","StepStone Group Inc")</f>
        <v>0</v>
      </c>
      <c r="C1514">
        <v>0.146440129449838</v>
      </c>
      <c r="D1514">
        <v>0.337151970105169</v>
      </c>
      <c r="E1514">
        <v>-0.053272623410289</v>
      </c>
      <c r="F1514">
        <v>0.152013788393684</v>
      </c>
      <c r="G1514">
        <v>0.046586775486086</v>
      </c>
      <c r="H1514">
        <v>-0.33682316298378</v>
      </c>
      <c r="I1514">
        <v>0.202355496724705</v>
      </c>
    </row>
    <row r="1515" spans="1:9">
      <c r="A1515" s="1" t="s">
        <v>1527</v>
      </c>
      <c r="B1515">
        <f>HYPERLINK("https://www.suredividend.com/sure-analysis-research-database/","Sterling Check Corp")</f>
        <v>0</v>
      </c>
      <c r="C1515">
        <v>-0.065573770491803</v>
      </c>
      <c r="D1515">
        <v>0.025179856115107</v>
      </c>
      <c r="E1515">
        <v>-0.205574912891986</v>
      </c>
      <c r="F1515">
        <v>-0.263089851325145</v>
      </c>
      <c r="G1515">
        <v>-0.421906693711967</v>
      </c>
      <c r="H1515">
        <v>-0.576208178438661</v>
      </c>
      <c r="I1515">
        <v>-0.576208178438661</v>
      </c>
    </row>
    <row r="1516" spans="1:9">
      <c r="A1516" s="1" t="s">
        <v>1528</v>
      </c>
      <c r="B1516">
        <f>HYPERLINK("https://www.suredividend.com/sure-analysis-research-database/","Stagwell Inc")</f>
        <v>0</v>
      </c>
      <c r="C1516">
        <v>-0.126547455295735</v>
      </c>
      <c r="D1516">
        <v>0.05132450331125801</v>
      </c>
      <c r="E1516">
        <v>-0.136054421768707</v>
      </c>
      <c r="F1516">
        <v>0.022544283413848</v>
      </c>
      <c r="G1516">
        <v>-0.09155937052932701</v>
      </c>
      <c r="H1516">
        <v>0.144144144144144</v>
      </c>
      <c r="I1516">
        <v>0.144144144144144</v>
      </c>
    </row>
    <row r="1517" spans="1:9">
      <c r="A1517" s="1" t="s">
        <v>1529</v>
      </c>
      <c r="B1517">
        <f>HYPERLINK("https://www.suredividend.com/sure-analysis-research-database/","Star Holdings")</f>
        <v>0</v>
      </c>
      <c r="C1517">
        <v>-0.001990710019907</v>
      </c>
      <c r="D1517">
        <v>-0.037131882202304</v>
      </c>
      <c r="E1517">
        <v>-0.135135135135135</v>
      </c>
      <c r="F1517">
        <v>-0.135135135135135</v>
      </c>
      <c r="G1517">
        <v>-0.135135135135135</v>
      </c>
      <c r="H1517">
        <v>-0.135135135135135</v>
      </c>
      <c r="I1517">
        <v>-0.135135135135135</v>
      </c>
    </row>
    <row r="1518" spans="1:9">
      <c r="A1518" s="1" t="s">
        <v>1530</v>
      </c>
      <c r="B1518">
        <f>HYPERLINK("https://www.suredividend.com/sure-analysis-research-database/","Sunopta, Inc.")</f>
        <v>0</v>
      </c>
      <c r="C1518">
        <v>-0.08184523809523801</v>
      </c>
      <c r="D1518">
        <v>-0.23543990086741</v>
      </c>
      <c r="E1518">
        <v>-0.218987341772152</v>
      </c>
      <c r="F1518">
        <v>-0.268957345971563</v>
      </c>
      <c r="G1518">
        <v>-0.309070548712206</v>
      </c>
      <c r="H1518">
        <v>-0.415719696969697</v>
      </c>
      <c r="I1518">
        <v>-0.278362573099415</v>
      </c>
    </row>
    <row r="1519" spans="1:9">
      <c r="A1519" s="1" t="s">
        <v>1531</v>
      </c>
      <c r="B1519">
        <f>HYPERLINK("https://www.suredividend.com/sure-analysis-research-database/","ONE Group Hospitality Inc")</f>
        <v>0</v>
      </c>
      <c r="C1519">
        <v>-0.067031463748289</v>
      </c>
      <c r="D1519">
        <v>-0.08333333333333301</v>
      </c>
      <c r="E1519">
        <v>-0.154894671623296</v>
      </c>
      <c r="F1519">
        <v>0.08253968253968201</v>
      </c>
      <c r="G1519">
        <v>-0.214285714285714</v>
      </c>
      <c r="H1519">
        <v>-0.277542372881355</v>
      </c>
      <c r="I1519">
        <v>1.471014492753623</v>
      </c>
    </row>
    <row r="1520" spans="1:9">
      <c r="A1520" s="1" t="s">
        <v>1532</v>
      </c>
      <c r="B1520">
        <f>HYPERLINK("https://www.suredividend.com/sure-analysis-research-database/","StoneCo Ltd")</f>
        <v>0</v>
      </c>
      <c r="C1520">
        <v>0.092417061611374</v>
      </c>
      <c r="D1520">
        <v>0.132678132678132</v>
      </c>
      <c r="E1520">
        <v>0.292523364485981</v>
      </c>
      <c r="F1520">
        <v>0.465042372881356</v>
      </c>
      <c r="G1520">
        <v>0.317142857142857</v>
      </c>
      <c r="H1520">
        <v>-0.757623554153522</v>
      </c>
      <c r="I1520">
        <v>-0.558851674641148</v>
      </c>
    </row>
    <row r="1521" spans="1:9">
      <c r="A1521" s="1" t="s">
        <v>1533</v>
      </c>
      <c r="B1521">
        <f>HYPERLINK("https://www.suredividend.com/sure-analysis-research-database/","Scorpio Tankers Inc")</f>
        <v>0</v>
      </c>
      <c r="C1521">
        <v>0.089519650655021</v>
      </c>
      <c r="D1521">
        <v>0.054417671955659</v>
      </c>
      <c r="E1521">
        <v>0.003991823200862</v>
      </c>
      <c r="F1521">
        <v>-0.06360188630738201</v>
      </c>
      <c r="G1521">
        <v>0.293024147679423</v>
      </c>
      <c r="H1521">
        <v>2.193906615035043</v>
      </c>
      <c r="I1521">
        <v>1.625044715190539</v>
      </c>
    </row>
    <row r="1522" spans="1:9">
      <c r="A1522" s="1" t="s">
        <v>1534</v>
      </c>
      <c r="B1522">
        <f>HYPERLINK("https://www.suredividend.com/sure-analysis-research-database/","Stoke Therapeutics Inc")</f>
        <v>0</v>
      </c>
      <c r="C1522">
        <v>-0.451219512195122</v>
      </c>
      <c r="D1522">
        <v>-0.383561643835616</v>
      </c>
      <c r="E1522">
        <v>-0.380296610169491</v>
      </c>
      <c r="F1522">
        <v>-0.366197183098591</v>
      </c>
      <c r="G1522">
        <v>-0.621848739495798</v>
      </c>
      <c r="H1522">
        <v>-0.7891131939437631</v>
      </c>
      <c r="I1522">
        <v>-0.77121626906531</v>
      </c>
    </row>
    <row r="1523" spans="1:9">
      <c r="A1523" s="1" t="s">
        <v>1535</v>
      </c>
      <c r="B1523">
        <f>HYPERLINK("https://www.suredividend.com/sure-analysis-research-database/","Sitio Royalties Corp")</f>
        <v>0</v>
      </c>
      <c r="C1523">
        <v>0.043412033511043</v>
      </c>
      <c r="D1523">
        <v>0.152412917118799</v>
      </c>
      <c r="E1523">
        <v>0.09701803273437701</v>
      </c>
      <c r="F1523">
        <v>-0.001468642835537</v>
      </c>
      <c r="G1523">
        <v>-0.044520464349105</v>
      </c>
      <c r="H1523">
        <v>-0.044520464349105</v>
      </c>
      <c r="I1523">
        <v>-0.044520464349105</v>
      </c>
    </row>
    <row r="1524" spans="1:9">
      <c r="A1524" s="1" t="s">
        <v>1536</v>
      </c>
      <c r="B1524">
        <f>HYPERLINK("https://www.suredividend.com/sure-analysis-research-database/","Strategic Education Inc")</f>
        <v>0</v>
      </c>
      <c r="C1524">
        <v>0.113441654357459</v>
      </c>
      <c r="D1524">
        <v>-0.071911470844255</v>
      </c>
      <c r="E1524">
        <v>-0.211817097232576</v>
      </c>
      <c r="F1524">
        <v>-0.015777846253479</v>
      </c>
      <c r="G1524">
        <v>0.08712895847334601</v>
      </c>
      <c r="H1524">
        <v>0.011995462264974</v>
      </c>
      <c r="I1524">
        <v>-0.314443701712981</v>
      </c>
    </row>
    <row r="1525" spans="1:9">
      <c r="A1525" s="1" t="s">
        <v>1537</v>
      </c>
      <c r="B1525">
        <f>HYPERLINK("https://www.suredividend.com/sure-analysis-research-database/","Sarcos Technology and Robotics Corporation")</f>
        <v>0</v>
      </c>
      <c r="C1525">
        <v>0.07257974880515701</v>
      </c>
      <c r="D1525">
        <v>-0.195833333333333</v>
      </c>
      <c r="E1525">
        <v>-0.557481542623928</v>
      </c>
      <c r="F1525">
        <v>-0.426925589405546</v>
      </c>
      <c r="G1525">
        <v>-0.9013292433537831</v>
      </c>
      <c r="H1525">
        <v>-0.9646520146520141</v>
      </c>
      <c r="I1525">
        <v>-0.9646520146520141</v>
      </c>
    </row>
    <row r="1526" spans="1:9">
      <c r="A1526" s="1" t="s">
        <v>1538</v>
      </c>
      <c r="B1526">
        <f>HYPERLINK("https://www.suredividend.com/sure-analysis-research-database/","Sterling Infrastructure Inc")</f>
        <v>0</v>
      </c>
      <c r="C1526">
        <v>0.05326460481099601</v>
      </c>
      <c r="D1526">
        <v>0.4595238095238091</v>
      </c>
      <c r="E1526">
        <v>0.663049376017363</v>
      </c>
      <c r="F1526">
        <v>0.86890243902439</v>
      </c>
      <c r="G1526">
        <v>1.515387771850636</v>
      </c>
      <c r="H1526">
        <v>1.737829388119696</v>
      </c>
      <c r="I1526">
        <v>3.362989323843416</v>
      </c>
    </row>
    <row r="1527" spans="1:9">
      <c r="A1527" s="1" t="s">
        <v>1539</v>
      </c>
      <c r="B1527">
        <f>HYPERLINK("https://www.suredividend.com/sure-analysis-research-database/","Sutro Biopharma Inc")</f>
        <v>0</v>
      </c>
      <c r="C1527">
        <v>-0.072649572649572</v>
      </c>
      <c r="D1527">
        <v>-0.15234375</v>
      </c>
      <c r="E1527">
        <v>-0.389592123769339</v>
      </c>
      <c r="F1527">
        <v>-0.4628712871287121</v>
      </c>
      <c r="G1527">
        <v>-0.191806331471136</v>
      </c>
      <c r="H1527">
        <v>-0.7575418994413401</v>
      </c>
      <c r="I1527">
        <v>-0.714473684210526</v>
      </c>
    </row>
    <row r="1528" spans="1:9">
      <c r="A1528" s="1" t="s">
        <v>1540</v>
      </c>
      <c r="B1528">
        <f>HYPERLINK("https://www.suredividend.com/sure-analysis-research-database/","Stratus Properties Inc.")</f>
        <v>0</v>
      </c>
      <c r="C1528">
        <v>0.027788351732013</v>
      </c>
      <c r="D1528">
        <v>0.216216216216216</v>
      </c>
      <c r="E1528">
        <v>0.231190150478796</v>
      </c>
      <c r="F1528">
        <v>0.399688958009331</v>
      </c>
      <c r="G1528">
        <v>-0.121379759192971</v>
      </c>
      <c r="H1528">
        <v>-0.07660738714090201</v>
      </c>
      <c r="I1528">
        <v>-0.08783783783783701</v>
      </c>
    </row>
    <row r="1529" spans="1:9">
      <c r="A1529" s="1" t="s">
        <v>1541</v>
      </c>
      <c r="B1529">
        <f>HYPERLINK("https://www.suredividend.com/sure-analysis-research-database/","Summit Materials Inc")</f>
        <v>0</v>
      </c>
      <c r="C1529">
        <v>0.005392289026691001</v>
      </c>
      <c r="D1529">
        <v>0.360948905109489</v>
      </c>
      <c r="E1529">
        <v>0.12251655629139</v>
      </c>
      <c r="F1529">
        <v>0.313490665727368</v>
      </c>
      <c r="G1529">
        <v>0.378048780487805</v>
      </c>
      <c r="H1529">
        <v>0.130705834551265</v>
      </c>
      <c r="I1529">
        <v>0.8024680616580381</v>
      </c>
    </row>
    <row r="1530" spans="1:9">
      <c r="A1530" s="1" t="s">
        <v>1542</v>
      </c>
      <c r="B1530">
        <f>HYPERLINK("https://www.suredividend.com/sure-analysis-research-database/","Sunlight Financial Holdings Inc")</f>
        <v>0</v>
      </c>
      <c r="C1530">
        <v>0.7018194070080861</v>
      </c>
      <c r="D1530">
        <v>0.108404652183454</v>
      </c>
      <c r="E1530">
        <v>-0.6417730496453901</v>
      </c>
      <c r="F1530">
        <v>-0.6084496124031</v>
      </c>
      <c r="G1530">
        <v>-0.8734085213032581</v>
      </c>
      <c r="H1530">
        <v>-0.9377188655980271</v>
      </c>
      <c r="I1530">
        <v>-0.9545364536453641</v>
      </c>
    </row>
    <row r="1531" spans="1:9">
      <c r="A1531" s="1" t="s">
        <v>1543</v>
      </c>
      <c r="B1531">
        <f>HYPERLINK("https://www.suredividend.com/sure-analysis-research-database/","Supernus Pharmaceuticals Inc")</f>
        <v>0</v>
      </c>
      <c r="C1531">
        <v>0.06521739130434701</v>
      </c>
      <c r="D1531">
        <v>-0.144277270284793</v>
      </c>
      <c r="E1531">
        <v>-0.234559000240326</v>
      </c>
      <c r="F1531">
        <v>-0.107092795065881</v>
      </c>
      <c r="G1531">
        <v>-0.005309181761399001</v>
      </c>
      <c r="H1531">
        <v>0.184455187802156</v>
      </c>
      <c r="I1531">
        <v>-0.396208530805687</v>
      </c>
    </row>
    <row r="1532" spans="1:9">
      <c r="A1532" s="1" t="s">
        <v>1544</v>
      </c>
      <c r="B1532">
        <f>HYPERLINK("https://www.suredividend.com/sure-analysis-research-database/","Service Properties Trust")</f>
        <v>0</v>
      </c>
      <c r="C1532">
        <v>-0.071253015596153</v>
      </c>
      <c r="D1532">
        <v>-0.036031270205137</v>
      </c>
      <c r="E1532">
        <v>-0.003524122007534</v>
      </c>
      <c r="F1532">
        <v>0.232045195023739</v>
      </c>
      <c r="G1532">
        <v>0.370595707695393</v>
      </c>
      <c r="H1532">
        <v>-0.16807012560112</v>
      </c>
      <c r="I1532">
        <v>-0.684666323132417</v>
      </c>
    </row>
    <row r="1533" spans="1:9">
      <c r="A1533" s="1" t="s">
        <v>1545</v>
      </c>
      <c r="B1533">
        <f>HYPERLINK("https://www.suredividend.com/sure-analysis-research-database/","ShockWave Medical Inc")</f>
        <v>0</v>
      </c>
      <c r="C1533">
        <v>-0.101018067106395</v>
      </c>
      <c r="D1533">
        <v>-0.108749733456535</v>
      </c>
      <c r="E1533">
        <v>0.338778560751654</v>
      </c>
      <c r="F1533">
        <v>0.21968775837751</v>
      </c>
      <c r="G1533">
        <v>0.140790610926625</v>
      </c>
      <c r="H1533">
        <v>0.4678372841673981</v>
      </c>
      <c r="I1533">
        <v>7.222295081967212</v>
      </c>
    </row>
    <row r="1534" spans="1:9">
      <c r="A1534" s="1" t="s">
        <v>1546</v>
      </c>
      <c r="B1534">
        <f>HYPERLINK("https://www.suredividend.com/sure-analysis-research-database/","Smith &amp; Wesson Brands Inc")</f>
        <v>0</v>
      </c>
      <c r="C1534">
        <v>-0.028112014733078</v>
      </c>
      <c r="D1534">
        <v>0.08206833571687</v>
      </c>
      <c r="E1534">
        <v>0.155601354335345</v>
      </c>
      <c r="F1534">
        <v>0.487094482595311</v>
      </c>
      <c r="G1534">
        <v>-0.096389876113325</v>
      </c>
      <c r="H1534">
        <v>-0.466843253614514</v>
      </c>
      <c r="I1534">
        <v>0.32349841938883</v>
      </c>
    </row>
    <row r="1535" spans="1:9">
      <c r="A1535" s="1" t="s">
        <v>1547</v>
      </c>
      <c r="B1535">
        <f>HYPERLINK("https://www.suredividend.com/sure-analysis-research-database/","SolarWinds Corp")</f>
        <v>0</v>
      </c>
      <c r="C1535">
        <v>0.133971291866028</v>
      </c>
      <c r="D1535">
        <v>0.390845070422535</v>
      </c>
      <c r="E1535">
        <v>0.116870876531574</v>
      </c>
      <c r="F1535">
        <v>0.26602564102564</v>
      </c>
      <c r="G1535">
        <v>0.229253112033194</v>
      </c>
      <c r="H1535">
        <v>-0.434960900247949</v>
      </c>
      <c r="I1535">
        <v>-0.6188166266718991</v>
      </c>
    </row>
    <row r="1536" spans="1:9">
      <c r="A1536" s="1" t="s">
        <v>1548</v>
      </c>
      <c r="B1536">
        <f>HYPERLINK("https://www.suredividend.com/sure-analysis-research-database/","Latham Group Inc")</f>
        <v>0</v>
      </c>
      <c r="C1536">
        <v>-0.007832898172323001</v>
      </c>
      <c r="D1536">
        <v>0.538461538461538</v>
      </c>
      <c r="E1536">
        <v>-0.136363636363636</v>
      </c>
      <c r="F1536">
        <v>0.180124223602484</v>
      </c>
      <c r="G1536">
        <v>-0.327433628318584</v>
      </c>
      <c r="H1536">
        <v>-0.856603773584905</v>
      </c>
      <c r="I1536">
        <v>-0.8605504587155961</v>
      </c>
    </row>
    <row r="1537" spans="1:9">
      <c r="A1537" s="1" t="s">
        <v>1549</v>
      </c>
      <c r="B1537">
        <f>HYPERLINK("https://www.suredividend.com/sure-analysis-research-database/","Swk Holdings Corp")</f>
        <v>0</v>
      </c>
      <c r="C1537">
        <v>-0.048214285714285</v>
      </c>
      <c r="D1537">
        <v>-0.06654991243432501</v>
      </c>
      <c r="E1537">
        <v>-0.169350649350649</v>
      </c>
      <c r="F1537">
        <v>-0.09353741496598601</v>
      </c>
      <c r="G1537">
        <v>-0.110678531701891</v>
      </c>
      <c r="H1537">
        <v>-0.093023255813953</v>
      </c>
      <c r="I1537">
        <v>12.90434782608696</v>
      </c>
    </row>
    <row r="1538" spans="1:9">
      <c r="A1538" s="1" t="s">
        <v>1550</v>
      </c>
      <c r="B1538">
        <f>HYPERLINK("https://www.suredividend.com/sure-analysis-research-database/","SpringWorks Therapeutics Inc")</f>
        <v>0</v>
      </c>
      <c r="C1538">
        <v>-0.032637571157495</v>
      </c>
      <c r="D1538">
        <v>0.055049668874172</v>
      </c>
      <c r="E1538">
        <v>-0.195645313979173</v>
      </c>
      <c r="F1538">
        <v>-0.01999231064975</v>
      </c>
      <c r="G1538">
        <v>-0.178801546391752</v>
      </c>
      <c r="H1538">
        <v>-0.7022891847699131</v>
      </c>
      <c r="I1538">
        <v>0.126380910296067</v>
      </c>
    </row>
    <row r="1539" spans="1:9">
      <c r="A1539" s="1" t="s">
        <v>1551</v>
      </c>
      <c r="B1539">
        <f>HYPERLINK("https://www.suredividend.com/sure-analysis-SWX/","Southwest Gas Holdings Inc")</f>
        <v>0</v>
      </c>
      <c r="C1539">
        <v>0.013001253132832</v>
      </c>
      <c r="D1539">
        <v>0.185633067924106</v>
      </c>
      <c r="E1539">
        <v>-0.007806219200107001</v>
      </c>
      <c r="F1539">
        <v>0.06659145935176501</v>
      </c>
      <c r="G1539">
        <v>-0.114386191709986</v>
      </c>
      <c r="H1539">
        <v>-0.04834081377382</v>
      </c>
      <c r="I1539">
        <v>-0.027511485048759</v>
      </c>
    </row>
    <row r="1540" spans="1:9">
      <c r="A1540" s="1" t="s">
        <v>1552</v>
      </c>
      <c r="B1540">
        <f>HYPERLINK("https://www.suredividend.com/sure-analysis-research-database/","SunCoke Energy Inc")</f>
        <v>0</v>
      </c>
      <c r="C1540">
        <v>0.126081582200247</v>
      </c>
      <c r="D1540">
        <v>0.231330675136852</v>
      </c>
      <c r="E1540">
        <v>0.006274024654265</v>
      </c>
      <c r="F1540">
        <v>0.07623424338724301</v>
      </c>
      <c r="G1540">
        <v>0.386880204606695</v>
      </c>
      <c r="H1540">
        <v>0.290295167412611</v>
      </c>
      <c r="I1540">
        <v>-0.035897218812174</v>
      </c>
    </row>
    <row r="1541" spans="1:9">
      <c r="A1541" s="1" t="s">
        <v>1553</v>
      </c>
      <c r="B1541">
        <f>HYPERLINK("https://www.suredividend.com/sure-analysis-SXI/","Standex International Corp.")</f>
        <v>0</v>
      </c>
      <c r="C1541">
        <v>0.038726150790836</v>
      </c>
      <c r="D1541">
        <v>0.180207964812153</v>
      </c>
      <c r="E1541">
        <v>0.240940793270025</v>
      </c>
      <c r="F1541">
        <v>0.436394077093511</v>
      </c>
      <c r="G1541">
        <v>0.524769566661426</v>
      </c>
      <c r="H1541">
        <v>0.6153440589090441</v>
      </c>
      <c r="I1541">
        <v>0.4918576862504601</v>
      </c>
    </row>
    <row r="1542" spans="1:9">
      <c r="A1542" s="1" t="s">
        <v>1554</v>
      </c>
      <c r="B1542">
        <f>HYPERLINK("https://www.suredividend.com/sure-analysis-SXT/","Sensient Technologies Corp.")</f>
        <v>0</v>
      </c>
      <c r="C1542">
        <v>-0.126441631504922</v>
      </c>
      <c r="D1542">
        <v>-0.172611316481832</v>
      </c>
      <c r="E1542">
        <v>-0.200059760468707</v>
      </c>
      <c r="F1542">
        <v>-0.139066238255898</v>
      </c>
      <c r="G1542">
        <v>-0.259327276933607</v>
      </c>
      <c r="H1542">
        <v>-0.260794999446578</v>
      </c>
      <c r="I1542">
        <v>0.006090646969255001</v>
      </c>
    </row>
    <row r="1543" spans="1:9">
      <c r="A1543" s="1" t="s">
        <v>1555</v>
      </c>
      <c r="B1543">
        <f>HYPERLINK("https://www.suredividend.com/sure-analysis-SYBT/","Stock Yards Bancorp Inc")</f>
        <v>0</v>
      </c>
      <c r="C1543">
        <v>0.028132438866046</v>
      </c>
      <c r="D1543">
        <v>0.052414728046819</v>
      </c>
      <c r="E1543">
        <v>-0.233162996846138</v>
      </c>
      <c r="F1543">
        <v>-0.256056772059928</v>
      </c>
      <c r="G1543">
        <v>-0.279908211410825</v>
      </c>
      <c r="H1543">
        <v>0.025363225912273</v>
      </c>
      <c r="I1543">
        <v>0.427275349083131</v>
      </c>
    </row>
    <row r="1544" spans="1:9">
      <c r="A1544" s="1" t="s">
        <v>1556</v>
      </c>
      <c r="B1544">
        <f>HYPERLINK("https://www.suredividend.com/sure-analysis-research-database/","Synaptics Inc")</f>
        <v>0</v>
      </c>
      <c r="C1544">
        <v>0.033498330839184</v>
      </c>
      <c r="D1544">
        <v>0.01137771769742</v>
      </c>
      <c r="E1544">
        <v>-0.281587581019444</v>
      </c>
      <c r="F1544">
        <v>-0.056536359815048</v>
      </c>
      <c r="G1544">
        <v>-0.398015287649188</v>
      </c>
      <c r="H1544">
        <v>-0.396477547727883</v>
      </c>
      <c r="I1544">
        <v>0.8526619892695001</v>
      </c>
    </row>
    <row r="1545" spans="1:9">
      <c r="A1545" s="1" t="s">
        <v>1557</v>
      </c>
      <c r="B1545">
        <f>HYPERLINK("https://www.suredividend.com/sure-analysis-research-database/","Talos Energy Inc")</f>
        <v>0</v>
      </c>
      <c r="C1545">
        <v>0.151037938439513</v>
      </c>
      <c r="D1545">
        <v>0.258215962441314</v>
      </c>
      <c r="E1545">
        <v>-0.139646869983948</v>
      </c>
      <c r="F1545">
        <v>-0.148305084745762</v>
      </c>
      <c r="G1545">
        <v>-0.050767414403778</v>
      </c>
      <c r="H1545">
        <v>0.414248021108179</v>
      </c>
      <c r="I1545">
        <v>-0.5644637053087751</v>
      </c>
    </row>
    <row r="1546" spans="1:9">
      <c r="A1546" s="1" t="s">
        <v>1558</v>
      </c>
      <c r="B1546">
        <f>HYPERLINK("https://www.suredividend.com/sure-analysis-research-database/","Talaris Therapeutics Inc")</f>
        <v>0</v>
      </c>
      <c r="C1546">
        <v>-0.122257053291536</v>
      </c>
      <c r="D1546">
        <v>0</v>
      </c>
      <c r="E1546">
        <v>0.7177914110429441</v>
      </c>
      <c r="F1546">
        <v>1.745098039215685</v>
      </c>
      <c r="G1546">
        <v>-0.4142259414225941</v>
      </c>
      <c r="H1546">
        <v>-0.8086124401913871</v>
      </c>
      <c r="I1546">
        <v>-0.8276923076923071</v>
      </c>
    </row>
    <row r="1547" spans="1:9">
      <c r="A1547" s="1" t="s">
        <v>1559</v>
      </c>
      <c r="B1547">
        <f>HYPERLINK("https://www.suredividend.com/sure-analysis-research-database/","Tarsus Pharmaceuticals Inc")</f>
        <v>0</v>
      </c>
      <c r="C1547">
        <v>0.001734104046242</v>
      </c>
      <c r="D1547">
        <v>0.14692256783587</v>
      </c>
      <c r="E1547">
        <v>0.06580565805658001</v>
      </c>
      <c r="F1547">
        <v>0.18212824010914</v>
      </c>
      <c r="G1547">
        <v>0.008144269924374</v>
      </c>
      <c r="H1547">
        <v>-0.263493412664683</v>
      </c>
      <c r="I1547">
        <v>-0.157920310981535</v>
      </c>
    </row>
    <row r="1548" spans="1:9">
      <c r="A1548" s="1" t="s">
        <v>1560</v>
      </c>
      <c r="B1548">
        <f>HYPERLINK("https://www.suredividend.com/sure-analysis-research-database/","Bancorp Inc. (The)")</f>
        <v>0</v>
      </c>
      <c r="C1548">
        <v>0.193373493975903</v>
      </c>
      <c r="D1548">
        <v>0.318908122503328</v>
      </c>
      <c r="E1548">
        <v>0.109182530795072</v>
      </c>
      <c r="F1548">
        <v>0.396053558844256</v>
      </c>
      <c r="G1548">
        <v>0.6086073893625651</v>
      </c>
      <c r="H1548">
        <v>0.681663837011884</v>
      </c>
      <c r="I1548">
        <v>2.934458788480635</v>
      </c>
    </row>
    <row r="1549" spans="1:9">
      <c r="A1549" s="1" t="s">
        <v>1561</v>
      </c>
      <c r="B1549">
        <f>HYPERLINK("https://www.suredividend.com/sure-analysis-research-database/","TrueBlue Inc")</f>
        <v>0</v>
      </c>
      <c r="C1549">
        <v>-0.137310073157006</v>
      </c>
      <c r="D1549">
        <v>0.01860465116279</v>
      </c>
      <c r="E1549">
        <v>-0.182835820895522</v>
      </c>
      <c r="F1549">
        <v>-0.2170582226762</v>
      </c>
      <c r="G1549">
        <v>-0.276545540349221</v>
      </c>
      <c r="H1549">
        <v>-0.424981245311327</v>
      </c>
      <c r="I1549">
        <v>-0.439488117001828</v>
      </c>
    </row>
    <row r="1550" spans="1:9">
      <c r="A1550" s="1" t="s">
        <v>1562</v>
      </c>
      <c r="B1550">
        <f>HYPERLINK("https://www.suredividend.com/sure-analysis-research-database/","Theravance Biopharma Inc")</f>
        <v>0</v>
      </c>
      <c r="C1550">
        <v>-0.04980842911877301</v>
      </c>
      <c r="D1550">
        <v>-0.117437722419928</v>
      </c>
      <c r="E1550">
        <v>-0.068544600938967</v>
      </c>
      <c r="F1550">
        <v>-0.115864527629233</v>
      </c>
      <c r="G1550">
        <v>0.073593073593073</v>
      </c>
      <c r="H1550">
        <v>-0.272193690388848</v>
      </c>
      <c r="I1550">
        <v>-0.651929824561403</v>
      </c>
    </row>
    <row r="1551" spans="1:9">
      <c r="A1551" s="1" t="s">
        <v>1563</v>
      </c>
      <c r="B1551">
        <f>HYPERLINK("https://www.suredividend.com/sure-analysis-research-database/","Texas Capital Bancshares, Inc.")</f>
        <v>0</v>
      </c>
      <c r="C1551">
        <v>0.184042152803914</v>
      </c>
      <c r="D1551">
        <v>0.3444444444444441</v>
      </c>
      <c r="E1551">
        <v>-0.08253135024788501</v>
      </c>
      <c r="F1551">
        <v>0.043276405239595</v>
      </c>
      <c r="G1551">
        <v>0.06607929515418501</v>
      </c>
      <c r="H1551">
        <v>0.001591849729385</v>
      </c>
      <c r="I1551">
        <v>-0.307810781078107</v>
      </c>
    </row>
    <row r="1552" spans="1:9">
      <c r="A1552" s="1" t="s">
        <v>1564</v>
      </c>
      <c r="B1552">
        <f>HYPERLINK("https://www.suredividend.com/sure-analysis-research-database/","Trico Bancshares")</f>
        <v>0</v>
      </c>
      <c r="C1552">
        <v>0.10953646294656</v>
      </c>
      <c r="D1552">
        <v>0.21887537826328</v>
      </c>
      <c r="E1552">
        <v>-0.268801889674307</v>
      </c>
      <c r="F1552">
        <v>-0.246431679546976</v>
      </c>
      <c r="G1552">
        <v>-0.154702110095664</v>
      </c>
      <c r="H1552">
        <v>-0.005496497537558</v>
      </c>
      <c r="I1552">
        <v>0.09935758667899201</v>
      </c>
    </row>
    <row r="1553" spans="1:9">
      <c r="A1553" s="1" t="s">
        <v>1565</v>
      </c>
      <c r="B1553">
        <f>HYPERLINK("https://www.suredividend.com/sure-analysis-research-database/","Third Coast Bancshares Inc")</f>
        <v>0</v>
      </c>
      <c r="C1553">
        <v>0.315196998123827</v>
      </c>
      <c r="D1553">
        <v>0.6041189931350111</v>
      </c>
      <c r="E1553">
        <v>0.08569953536396401</v>
      </c>
      <c r="F1553">
        <v>0.141074335322843</v>
      </c>
      <c r="G1553">
        <v>0.115058324496288</v>
      </c>
      <c r="H1553">
        <v>-0.159136345461815</v>
      </c>
      <c r="I1553">
        <v>-0.159136345461815</v>
      </c>
    </row>
    <row r="1554" spans="1:9">
      <c r="A1554" s="1" t="s">
        <v>1566</v>
      </c>
      <c r="B1554">
        <f>HYPERLINK("https://www.suredividend.com/sure-analysis-research-database/","Transcontinental Realty Investors, Inc.")</f>
        <v>0</v>
      </c>
      <c r="C1554">
        <v>-0.05379832387131601</v>
      </c>
      <c r="D1554">
        <v>-0.028587288370802</v>
      </c>
      <c r="E1554">
        <v>-0.224118820660607</v>
      </c>
      <c r="F1554">
        <v>-0.2077863286555</v>
      </c>
      <c r="G1554">
        <v>-0.189627228525121</v>
      </c>
      <c r="H1554">
        <v>-0.014084507042253</v>
      </c>
      <c r="I1554">
        <v>0.01243853051779</v>
      </c>
    </row>
    <row r="1555" spans="1:9">
      <c r="A1555" s="1" t="s">
        <v>1567</v>
      </c>
      <c r="B1555">
        <f>HYPERLINK("https://www.suredividend.com/sure-analysis-research-database/","Tactile Systems Technology Inc")</f>
        <v>0</v>
      </c>
      <c r="C1555">
        <v>-0.084599589322381</v>
      </c>
      <c r="D1555">
        <v>0.189434364994663</v>
      </c>
      <c r="E1555">
        <v>0.710667689946277</v>
      </c>
      <c r="F1555">
        <v>0.9416376306620201</v>
      </c>
      <c r="G1555">
        <v>1.449450549450549</v>
      </c>
      <c r="H1555">
        <v>-0.4993261455525601</v>
      </c>
      <c r="I1555">
        <v>-0.5615656963021241</v>
      </c>
    </row>
    <row r="1556" spans="1:9">
      <c r="A1556" s="1" t="s">
        <v>1568</v>
      </c>
      <c r="B1556">
        <f>HYPERLINK("https://www.suredividend.com/sure-analysis-research-database/","Container Store Group Inc")</f>
        <v>0</v>
      </c>
      <c r="C1556">
        <v>-0.245454545454545</v>
      </c>
      <c r="D1556">
        <v>-0.126315789473684</v>
      </c>
      <c r="E1556">
        <v>-0.561619718309859</v>
      </c>
      <c r="F1556">
        <v>-0.422273781902552</v>
      </c>
      <c r="G1556">
        <v>-0.651748251748251</v>
      </c>
      <c r="H1556">
        <v>-0.7748643761301981</v>
      </c>
      <c r="I1556">
        <v>-0.7715596330275231</v>
      </c>
    </row>
    <row r="1557" spans="1:9">
      <c r="A1557" s="1" t="s">
        <v>1569</v>
      </c>
      <c r="B1557">
        <f>HYPERLINK("https://www.suredividend.com/sure-analysis-research-database/","Tucows, Inc.")</f>
        <v>0</v>
      </c>
      <c r="C1557">
        <v>-0.08193863319386301</v>
      </c>
      <c r="D1557">
        <v>0.174921909861668</v>
      </c>
      <c r="E1557">
        <v>-0.27465564738292</v>
      </c>
      <c r="F1557">
        <v>-0.22376179245283</v>
      </c>
      <c r="G1557">
        <v>-0.431194642471376</v>
      </c>
      <c r="H1557">
        <v>-0.6632992327365731</v>
      </c>
      <c r="I1557">
        <v>-0.54485738980121</v>
      </c>
    </row>
    <row r="1558" spans="1:9">
      <c r="A1558" s="1" t="s">
        <v>1570</v>
      </c>
      <c r="B1558">
        <f>HYPERLINK("https://www.suredividend.com/sure-analysis-TDS/","Telephone And Data Systems, Inc.")</f>
        <v>0</v>
      </c>
      <c r="C1558">
        <v>-0.077102803738317</v>
      </c>
      <c r="D1558">
        <v>-0.142199444058373</v>
      </c>
      <c r="E1558">
        <v>-0.388634798288177</v>
      </c>
      <c r="F1558">
        <v>-0.214375926091669</v>
      </c>
      <c r="G1558">
        <v>-0.4621972306561191</v>
      </c>
      <c r="H1558">
        <v>-0.5648581657945471</v>
      </c>
      <c r="I1558">
        <v>-0.6428151591055</v>
      </c>
    </row>
    <row r="1559" spans="1:9">
      <c r="A1559" s="1" t="s">
        <v>1571</v>
      </c>
      <c r="B1559">
        <f>HYPERLINK("https://www.suredividend.com/sure-analysis-research-database/","ThredUp Inc")</f>
        <v>0</v>
      </c>
      <c r="C1559">
        <v>0.415999999999999</v>
      </c>
      <c r="D1559">
        <v>0.330827067669172</v>
      </c>
      <c r="E1559">
        <v>0.623853211009174</v>
      </c>
      <c r="F1559">
        <v>1.702290076335877</v>
      </c>
      <c r="G1559">
        <v>0.3828125</v>
      </c>
      <c r="H1559">
        <v>-0.84175234689316</v>
      </c>
      <c r="I1559">
        <v>-0.8230000000000001</v>
      </c>
    </row>
    <row r="1560" spans="1:9">
      <c r="A1560" s="1" t="s">
        <v>1572</v>
      </c>
      <c r="B1560">
        <f>HYPERLINK("https://www.suredividend.com/sure-analysis-research-database/","Tidewater Inc.")</f>
        <v>0</v>
      </c>
      <c r="C1560">
        <v>0.197078942503235</v>
      </c>
      <c r="D1560">
        <v>0.6351010101010091</v>
      </c>
      <c r="E1560">
        <v>0.481693363844393</v>
      </c>
      <c r="F1560">
        <v>0.7571234735413831</v>
      </c>
      <c r="G1560">
        <v>1.97427652733119</v>
      </c>
      <c r="H1560">
        <v>4.709876543209877</v>
      </c>
      <c r="I1560">
        <v>1.014623522090852</v>
      </c>
    </row>
    <row r="1561" spans="1:9">
      <c r="A1561" s="1" t="s">
        <v>1573</v>
      </c>
      <c r="B1561">
        <f>HYPERLINK("https://www.suredividend.com/sure-analysis-research-database/","Tellurian Inc")</f>
        <v>0</v>
      </c>
      <c r="C1561">
        <v>0.242647058823529</v>
      </c>
      <c r="D1561">
        <v>0.22463768115942</v>
      </c>
      <c r="E1561">
        <v>-0.124352331606217</v>
      </c>
      <c r="F1561">
        <v>0.005952380952380001</v>
      </c>
      <c r="G1561">
        <v>-0.5014749262536871</v>
      </c>
      <c r="H1561">
        <v>-0.518518518518518</v>
      </c>
      <c r="I1561">
        <v>-0.7770448548812661</v>
      </c>
    </row>
    <row r="1562" spans="1:9">
      <c r="A1562" s="1" t="s">
        <v>1574</v>
      </c>
      <c r="B1562">
        <f>HYPERLINK("https://www.suredividend.com/sure-analysis-research-database/","Tenable Holdings Inc")</f>
        <v>0</v>
      </c>
      <c r="C1562">
        <v>0.112359550561797</v>
      </c>
      <c r="D1562">
        <v>0.371824480369515</v>
      </c>
      <c r="E1562">
        <v>0.09720618794735601</v>
      </c>
      <c r="F1562">
        <v>0.245609436435124</v>
      </c>
      <c r="G1562">
        <v>0.125799573560767</v>
      </c>
      <c r="H1562">
        <v>0.050862450243255</v>
      </c>
      <c r="I1562">
        <v>0.587704644169729</v>
      </c>
    </row>
    <row r="1563" spans="1:9">
      <c r="A1563" s="1" t="s">
        <v>1575</v>
      </c>
      <c r="B1563">
        <f>HYPERLINK("https://www.suredividend.com/sure-analysis-research-database/","Terex Corp.")</f>
        <v>0</v>
      </c>
      <c r="C1563">
        <v>0.038026553024094</v>
      </c>
      <c r="D1563">
        <v>0.27475845410628</v>
      </c>
      <c r="E1563">
        <v>0.202510975072534</v>
      </c>
      <c r="F1563">
        <v>0.48624990025956</v>
      </c>
      <c r="G1563">
        <v>0.8710171088900631</v>
      </c>
      <c r="H1563">
        <v>0.275194813039888</v>
      </c>
      <c r="I1563">
        <v>0.6546091563923091</v>
      </c>
    </row>
    <row r="1564" spans="1:9">
      <c r="A1564" s="1" t="s">
        <v>1576</v>
      </c>
      <c r="B1564">
        <f>HYPERLINK("https://www.suredividend.com/sure-analysis-research-database/","Triumph Financial Inc")</f>
        <v>0</v>
      </c>
      <c r="C1564">
        <v>0.139029570331645</v>
      </c>
      <c r="D1564">
        <v>0.407063572149344</v>
      </c>
      <c r="E1564">
        <v>0.08767550702028001</v>
      </c>
      <c r="F1564">
        <v>0.426642111724984</v>
      </c>
      <c r="G1564">
        <v>-0.038477451386015</v>
      </c>
      <c r="H1564">
        <v>-0.09466303077522401</v>
      </c>
      <c r="I1564">
        <v>0.690181818181818</v>
      </c>
    </row>
    <row r="1565" spans="1:9">
      <c r="A1565" s="1" t="s">
        <v>1577</v>
      </c>
      <c r="B1565">
        <f>HYPERLINK("https://www.suredividend.com/sure-analysis-research-database/","Fresh Market Holdings Inc (The)")</f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>
      <c r="A1566" s="1" t="s">
        <v>1578</v>
      </c>
      <c r="B1566">
        <f>HYPERLINK("https://www.suredividend.com/sure-analysis-research-database/","Tredegar Corp.")</f>
        <v>0</v>
      </c>
      <c r="C1566">
        <v>-0.04803493449781601</v>
      </c>
      <c r="D1566">
        <v>-0.277555619380067</v>
      </c>
      <c r="E1566">
        <v>-0.4541311587610281</v>
      </c>
      <c r="F1566">
        <v>-0.337157683497861</v>
      </c>
      <c r="G1566">
        <v>-0.323422612581856</v>
      </c>
      <c r="H1566">
        <v>-0.4458049809760271</v>
      </c>
      <c r="I1566">
        <v>-0.5011555799638451</v>
      </c>
    </row>
    <row r="1567" spans="1:9">
      <c r="A1567" s="1" t="s">
        <v>1579</v>
      </c>
      <c r="B1567">
        <f>HYPERLINK("https://www.suredividend.com/sure-analysis-research-database/","Transphorm Inc")</f>
        <v>0</v>
      </c>
      <c r="C1567">
        <v>-0.097058823529411</v>
      </c>
      <c r="D1567">
        <v>-0.094395280235988</v>
      </c>
      <c r="E1567">
        <v>-0.270783847980997</v>
      </c>
      <c r="F1567">
        <v>-0.435661764705882</v>
      </c>
      <c r="G1567">
        <v>-0.389662027833002</v>
      </c>
      <c r="H1567">
        <v>-0.5563583815028901</v>
      </c>
      <c r="I1567">
        <v>-0.5563583815028901</v>
      </c>
    </row>
    <row r="1568" spans="1:9">
      <c r="A1568" s="1" t="s">
        <v>1580</v>
      </c>
      <c r="B1568">
        <f>HYPERLINK("https://www.suredividend.com/sure-analysis-research-database/","Textainer Group Holdings Limited")</f>
        <v>0</v>
      </c>
      <c r="C1568">
        <v>0.053817271589486</v>
      </c>
      <c r="D1568">
        <v>0.244770338394216</v>
      </c>
      <c r="E1568">
        <v>0.275602957217307</v>
      </c>
      <c r="F1568">
        <v>0.381732252453313</v>
      </c>
      <c r="G1568">
        <v>0.33334177888696</v>
      </c>
      <c r="H1568">
        <v>0.328084088858604</v>
      </c>
      <c r="I1568">
        <v>1.758141759314461</v>
      </c>
    </row>
    <row r="1569" spans="1:9">
      <c r="A1569" s="1" t="s">
        <v>1581</v>
      </c>
      <c r="B1569">
        <f>HYPERLINK("https://www.suredividend.com/sure-analysis-research-database/","Triumph Group Inc.")</f>
        <v>0</v>
      </c>
      <c r="C1569">
        <v>-0.259319286871961</v>
      </c>
      <c r="D1569">
        <v>-0.120307988450433</v>
      </c>
      <c r="E1569">
        <v>-0.243377483443708</v>
      </c>
      <c r="F1569">
        <v>-0.131178707224334</v>
      </c>
      <c r="G1569">
        <v>-0.368348306841741</v>
      </c>
      <c r="H1569">
        <v>-0.5360406091370551</v>
      </c>
      <c r="I1569">
        <v>-0.5175355250100291</v>
      </c>
    </row>
    <row r="1570" spans="1:9">
      <c r="A1570" s="1" t="s">
        <v>1582</v>
      </c>
      <c r="B1570">
        <f>HYPERLINK("https://www.suredividend.com/sure-analysis-research-database/","TEGNA Inc")</f>
        <v>0</v>
      </c>
      <c r="C1570">
        <v>0.037561576354679</v>
      </c>
      <c r="D1570">
        <v>0.034027799085637</v>
      </c>
      <c r="E1570">
        <v>-0.157103838804237</v>
      </c>
      <c r="F1570">
        <v>-0.195688700500248</v>
      </c>
      <c r="G1570">
        <v>-0.186273373512594</v>
      </c>
      <c r="H1570">
        <v>0.001360899976823</v>
      </c>
      <c r="I1570">
        <v>0.6989141065325011</v>
      </c>
    </row>
    <row r="1571" spans="1:9">
      <c r="A1571" s="1" t="s">
        <v>1583</v>
      </c>
      <c r="B1571">
        <f>HYPERLINK("https://www.suredividend.com/sure-analysis-research-database/","TG Therapeutics Inc")</f>
        <v>0</v>
      </c>
      <c r="C1571">
        <v>-0.507692307692307</v>
      </c>
      <c r="D1571">
        <v>-0.6788069974189841</v>
      </c>
      <c r="E1571">
        <v>-0.354838709677419</v>
      </c>
      <c r="F1571">
        <v>-0.053254437869822</v>
      </c>
      <c r="G1571">
        <v>0.848184818481848</v>
      </c>
      <c r="H1571">
        <v>-0.56026698076168</v>
      </c>
      <c r="I1571">
        <v>-0.03030303030303</v>
      </c>
    </row>
    <row r="1572" spans="1:9">
      <c r="A1572" s="1" t="s">
        <v>1584</v>
      </c>
      <c r="B1572">
        <f>HYPERLINK("https://www.suredividend.com/sure-analysis-research-database/","Target Hospitality Corp")</f>
        <v>0</v>
      </c>
      <c r="C1572">
        <v>-0.032452830188679</v>
      </c>
      <c r="D1572">
        <v>0.017460317460317</v>
      </c>
      <c r="E1572">
        <v>-0.170763260025873</v>
      </c>
      <c r="F1572">
        <v>-0.153236459709379</v>
      </c>
      <c r="G1572">
        <v>-0.08100358422939001</v>
      </c>
      <c r="H1572">
        <v>2.631728045325779</v>
      </c>
      <c r="I1572">
        <v>0.30949948927477</v>
      </c>
    </row>
    <row r="1573" spans="1:9">
      <c r="A1573" s="1" t="s">
        <v>1585</v>
      </c>
      <c r="B1573">
        <f>HYPERLINK("https://www.suredividend.com/sure-analysis-THFF/","First Financial Corp. - Indiana")</f>
        <v>0</v>
      </c>
      <c r="C1573">
        <v>0.155292690324537</v>
      </c>
      <c r="D1573">
        <v>0.19624512818258</v>
      </c>
      <c r="E1573">
        <v>-0.133934357271972</v>
      </c>
      <c r="F1573">
        <v>-0.137298423627468</v>
      </c>
      <c r="G1573">
        <v>-0.148023387417855</v>
      </c>
      <c r="H1573">
        <v>0.014405138871504</v>
      </c>
      <c r="I1573">
        <v>-0.128911493840176</v>
      </c>
    </row>
    <row r="1574" spans="1:9">
      <c r="A1574" s="1" t="s">
        <v>1586</v>
      </c>
      <c r="B1574">
        <f>HYPERLINK("https://www.suredividend.com/sure-analysis-research-database/","Thermon Group Holdings Inc")</f>
        <v>0</v>
      </c>
      <c r="C1574">
        <v>-0.025121859767529</v>
      </c>
      <c r="D1574">
        <v>0.210992081974848</v>
      </c>
      <c r="E1574">
        <v>0.08333333333333301</v>
      </c>
      <c r="F1574">
        <v>0.294820717131474</v>
      </c>
      <c r="G1574">
        <v>0.6414141414141411</v>
      </c>
      <c r="H1574">
        <v>0.5421115065243181</v>
      </c>
      <c r="I1574">
        <v>0.029702970297029</v>
      </c>
    </row>
    <row r="1575" spans="1:9">
      <c r="A1575" s="1" t="s">
        <v>1587</v>
      </c>
      <c r="B1575">
        <f>HYPERLINK("https://www.suredividend.com/sure-analysis-research-database/","Third Harmonic Bio Inc")</f>
        <v>0</v>
      </c>
      <c r="C1575">
        <v>0.349593495934959</v>
      </c>
      <c r="D1575">
        <v>0.363449691991786</v>
      </c>
      <c r="E1575">
        <v>0.5056689342403621</v>
      </c>
      <c r="F1575">
        <v>0.5441860465116271</v>
      </c>
      <c r="G1575">
        <v>-0.66260162601626</v>
      </c>
      <c r="H1575">
        <v>-0.66260162601626</v>
      </c>
      <c r="I1575">
        <v>-0.66260162601626</v>
      </c>
    </row>
    <row r="1576" spans="1:9">
      <c r="A1576" s="1" t="s">
        <v>1588</v>
      </c>
      <c r="B1576">
        <f>HYPERLINK("https://www.suredividend.com/sure-analysis-research-database/","Gentherm Inc")</f>
        <v>0</v>
      </c>
      <c r="C1576">
        <v>0.126826722338204</v>
      </c>
      <c r="D1576">
        <v>0.08930373360242101</v>
      </c>
      <c r="E1576">
        <v>-0.117574931880109</v>
      </c>
      <c r="F1576">
        <v>-0.007964466227600001</v>
      </c>
      <c r="G1576">
        <v>0.076807980049875</v>
      </c>
      <c r="H1576">
        <v>-0.222355624924961</v>
      </c>
      <c r="I1576">
        <v>0.4065146579804561</v>
      </c>
    </row>
    <row r="1577" spans="1:9">
      <c r="A1577" s="1" t="s">
        <v>1589</v>
      </c>
      <c r="B1577">
        <f>HYPERLINK("https://www.suredividend.com/sure-analysis-research-database/","Thorne Healthtech Inc")</f>
        <v>0</v>
      </c>
      <c r="C1577">
        <v>0.244210526315789</v>
      </c>
      <c r="D1577">
        <v>0.355504587155963</v>
      </c>
      <c r="E1577">
        <v>0.254777070063694</v>
      </c>
      <c r="F1577">
        <v>0.628099173553719</v>
      </c>
      <c r="G1577">
        <v>0.110902255639097</v>
      </c>
      <c r="H1577">
        <v>-0.217218543046357</v>
      </c>
      <c r="I1577">
        <v>-0.217218543046357</v>
      </c>
    </row>
    <row r="1578" spans="1:9">
      <c r="A1578" s="1" t="s">
        <v>1590</v>
      </c>
      <c r="B1578">
        <f>HYPERLINK("https://www.suredividend.com/sure-analysis-research-database/","Theseus Pharmaceuticals Inc")</f>
        <v>0</v>
      </c>
      <c r="C1578">
        <v>-0.646932185145317</v>
      </c>
      <c r="D1578">
        <v>-0.7110132158590301</v>
      </c>
      <c r="E1578">
        <v>-0.760409057706355</v>
      </c>
      <c r="F1578">
        <v>-0.341365461847389</v>
      </c>
      <c r="G1578">
        <v>-0.542538354253835</v>
      </c>
      <c r="H1578">
        <v>-0.823466092572658</v>
      </c>
      <c r="I1578">
        <v>-0.823466092572658</v>
      </c>
    </row>
    <row r="1579" spans="1:9">
      <c r="A1579" s="1" t="s">
        <v>1591</v>
      </c>
      <c r="B1579">
        <f>HYPERLINK("https://www.suredividend.com/sure-analysis-research-database/","Thryv Holdings Inc")</f>
        <v>0</v>
      </c>
      <c r="C1579">
        <v>-0.022644561261625</v>
      </c>
      <c r="D1579">
        <v>0.08337068579112501</v>
      </c>
      <c r="E1579">
        <v>-0.013871889024887</v>
      </c>
      <c r="F1579">
        <v>0.272105263157894</v>
      </c>
      <c r="G1579">
        <v>-0.023434343434343</v>
      </c>
      <c r="H1579">
        <v>-0.238020176544766</v>
      </c>
      <c r="I1579">
        <v>1.182392776523702</v>
      </c>
    </row>
    <row r="1580" spans="1:9">
      <c r="A1580" s="1" t="s">
        <v>1592</v>
      </c>
      <c r="B1580">
        <f>HYPERLINK("https://www.suredividend.com/sure-analysis-research-database/","Treehouse Foods Inc")</f>
        <v>0</v>
      </c>
      <c r="C1580">
        <v>0.024044146629877</v>
      </c>
      <c r="D1580">
        <v>-0.036171396772398</v>
      </c>
      <c r="E1580">
        <v>0.09736008447729601</v>
      </c>
      <c r="F1580">
        <v>0.052247873633049</v>
      </c>
      <c r="G1580">
        <v>0.167378117277016</v>
      </c>
      <c r="H1580">
        <v>0.179033356024506</v>
      </c>
      <c r="I1580">
        <v>0.018823529411764</v>
      </c>
    </row>
    <row r="1581" spans="1:9">
      <c r="A1581" s="1" t="s">
        <v>1593</v>
      </c>
      <c r="B1581">
        <f>HYPERLINK("https://www.suredividend.com/sure-analysis-research-database/","Instil Bio Inc")</f>
        <v>0</v>
      </c>
      <c r="C1581">
        <v>-0.042606071365169</v>
      </c>
      <c r="D1581">
        <v>-0.163097454996896</v>
      </c>
      <c r="E1581">
        <v>-0.394181082902718</v>
      </c>
      <c r="F1581">
        <v>-0.143968253968253</v>
      </c>
      <c r="G1581">
        <v>-0.9079692832764501</v>
      </c>
      <c r="H1581">
        <v>-0.966974892835272</v>
      </c>
      <c r="I1581">
        <v>-0.9796028744326771</v>
      </c>
    </row>
    <row r="1582" spans="1:9">
      <c r="A1582" s="1" t="s">
        <v>1594</v>
      </c>
      <c r="B1582">
        <f>HYPERLINK("https://www.suredividend.com/sure-analysis-research-database/","Interface Inc.")</f>
        <v>0</v>
      </c>
      <c r="C1582">
        <v>0.088397790055248</v>
      </c>
      <c r="D1582">
        <v>0.291295228106974</v>
      </c>
      <c r="E1582">
        <v>-0.165317899482242</v>
      </c>
      <c r="F1582">
        <v>0.002126339135831</v>
      </c>
      <c r="G1582">
        <v>-0.320834855996304</v>
      </c>
      <c r="H1582">
        <v>-0.323535471464871</v>
      </c>
      <c r="I1582">
        <v>-0.5327390976409251</v>
      </c>
    </row>
    <row r="1583" spans="1:9">
      <c r="A1583" s="1" t="s">
        <v>1595</v>
      </c>
      <c r="B1583">
        <f>HYPERLINK("https://www.suredividend.com/sure-analysis-research-database/","Tiptree Inc")</f>
        <v>0</v>
      </c>
      <c r="C1583">
        <v>0.05636604774535801</v>
      </c>
      <c r="D1583">
        <v>0.130284238459464</v>
      </c>
      <c r="E1583">
        <v>0.060056562967892</v>
      </c>
      <c r="F1583">
        <v>0.163461608688348</v>
      </c>
      <c r="G1583">
        <v>0.439102390373461</v>
      </c>
      <c r="H1583">
        <v>0.7035428986964091</v>
      </c>
      <c r="I1583">
        <v>1.736361137831524</v>
      </c>
    </row>
    <row r="1584" spans="1:9">
      <c r="A1584" s="1" t="s">
        <v>1596</v>
      </c>
      <c r="B1584">
        <f>HYPERLINK("https://www.suredividend.com/sure-analysis-research-database/","Titan Machinery Inc")</f>
        <v>0</v>
      </c>
      <c r="C1584">
        <v>0.035251080811439</v>
      </c>
      <c r="D1584">
        <v>0.00354609929078</v>
      </c>
      <c r="E1584">
        <v>-0.320305676855895</v>
      </c>
      <c r="F1584">
        <v>-0.216461112509438</v>
      </c>
      <c r="G1584">
        <v>0.048501178848096</v>
      </c>
      <c r="H1584">
        <v>0.09574093629003801</v>
      </c>
      <c r="I1584">
        <v>1.092069892473118</v>
      </c>
    </row>
    <row r="1585" spans="1:9">
      <c r="A1585" s="1" t="s">
        <v>1597</v>
      </c>
      <c r="B1585">
        <f>HYPERLINK("https://www.suredividend.com/sure-analysis-research-database/","Teekay Corp")</f>
        <v>0</v>
      </c>
      <c r="C1585">
        <v>0.033227848101265</v>
      </c>
      <c r="D1585">
        <v>0.26061776061776</v>
      </c>
      <c r="E1585">
        <v>0.335378323108384</v>
      </c>
      <c r="F1585">
        <v>0.4383259911894271</v>
      </c>
      <c r="G1585">
        <v>1.034267912772585</v>
      </c>
      <c r="H1585">
        <v>1.221088435374149</v>
      </c>
      <c r="I1585">
        <v>-0.041847634698908</v>
      </c>
    </row>
    <row r="1586" spans="1:9">
      <c r="A1586" s="1" t="s">
        <v>1598</v>
      </c>
      <c r="B1586">
        <f>HYPERLINK("https://www.suredividend.com/sure-analysis-research-database/","Alpha Teknova Inc")</f>
        <v>0</v>
      </c>
      <c r="C1586">
        <v>0.249056603773585</v>
      </c>
      <c r="D1586">
        <v>0.828729281767955</v>
      </c>
      <c r="E1586">
        <v>-0.4704</v>
      </c>
      <c r="F1586">
        <v>-0.413120567375886</v>
      </c>
      <c r="G1586">
        <v>-0.5804816223067171</v>
      </c>
      <c r="H1586">
        <v>-0.8456156716417911</v>
      </c>
      <c r="I1586">
        <v>-0.8676</v>
      </c>
    </row>
    <row r="1587" spans="1:9">
      <c r="A1587" s="1" t="s">
        <v>1599</v>
      </c>
      <c r="B1587">
        <f>HYPERLINK("https://www.suredividend.com/sure-analysis-research-database/","Telos Corp")</f>
        <v>0</v>
      </c>
      <c r="C1587">
        <v>-0.116788321167883</v>
      </c>
      <c r="D1587">
        <v>0.5220125786163521</v>
      </c>
      <c r="E1587">
        <v>-0.5051124744376271</v>
      </c>
      <c r="F1587">
        <v>-0.524557956777996</v>
      </c>
      <c r="G1587">
        <v>-0.724687144482366</v>
      </c>
      <c r="H1587">
        <v>-0.9142148174406241</v>
      </c>
      <c r="I1587">
        <v>-0.880729423361261</v>
      </c>
    </row>
    <row r="1588" spans="1:9">
      <c r="A1588" s="1" t="s">
        <v>1600</v>
      </c>
      <c r="B1588">
        <f>HYPERLINK("https://www.suredividend.com/sure-analysis-research-database/","Tillys Inc")</f>
        <v>0</v>
      </c>
      <c r="C1588">
        <v>0.272984441301273</v>
      </c>
      <c r="D1588">
        <v>0.196808510638298</v>
      </c>
      <c r="E1588">
        <v>-0.013157894736842</v>
      </c>
      <c r="F1588">
        <v>-0.005524861878453</v>
      </c>
      <c r="G1588">
        <v>0.12781954887218</v>
      </c>
      <c r="H1588">
        <v>-0.3742090697965481</v>
      </c>
      <c r="I1588">
        <v>-0.186389195248512</v>
      </c>
    </row>
    <row r="1589" spans="1:9">
      <c r="A1589" s="1" t="s">
        <v>1601</v>
      </c>
      <c r="B1589">
        <f>HYPERLINK("https://www.suredividend.com/sure-analysis-research-database/","Treace Medical Concepts Inc")</f>
        <v>0</v>
      </c>
      <c r="C1589">
        <v>-0.136085002043318</v>
      </c>
      <c r="D1589">
        <v>-0.180620155038759</v>
      </c>
      <c r="E1589">
        <v>-0.136085002043318</v>
      </c>
      <c r="F1589">
        <v>-0.08046976946498401</v>
      </c>
      <c r="G1589">
        <v>0.108547456738332</v>
      </c>
      <c r="H1589">
        <v>-0.277511961722488</v>
      </c>
      <c r="I1589">
        <v>-0.171954563258911</v>
      </c>
    </row>
    <row r="1590" spans="1:9">
      <c r="A1590" s="1" t="s">
        <v>1602</v>
      </c>
      <c r="B1590">
        <f>HYPERLINK("https://www.suredividend.com/sure-analysis-research-database/","Transmedics Group Inc")</f>
        <v>0</v>
      </c>
      <c r="C1590">
        <v>0.05942870975550701</v>
      </c>
      <c r="D1590">
        <v>0.198712681457135</v>
      </c>
      <c r="E1590">
        <v>0.261966551326412</v>
      </c>
      <c r="F1590">
        <v>0.418178872326636</v>
      </c>
      <c r="G1590">
        <v>1.223266446532893</v>
      </c>
      <c r="H1590">
        <v>2.135028653295129</v>
      </c>
      <c r="I1590">
        <v>2.914579606440072</v>
      </c>
    </row>
    <row r="1591" spans="1:9">
      <c r="A1591" s="1" t="s">
        <v>1603</v>
      </c>
      <c r="B1591">
        <f>HYPERLINK("https://www.suredividend.com/sure-analysis-research-database/","Taylor Morrison Home Corp.")</f>
        <v>0</v>
      </c>
      <c r="C1591">
        <v>-0.024200164068908</v>
      </c>
      <c r="D1591">
        <v>0.122964361576587</v>
      </c>
      <c r="E1591">
        <v>0.303918881885447</v>
      </c>
      <c r="F1591">
        <v>0.5677100494233931</v>
      </c>
      <c r="G1591">
        <v>0.720795660036166</v>
      </c>
      <c r="H1591">
        <v>0.740944017563117</v>
      </c>
      <c r="I1591">
        <v>2.095640858815875</v>
      </c>
    </row>
    <row r="1592" spans="1:9">
      <c r="A1592" s="1" t="s">
        <v>1604</v>
      </c>
      <c r="B1592">
        <f>HYPERLINK("https://www.suredividend.com/sure-analysis-TMP/","Tompkins Financial Corp")</f>
        <v>0</v>
      </c>
      <c r="C1592">
        <v>0.059319379692351</v>
      </c>
      <c r="D1592">
        <v>0.157103312376841</v>
      </c>
      <c r="E1592">
        <v>-0.207546715114449</v>
      </c>
      <c r="F1592">
        <v>-0.198456225878529</v>
      </c>
      <c r="G1592">
        <v>-0.168450865687745</v>
      </c>
      <c r="H1592">
        <v>-0.163090583885358</v>
      </c>
      <c r="I1592">
        <v>-0.180476539254467</v>
      </c>
    </row>
    <row r="1593" spans="1:9">
      <c r="A1593" s="1" t="s">
        <v>1605</v>
      </c>
      <c r="B1593">
        <f>HYPERLINK("https://www.suredividend.com/sure-analysis-research-database/","TimkenSteel Corp")</f>
        <v>0</v>
      </c>
      <c r="C1593">
        <v>0.00181077410593</v>
      </c>
      <c r="D1593">
        <v>0.3485679463741621</v>
      </c>
      <c r="E1593">
        <v>0.07218992248062001</v>
      </c>
      <c r="F1593">
        <v>0.217941662080352</v>
      </c>
      <c r="G1593">
        <v>0.297186400937866</v>
      </c>
      <c r="H1593">
        <v>0.650260999254287</v>
      </c>
      <c r="I1593">
        <v>0.62840323767476</v>
      </c>
    </row>
    <row r="1594" spans="1:9">
      <c r="A1594" s="1" t="s">
        <v>1606</v>
      </c>
      <c r="B1594">
        <f>HYPERLINK("https://www.suredividend.com/sure-analysis-TNC/","Tennant Co.")</f>
        <v>0</v>
      </c>
      <c r="C1594">
        <v>-0.001352348168182</v>
      </c>
      <c r="D1594">
        <v>0.033066259697316</v>
      </c>
      <c r="E1594">
        <v>0.153864729495924</v>
      </c>
      <c r="F1594">
        <v>0.324217215312861</v>
      </c>
      <c r="G1594">
        <v>0.250873902424752</v>
      </c>
      <c r="H1594">
        <v>0.06950815527947</v>
      </c>
      <c r="I1594">
        <v>0.07212810102791201</v>
      </c>
    </row>
    <row r="1595" spans="1:9">
      <c r="A1595" s="1" t="s">
        <v>1607</v>
      </c>
      <c r="B1595">
        <f>HYPERLINK("https://www.suredividend.com/sure-analysis-research-database/","TriNet Group Inc")</f>
        <v>0</v>
      </c>
      <c r="C1595">
        <v>0.08614583333333301</v>
      </c>
      <c r="D1595">
        <v>0.10631299734748</v>
      </c>
      <c r="E1595">
        <v>0.332523961661341</v>
      </c>
      <c r="F1595">
        <v>0.537905604719764</v>
      </c>
      <c r="G1595">
        <v>0.241309523809523</v>
      </c>
      <c r="H1595">
        <v>0.224976503759398</v>
      </c>
      <c r="I1595">
        <v>0.9287828338882721</v>
      </c>
    </row>
    <row r="1596" spans="1:9">
      <c r="A1596" s="1" t="s">
        <v>1608</v>
      </c>
      <c r="B1596">
        <f>HYPERLINK("https://www.suredividend.com/sure-analysis-research-database/","Tango Therapeutics Inc")</f>
        <v>0</v>
      </c>
      <c r="C1596">
        <v>0.076190476190476</v>
      </c>
      <c r="D1596">
        <v>0.046296296296296</v>
      </c>
      <c r="E1596">
        <v>-0.481651376146789</v>
      </c>
      <c r="F1596">
        <v>-0.5324137931034481</v>
      </c>
      <c r="G1596">
        <v>-0.177184466019417</v>
      </c>
      <c r="H1596">
        <v>-0.6603206412825651</v>
      </c>
      <c r="I1596">
        <v>-0.668621700879765</v>
      </c>
    </row>
    <row r="1597" spans="1:9">
      <c r="A1597" s="1" t="s">
        <v>1609</v>
      </c>
      <c r="B1597">
        <f>HYPERLINK("https://www.suredividend.com/sure-analysis-research-database/","Teekay Tankers Ltd")</f>
        <v>0</v>
      </c>
      <c r="C1597">
        <v>0.153322867608581</v>
      </c>
      <c r="D1597">
        <v>0.187285700048752</v>
      </c>
      <c r="E1597">
        <v>0.369888556706798</v>
      </c>
      <c r="F1597">
        <v>0.439694816053511</v>
      </c>
      <c r="G1597">
        <v>0.95491456118643</v>
      </c>
      <c r="H1597">
        <v>2.577167156281953</v>
      </c>
      <c r="I1597">
        <v>4.489688153830825</v>
      </c>
    </row>
    <row r="1598" spans="1:9">
      <c r="A1598" s="1" t="s">
        <v>1610</v>
      </c>
      <c r="B1598">
        <f>HYPERLINK("https://www.suredividend.com/sure-analysis-research-database/","Tenaya Therapeutics Inc")</f>
        <v>0</v>
      </c>
      <c r="C1598">
        <v>-0.158759124087591</v>
      </c>
      <c r="D1598">
        <v>-0.219966159052453</v>
      </c>
      <c r="E1598">
        <v>0.501628664495114</v>
      </c>
      <c r="F1598">
        <v>1.293532338308458</v>
      </c>
      <c r="G1598">
        <v>-0.08712871287128601</v>
      </c>
      <c r="H1598">
        <v>-0.746842394288852</v>
      </c>
      <c r="I1598">
        <v>-0.699674267100977</v>
      </c>
    </row>
    <row r="1599" spans="1:9">
      <c r="A1599" s="1" t="s">
        <v>1611</v>
      </c>
      <c r="B1599">
        <f>HYPERLINK("https://www.suredividend.com/sure-analysis-research-database/","Oncology Institute Inc (The)")</f>
        <v>0</v>
      </c>
      <c r="C1599">
        <v>0.6666666666666661</v>
      </c>
      <c r="D1599">
        <v>0.9583591012162441</v>
      </c>
      <c r="E1599">
        <v>-0.391025641025641</v>
      </c>
      <c r="F1599">
        <v>-0.424242424242424</v>
      </c>
      <c r="G1599">
        <v>-0.8515625</v>
      </c>
      <c r="H1599">
        <v>-0.9027635619242581</v>
      </c>
      <c r="I1599">
        <v>-0.9027635619242581</v>
      </c>
    </row>
    <row r="1600" spans="1:9">
      <c r="A1600" s="1" t="s">
        <v>1612</v>
      </c>
      <c r="B1600">
        <f>HYPERLINK("https://www.suredividend.com/sure-analysis-research-database/","Townebank Portsmouth VA")</f>
        <v>0</v>
      </c>
      <c r="C1600">
        <v>0.06220905628438401</v>
      </c>
      <c r="D1600">
        <v>0.154123808516606</v>
      </c>
      <c r="E1600">
        <v>-0.177429450647405</v>
      </c>
      <c r="F1600">
        <v>-0.16142697732846</v>
      </c>
      <c r="G1600">
        <v>-0.106344950848972</v>
      </c>
      <c r="H1600">
        <v>-0.094421855100281</v>
      </c>
      <c r="I1600">
        <v>-0.07298660816510401</v>
      </c>
    </row>
    <row r="1601" spans="1:9">
      <c r="A1601" s="1" t="s">
        <v>1613</v>
      </c>
      <c r="B1601">
        <f>HYPERLINK("https://www.suredividend.com/sure-analysis-research-database/","Turning Point Brands Inc")</f>
        <v>0</v>
      </c>
      <c r="C1601">
        <v>0.067170445004198</v>
      </c>
      <c r="D1601">
        <v>0.125500874454849</v>
      </c>
      <c r="E1601">
        <v>0.07496416081328501</v>
      </c>
      <c r="F1601">
        <v>0.182309084059292</v>
      </c>
      <c r="G1601">
        <v>0.09194785111364001</v>
      </c>
      <c r="H1601">
        <v>-0.502257659005376</v>
      </c>
      <c r="I1601">
        <v>-0.22436861713651</v>
      </c>
    </row>
    <row r="1602" spans="1:9">
      <c r="A1602" s="1" t="s">
        <v>1614</v>
      </c>
      <c r="B1602">
        <f>HYPERLINK("https://www.suredividend.com/sure-analysis-research-database/","Tutor Perini Corp")</f>
        <v>0</v>
      </c>
      <c r="C1602">
        <v>0.159500693481275</v>
      </c>
      <c r="D1602">
        <v>0.412162162162162</v>
      </c>
      <c r="E1602">
        <v>-0.106837606837606</v>
      </c>
      <c r="F1602">
        <v>0.10728476821192</v>
      </c>
      <c r="G1602">
        <v>-0.06800445930880701</v>
      </c>
      <c r="H1602">
        <v>-0.42065142065142</v>
      </c>
      <c r="I1602">
        <v>-0.541917808219178</v>
      </c>
    </row>
    <row r="1603" spans="1:9">
      <c r="A1603" s="1" t="s">
        <v>1615</v>
      </c>
      <c r="B1603">
        <f>HYPERLINK("https://www.suredividend.com/sure-analysis-research-database/","Tri Pointe Homes Inc.")</f>
        <v>0</v>
      </c>
      <c r="C1603">
        <v>-0.062404405016824</v>
      </c>
      <c r="D1603">
        <v>0.06682909850330601</v>
      </c>
      <c r="E1603">
        <v>0.351410934744268</v>
      </c>
      <c r="F1603">
        <v>0.64873587950511</v>
      </c>
      <c r="G1603">
        <v>0.7514285714285711</v>
      </c>
      <c r="H1603">
        <v>0.248472505091649</v>
      </c>
      <c r="I1603">
        <v>1.169143665958952</v>
      </c>
    </row>
    <row r="1604" spans="1:9">
      <c r="A1604" s="1" t="s">
        <v>1616</v>
      </c>
      <c r="B1604">
        <f>HYPERLINK("https://www.suredividend.com/sure-analysis-research-database/","TPI Composites Inc")</f>
        <v>0</v>
      </c>
      <c r="C1604">
        <v>-0.412322274881516</v>
      </c>
      <c r="D1604">
        <v>-0.431192660550458</v>
      </c>
      <c r="E1604">
        <v>-0.54512105649303</v>
      </c>
      <c r="F1604">
        <v>-0.388560157790927</v>
      </c>
      <c r="G1604">
        <v>-0.6134663341645881</v>
      </c>
      <c r="H1604">
        <v>-0.8415537950421671</v>
      </c>
      <c r="I1604">
        <v>-0.802421924792861</v>
      </c>
    </row>
    <row r="1605" spans="1:9">
      <c r="A1605" s="1" t="s">
        <v>1617</v>
      </c>
      <c r="B1605">
        <f>HYPERLINK("https://www.suredividend.com/sure-analysis-TR/","Tootsie Roll Industries, Inc.")</f>
        <v>0</v>
      </c>
      <c r="C1605">
        <v>-0.03835386338185801</v>
      </c>
      <c r="D1605">
        <v>-0.093904230820972</v>
      </c>
      <c r="E1605">
        <v>-0.242587945792669</v>
      </c>
      <c r="F1605">
        <v>-0.165192285258778</v>
      </c>
      <c r="G1605">
        <v>-0.004255467173766</v>
      </c>
      <c r="H1605">
        <v>0.07060040891637101</v>
      </c>
      <c r="I1605">
        <v>0.331539857038748</v>
      </c>
    </row>
    <row r="1606" spans="1:9">
      <c r="A1606" s="1" t="s">
        <v>1618</v>
      </c>
      <c r="B1606">
        <f>HYPERLINK("https://www.suredividend.com/sure-analysis-research-database/","Tejon Ranch Co.")</f>
        <v>0</v>
      </c>
      <c r="C1606">
        <v>0.015552995391705</v>
      </c>
      <c r="D1606">
        <v>0.038892162639952</v>
      </c>
      <c r="E1606">
        <v>-0.134936211972522</v>
      </c>
      <c r="F1606">
        <v>-0.064225053078556</v>
      </c>
      <c r="G1606">
        <v>0.13522215067611</v>
      </c>
      <c r="H1606">
        <v>-0.024349750968456</v>
      </c>
      <c r="I1606">
        <v>-0.243672243672243</v>
      </c>
    </row>
    <row r="1607" spans="1:9">
      <c r="A1607" s="1" t="s">
        <v>1619</v>
      </c>
      <c r="B1607">
        <f>HYPERLINK("https://www.suredividend.com/sure-analysis-research-database/","LendingTree Inc.")</f>
        <v>0</v>
      </c>
      <c r="C1607">
        <v>-0.042698548249359</v>
      </c>
      <c r="D1607">
        <v>0.212547322877231</v>
      </c>
      <c r="E1607">
        <v>-0.489990900818926</v>
      </c>
      <c r="F1607">
        <v>0.051101734646038</v>
      </c>
      <c r="G1607">
        <v>-0.492530556813037</v>
      </c>
      <c r="H1607">
        <v>-0.8762146643109541</v>
      </c>
      <c r="I1607">
        <v>-0.9081523965587871</v>
      </c>
    </row>
    <row r="1608" spans="1:9">
      <c r="A1608" s="1" t="s">
        <v>1620</v>
      </c>
      <c r="B1608">
        <f>HYPERLINK("https://www.suredividend.com/sure-analysis-research-database/","Trustmark Corp.")</f>
        <v>0</v>
      </c>
      <c r="C1608">
        <v>0.200743494423791</v>
      </c>
      <c r="D1608">
        <v>0.201961094417207</v>
      </c>
      <c r="E1608">
        <v>-0.136352090268586</v>
      </c>
      <c r="F1608">
        <v>-0.238030083657455</v>
      </c>
      <c r="G1608">
        <v>-0.176666263071697</v>
      </c>
      <c r="H1608">
        <v>-0.067370229476009</v>
      </c>
      <c r="I1608">
        <v>-0.133935065239759</v>
      </c>
    </row>
    <row r="1609" spans="1:9">
      <c r="A1609" s="1" t="s">
        <v>1621</v>
      </c>
      <c r="B1609">
        <f>HYPERLINK("https://www.suredividend.com/sure-analysis-TRN/","Trinity Industries, Inc.")</f>
        <v>0</v>
      </c>
      <c r="C1609">
        <v>0.024307730860794</v>
      </c>
      <c r="D1609">
        <v>0.214484679665738</v>
      </c>
      <c r="E1609">
        <v>-0.07062998923550701</v>
      </c>
      <c r="F1609">
        <v>-0.088168145140208</v>
      </c>
      <c r="G1609">
        <v>0.056269784869823</v>
      </c>
      <c r="H1609">
        <v>0.009298198232956001</v>
      </c>
      <c r="I1609">
        <v>0.146644224700189</v>
      </c>
    </row>
    <row r="1610" spans="1:9">
      <c r="A1610" s="1" t="s">
        <v>1622</v>
      </c>
      <c r="B1610">
        <f>HYPERLINK("https://www.suredividend.com/sure-analysis-research-database/","Terreno Realty Corp")</f>
        <v>0</v>
      </c>
      <c r="C1610">
        <v>-0.018827415359207</v>
      </c>
      <c r="D1610">
        <v>-0.023528348249139</v>
      </c>
      <c r="E1610">
        <v>-0.07780809840025001</v>
      </c>
      <c r="F1610">
        <v>0.05856778860716601</v>
      </c>
      <c r="G1610">
        <v>-0.010420483846251</v>
      </c>
      <c r="H1610">
        <v>-0.08599156299904301</v>
      </c>
      <c r="I1610">
        <v>0.7486592925303011</v>
      </c>
    </row>
    <row r="1611" spans="1:9">
      <c r="A1611" s="1" t="s">
        <v>1623</v>
      </c>
      <c r="B1611">
        <f>HYPERLINK("https://www.suredividend.com/sure-analysis-research-database/","Transcat Inc")</f>
        <v>0</v>
      </c>
      <c r="C1611">
        <v>0.04751872659176001</v>
      </c>
      <c r="D1611">
        <v>0.105074700580318</v>
      </c>
      <c r="E1611">
        <v>0.030512377662636</v>
      </c>
      <c r="F1611">
        <v>0.262875687879215</v>
      </c>
      <c r="G1611">
        <v>0.271126260474364</v>
      </c>
      <c r="H1611">
        <v>0.4299408851254191</v>
      </c>
      <c r="I1611">
        <v>2.784355179704017</v>
      </c>
    </row>
    <row r="1612" spans="1:9">
      <c r="A1612" s="1" t="s">
        <v>1624</v>
      </c>
      <c r="B1612">
        <f>HYPERLINK("https://www.suredividend.com/sure-analysis-research-database/","Tronox Holdings plc")</f>
        <v>0</v>
      </c>
      <c r="C1612">
        <v>-0.010886469673405</v>
      </c>
      <c r="D1612">
        <v>-0.018230654049798</v>
      </c>
      <c r="E1612">
        <v>-0.244359428279492</v>
      </c>
      <c r="F1612">
        <v>-0.054760011592565</v>
      </c>
      <c r="G1612">
        <v>-0.150845149403188</v>
      </c>
      <c r="H1612">
        <v>-0.254081441170951</v>
      </c>
      <c r="I1612">
        <v>-0.142989967862123</v>
      </c>
    </row>
    <row r="1613" spans="1:9">
      <c r="A1613" s="1" t="s">
        <v>1625</v>
      </c>
      <c r="B1613">
        <f>HYPERLINK("https://www.suredividend.com/sure-analysis-research-database/","Trimas Corporation")</f>
        <v>0</v>
      </c>
      <c r="C1613">
        <v>-0.069976776423569</v>
      </c>
      <c r="D1613">
        <v>0.009366830400581</v>
      </c>
      <c r="E1613">
        <v>-0.169028538706283</v>
      </c>
      <c r="F1613">
        <v>-0.0617883048625</v>
      </c>
      <c r="G1613">
        <v>-0.10170894396027</v>
      </c>
      <c r="H1613">
        <v>-0.168373063400687</v>
      </c>
      <c r="I1613">
        <v>-0.125056314126123</v>
      </c>
    </row>
    <row r="1614" spans="1:9">
      <c r="A1614" s="1" t="s">
        <v>1626</v>
      </c>
      <c r="B1614">
        <f>HYPERLINK("https://www.suredividend.com/sure-analysis-TRST/","Trustco Bank Corp.")</f>
        <v>0</v>
      </c>
      <c r="C1614">
        <v>0.026761517615176</v>
      </c>
      <c r="D1614">
        <v>0.08073608431952101</v>
      </c>
      <c r="E1614">
        <v>-0.164696220601771</v>
      </c>
      <c r="F1614">
        <v>-0.164472868110209</v>
      </c>
      <c r="G1614">
        <v>-0.051018331533054</v>
      </c>
      <c r="H1614">
        <v>-0.011047812950673</v>
      </c>
      <c r="I1614">
        <v>-0.185902222317721</v>
      </c>
    </row>
    <row r="1615" spans="1:9">
      <c r="A1615" s="1" t="s">
        <v>1627</v>
      </c>
      <c r="B1615">
        <f>HYPERLINK("https://www.suredividend.com/sure-analysis-TRTN/","Triton International Ltd")</f>
        <v>0</v>
      </c>
      <c r="C1615">
        <v>0.005040806529044001</v>
      </c>
      <c r="D1615">
        <v>0.025708864775217</v>
      </c>
      <c r="E1615">
        <v>0.181086814253153</v>
      </c>
      <c r="F1615">
        <v>0.240673466122236</v>
      </c>
      <c r="G1615">
        <v>0.367031905029319</v>
      </c>
      <c r="H1615">
        <v>0.727149913890006</v>
      </c>
      <c r="I1615">
        <v>1.956565949003297</v>
      </c>
    </row>
    <row r="1616" spans="1:9">
      <c r="A1616" s="1" t="s">
        <v>1628</v>
      </c>
      <c r="B1616">
        <f>HYPERLINK("https://www.suredividend.com/sure-analysis-research-database/","TPG RE Finance Trust Inc")</f>
        <v>0</v>
      </c>
      <c r="C1616">
        <v>-0.032742155525238</v>
      </c>
      <c r="D1616">
        <v>0.307418539895627</v>
      </c>
      <c r="E1616">
        <v>-0.158287132121615</v>
      </c>
      <c r="F1616">
        <v>0.115674518875198</v>
      </c>
      <c r="G1616">
        <v>-0.217145507143961</v>
      </c>
      <c r="H1616">
        <v>-0.333947091537652</v>
      </c>
      <c r="I1616">
        <v>-0.354268748064627</v>
      </c>
    </row>
    <row r="1617" spans="1:9">
      <c r="A1617" s="1" t="s">
        <v>1629</v>
      </c>
      <c r="B1617">
        <f>HYPERLINK("https://www.suredividend.com/sure-analysis-research-database/","Truecar Inc")</f>
        <v>0</v>
      </c>
      <c r="C1617">
        <v>0.07456140350877201</v>
      </c>
      <c r="D1617">
        <v>-0.04296875</v>
      </c>
      <c r="E1617">
        <v>-0.183333333333333</v>
      </c>
      <c r="F1617">
        <v>-0.023904382470119</v>
      </c>
      <c r="G1617">
        <v>-0.03921568627450901</v>
      </c>
      <c r="H1617">
        <v>-0.5351043643263751</v>
      </c>
      <c r="I1617">
        <v>-0.7862129144851651</v>
      </c>
    </row>
    <row r="1618" spans="1:9">
      <c r="A1618" s="1" t="s">
        <v>1630</v>
      </c>
      <c r="B1618">
        <f>HYPERLINK("https://www.suredividend.com/sure-analysis-research-database/","Trupanion Inc")</f>
        <v>0</v>
      </c>
      <c r="C1618">
        <v>0.39971278123504</v>
      </c>
      <c r="D1618">
        <v>-0.164571428571428</v>
      </c>
      <c r="E1618">
        <v>-0.5506377747041641</v>
      </c>
      <c r="F1618">
        <v>-0.384809593940669</v>
      </c>
      <c r="G1618">
        <v>-0.5700000000000001</v>
      </c>
      <c r="H1618">
        <v>-0.747778832053825</v>
      </c>
      <c r="I1618">
        <v>-0.26440251572327</v>
      </c>
    </row>
    <row r="1619" spans="1:9">
      <c r="A1619" s="1" t="s">
        <v>1631</v>
      </c>
      <c r="B1619">
        <f>HYPERLINK("https://www.suredividend.com/sure-analysis-research-database/","Trinseo PLC")</f>
        <v>0</v>
      </c>
      <c r="C1619">
        <v>0.232575757575757</v>
      </c>
      <c r="D1619">
        <v>-0.046865846514352</v>
      </c>
      <c r="E1619">
        <v>-0.461215460831324</v>
      </c>
      <c r="F1619">
        <v>-0.268813338426622</v>
      </c>
      <c r="G1619">
        <v>-0.5122287578172311</v>
      </c>
      <c r="H1619">
        <v>-0.6885927723664841</v>
      </c>
      <c r="I1619">
        <v>-0.6885927723664841</v>
      </c>
    </row>
    <row r="1620" spans="1:9">
      <c r="A1620" s="1" t="s">
        <v>1632</v>
      </c>
      <c r="B1620">
        <f>HYPERLINK("https://www.suredividend.com/sure-analysis-research-database/","TuSimple Holdings Inc")</f>
        <v>0</v>
      </c>
      <c r="C1620">
        <v>0.130434782608695</v>
      </c>
      <c r="D1620">
        <v>0.9082568807339441</v>
      </c>
      <c r="E1620">
        <v>-0.212121212121212</v>
      </c>
      <c r="F1620">
        <v>0.268292682926829</v>
      </c>
      <c r="G1620">
        <v>-0.785787847579814</v>
      </c>
      <c r="H1620">
        <v>-0.944754316069057</v>
      </c>
      <c r="I1620">
        <v>-0.9480000000000001</v>
      </c>
    </row>
    <row r="1621" spans="1:9">
      <c r="A1621" s="1" t="s">
        <v>1633</v>
      </c>
      <c r="B1621">
        <f>HYPERLINK("https://www.suredividend.com/sure-analysis-research-database/","2seventy bio Inc")</f>
        <v>0</v>
      </c>
      <c r="C1621">
        <v>-0.387450199203187</v>
      </c>
      <c r="D1621">
        <v>-0.388059701492537</v>
      </c>
      <c r="E1621">
        <v>-0.5647558386411891</v>
      </c>
      <c r="F1621">
        <v>-0.343649946638206</v>
      </c>
      <c r="G1621">
        <v>-0.600130039011703</v>
      </c>
      <c r="H1621">
        <v>-0.817073170731707</v>
      </c>
      <c r="I1621">
        <v>-0.817073170731707</v>
      </c>
    </row>
    <row r="1622" spans="1:9">
      <c r="A1622" s="1" t="s">
        <v>1634</v>
      </c>
      <c r="B1622">
        <f>HYPERLINK("https://www.suredividend.com/sure-analysis-research-database/","Tattooed Chef Inc")</f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>
      <c r="A1623" s="1" t="s">
        <v>1635</v>
      </c>
      <c r="B1623">
        <f>HYPERLINK("https://www.suredividend.com/sure-analysis-research-database/","TTEC Holdings Inc")</f>
        <v>0</v>
      </c>
      <c r="C1623">
        <v>-0.04620749782040001</v>
      </c>
      <c r="D1623">
        <v>0.00953552752999</v>
      </c>
      <c r="E1623">
        <v>-0.378424394853914</v>
      </c>
      <c r="F1623">
        <v>-0.2456022195201</v>
      </c>
      <c r="G1623">
        <v>-0.5583889944401681</v>
      </c>
      <c r="H1623">
        <v>-0.6677703870242161</v>
      </c>
      <c r="I1623">
        <v>0.146490140254659</v>
      </c>
    </row>
    <row r="1624" spans="1:9">
      <c r="A1624" s="1" t="s">
        <v>1636</v>
      </c>
      <c r="B1624">
        <f>HYPERLINK("https://www.suredividend.com/sure-analysis-research-database/","Techtarget Inc.")</f>
        <v>0</v>
      </c>
      <c r="C1624">
        <v>-0.05518553758325401</v>
      </c>
      <c r="D1624">
        <v>-0.106478704259148</v>
      </c>
      <c r="E1624">
        <v>-0.433973019190575</v>
      </c>
      <c r="F1624">
        <v>-0.323876532001815</v>
      </c>
      <c r="G1624">
        <v>-0.5692596876807401</v>
      </c>
      <c r="H1624">
        <v>-0.5901774659513001</v>
      </c>
      <c r="I1624">
        <v>0.062032085561497</v>
      </c>
    </row>
    <row r="1625" spans="1:9">
      <c r="A1625" s="1" t="s">
        <v>1637</v>
      </c>
      <c r="B1625">
        <f>HYPERLINK("https://www.suredividend.com/sure-analysis-research-database/","Tetra Technologies, Inc.")</f>
        <v>0</v>
      </c>
      <c r="C1625">
        <v>0.6117647058823531</v>
      </c>
      <c r="D1625">
        <v>0.96415770609319</v>
      </c>
      <c r="E1625">
        <v>0.405128205128205</v>
      </c>
      <c r="F1625">
        <v>0.5838150289017341</v>
      </c>
      <c r="G1625">
        <v>0.505494505494505</v>
      </c>
      <c r="H1625">
        <v>0.626112759643916</v>
      </c>
      <c r="I1625">
        <v>0.259770114942528</v>
      </c>
    </row>
    <row r="1626" spans="1:9">
      <c r="A1626" s="1" t="s">
        <v>1638</v>
      </c>
      <c r="B1626">
        <f>HYPERLINK("https://www.suredividend.com/sure-analysis-research-database/","TTM Technologies Inc")</f>
        <v>0</v>
      </c>
      <c r="C1626">
        <v>0.059841384282624</v>
      </c>
      <c r="D1626">
        <v>0.287215411558668</v>
      </c>
      <c r="E1626">
        <v>-0.103111653447223</v>
      </c>
      <c r="F1626">
        <v>-0.025198938992042</v>
      </c>
      <c r="G1626">
        <v>0.088082901554404</v>
      </c>
      <c r="H1626">
        <v>0.04626334519572901</v>
      </c>
      <c r="I1626">
        <v>-0.216417910447761</v>
      </c>
    </row>
    <row r="1627" spans="1:9">
      <c r="A1627" s="1" t="s">
        <v>1639</v>
      </c>
      <c r="B1627">
        <f>HYPERLINK("https://www.suredividend.com/sure-analysis-research-database/","Tile Shop Hldgs Inc")</f>
        <v>0</v>
      </c>
      <c r="C1627">
        <v>0.037837837837837</v>
      </c>
      <c r="D1627">
        <v>0.297297297297297</v>
      </c>
      <c r="E1627">
        <v>0.035971223021582</v>
      </c>
      <c r="F1627">
        <v>0.315068493150684</v>
      </c>
      <c r="G1627">
        <v>0.7401812688821751</v>
      </c>
      <c r="H1627">
        <v>-0.160117233636138</v>
      </c>
      <c r="I1627">
        <v>-0.26070438443372</v>
      </c>
    </row>
    <row r="1628" spans="1:9">
      <c r="A1628" s="1" t="s">
        <v>1640</v>
      </c>
      <c r="B1628">
        <f>HYPERLINK("https://www.suredividend.com/sure-analysis-research-database/","Tupperware Brands Corporation")</f>
        <v>0</v>
      </c>
      <c r="C1628">
        <v>3.318488529014844</v>
      </c>
      <c r="D1628">
        <v>2.060869565217391</v>
      </c>
      <c r="E1628">
        <v>-0.212527964205816</v>
      </c>
      <c r="F1628">
        <v>-0.14975845410628</v>
      </c>
      <c r="G1628">
        <v>-0.630640083945435</v>
      </c>
      <c r="H1628">
        <v>-0.834196891191709</v>
      </c>
      <c r="I1628">
        <v>-0.8968875869644811</v>
      </c>
    </row>
    <row r="1629" spans="1:9">
      <c r="A1629" s="1" t="s">
        <v>1641</v>
      </c>
      <c r="B1629">
        <f>HYPERLINK("https://www.suredividend.com/sure-analysis-research-database/","Travere Therapeutics Inc")</f>
        <v>0</v>
      </c>
      <c r="C1629">
        <v>0.046945337620578</v>
      </c>
      <c r="D1629">
        <v>0.023255813953488</v>
      </c>
      <c r="E1629">
        <v>-0.250460405156537</v>
      </c>
      <c r="F1629">
        <v>-0.225867807893485</v>
      </c>
      <c r="G1629">
        <v>-0.321666666666666</v>
      </c>
      <c r="H1629">
        <v>0.149717514124293</v>
      </c>
      <c r="I1629">
        <v>-0.398596231991134</v>
      </c>
    </row>
    <row r="1630" spans="1:9">
      <c r="A1630" s="1" t="s">
        <v>1642</v>
      </c>
      <c r="B1630">
        <f>HYPERLINK("https://www.suredividend.com/sure-analysis-research-database/","Titan International, Inc.")</f>
        <v>0</v>
      </c>
      <c r="C1630">
        <v>-0.010327022375215</v>
      </c>
      <c r="D1630">
        <v>0.179487179487179</v>
      </c>
      <c r="E1630">
        <v>-0.285714285714285</v>
      </c>
      <c r="F1630">
        <v>-0.249347258485639</v>
      </c>
      <c r="G1630">
        <v>-0.213943950786056</v>
      </c>
      <c r="H1630">
        <v>0.3973268529769131</v>
      </c>
      <c r="I1630">
        <v>0.630928068981166</v>
      </c>
    </row>
    <row r="1631" spans="1:9">
      <c r="A1631" s="1" t="s">
        <v>1643</v>
      </c>
      <c r="B1631">
        <f>HYPERLINK("https://www.suredividend.com/sure-analysis-research-database/","Hostess Brands Inc")</f>
        <v>0</v>
      </c>
      <c r="C1631">
        <v>-0.06304520222045901</v>
      </c>
      <c r="D1631">
        <v>-0.106616257088846</v>
      </c>
      <c r="E1631">
        <v>0.035041611914148</v>
      </c>
      <c r="F1631">
        <v>0.053030303030302</v>
      </c>
      <c r="G1631">
        <v>0.024718126626192</v>
      </c>
      <c r="H1631">
        <v>0.496516782773907</v>
      </c>
      <c r="I1631">
        <v>0.6386962552011091</v>
      </c>
    </row>
    <row r="1632" spans="1:9">
      <c r="A1632" s="1" t="s">
        <v>1644</v>
      </c>
      <c r="B1632">
        <f>HYPERLINK("https://www.suredividend.com/sure-analysis-TWO/","Two Harbors Investment Corp")</f>
        <v>0</v>
      </c>
      <c r="C1632">
        <v>-0.009774436090225</v>
      </c>
      <c r="D1632">
        <v>0.104810160562387</v>
      </c>
      <c r="E1632">
        <v>-0.193286576215123</v>
      </c>
      <c r="F1632">
        <v>-0.065579702432898</v>
      </c>
      <c r="G1632">
        <v>-0.264943908020316</v>
      </c>
      <c r="H1632">
        <v>-0.313125202098697</v>
      </c>
      <c r="I1632">
        <v>-0.606553263188083</v>
      </c>
    </row>
    <row r="1633" spans="1:9">
      <c r="A1633" s="1" t="s">
        <v>1645</v>
      </c>
      <c r="B1633">
        <f>HYPERLINK("https://www.suredividend.com/sure-analysis-research-database/","2U Inc")</f>
        <v>0</v>
      </c>
      <c r="C1633">
        <v>0.06994818652849701</v>
      </c>
      <c r="D1633">
        <v>0.114709851551956</v>
      </c>
      <c r="E1633">
        <v>-0.6775956284153001</v>
      </c>
      <c r="F1633">
        <v>-0.341307814992025</v>
      </c>
      <c r="G1633">
        <v>-0.558760683760683</v>
      </c>
      <c r="H1633">
        <v>-0.9032333645735701</v>
      </c>
      <c r="I1633">
        <v>-0.945420906567992</v>
      </c>
    </row>
    <row r="1634" spans="1:9">
      <c r="A1634" s="1" t="s">
        <v>1646</v>
      </c>
      <c r="B1634">
        <f>HYPERLINK("https://www.suredividend.com/sure-analysis-research-database/","Twist Bioscience Corp")</f>
        <v>0</v>
      </c>
      <c r="C1634">
        <v>0.041309823677581</v>
      </c>
      <c r="D1634">
        <v>0.6859706362153341</v>
      </c>
      <c r="E1634">
        <v>-0.183326748320821</v>
      </c>
      <c r="F1634">
        <v>-0.13187736245275</v>
      </c>
      <c r="G1634">
        <v>-0.550749836991958</v>
      </c>
      <c r="H1634">
        <v>-0.8263317089564771</v>
      </c>
      <c r="I1634">
        <v>0.476428571428571</v>
      </c>
    </row>
    <row r="1635" spans="1:9">
      <c r="A1635" s="1" t="s">
        <v>1647</v>
      </c>
      <c r="B1635">
        <f>HYPERLINK("https://www.suredividend.com/sure-analysis-research-database/","Texas Roadhouse Inc")</f>
        <v>0</v>
      </c>
      <c r="C1635">
        <v>-0.020572134910824</v>
      </c>
      <c r="D1635">
        <v>-0.005532192230905001</v>
      </c>
      <c r="E1635">
        <v>0.103217959389883</v>
      </c>
      <c r="F1635">
        <v>0.238345508778823</v>
      </c>
      <c r="G1635">
        <v>0.265275582108891</v>
      </c>
      <c r="H1635">
        <v>0.296671646222434</v>
      </c>
      <c r="I1635">
        <v>0.893126175417518</v>
      </c>
    </row>
    <row r="1636" spans="1:9">
      <c r="A1636" s="1" t="s">
        <v>1648</v>
      </c>
      <c r="B1636">
        <f>HYPERLINK("https://www.suredividend.com/sure-analysis-research-database/","Tyra Biosciences Inc")</f>
        <v>0</v>
      </c>
      <c r="C1636">
        <v>-0.036458333333333</v>
      </c>
      <c r="D1636">
        <v>0.151750972762646</v>
      </c>
      <c r="E1636">
        <v>0.122913505311077</v>
      </c>
      <c r="F1636">
        <v>0.9473684210526321</v>
      </c>
      <c r="G1636">
        <v>0.5862808145766341</v>
      </c>
      <c r="H1636">
        <v>-0.43076923076923</v>
      </c>
      <c r="I1636">
        <v>-0.43076923076923</v>
      </c>
    </row>
    <row r="1637" spans="1:9">
      <c r="A1637" s="1" t="s">
        <v>1649</v>
      </c>
      <c r="B1637">
        <f>HYPERLINK("https://www.suredividend.com/sure-analysis-UBA/","Urstadt Biddle Properties, Inc.")</f>
        <v>0</v>
      </c>
      <c r="C1637">
        <v>0.064832089552238</v>
      </c>
      <c r="D1637">
        <v>0.370965320522443</v>
      </c>
      <c r="E1637">
        <v>0.23646013864818</v>
      </c>
      <c r="F1637">
        <v>0.250828680849664</v>
      </c>
      <c r="G1637">
        <v>0.334479009574579</v>
      </c>
      <c r="H1637">
        <v>0.313903900274521</v>
      </c>
      <c r="I1637">
        <v>0.316571033130532</v>
      </c>
    </row>
    <row r="1638" spans="1:9">
      <c r="A1638" s="1" t="s">
        <v>1650</v>
      </c>
      <c r="B1638">
        <f>HYPERLINK("https://www.suredividend.com/sure-analysis-UBSI/","United Bankshares, Inc.")</f>
        <v>0</v>
      </c>
      <c r="C1638">
        <v>0.09511228533685501</v>
      </c>
      <c r="D1638">
        <v>0.122743340059861</v>
      </c>
      <c r="E1638">
        <v>-0.191714340732868</v>
      </c>
      <c r="F1638">
        <v>-0.155580907368549</v>
      </c>
      <c r="G1638">
        <v>-0.09806257530878301</v>
      </c>
      <c r="H1638">
        <v>0.05566432675930701</v>
      </c>
      <c r="I1638">
        <v>0.08686745526832401</v>
      </c>
    </row>
    <row r="1639" spans="1:9">
      <c r="A1639" s="1" t="s">
        <v>1651</v>
      </c>
      <c r="B1639">
        <f>HYPERLINK("https://www.suredividend.com/sure-analysis-research-database/","United Community Banks Inc")</f>
        <v>0</v>
      </c>
      <c r="C1639">
        <v>0.147528221097703</v>
      </c>
      <c r="D1639">
        <v>0.344320156138134</v>
      </c>
      <c r="E1639">
        <v>-0.113540755174269</v>
      </c>
      <c r="F1639">
        <v>-0.105148130160272</v>
      </c>
      <c r="G1639">
        <v>-0.104762251820539</v>
      </c>
      <c r="H1639">
        <v>0.08017792890172101</v>
      </c>
      <c r="I1639">
        <v>0.108862625913081</v>
      </c>
    </row>
    <row r="1640" spans="1:9">
      <c r="A1640" s="1" t="s">
        <v>1652</v>
      </c>
      <c r="B1640">
        <f>HYPERLINK("https://www.suredividend.com/sure-analysis-research-database/","Ultra Clean Hldgs Inc")</f>
        <v>0</v>
      </c>
      <c r="C1640">
        <v>-0.05857740585774</v>
      </c>
      <c r="D1640">
        <v>0.308615049073064</v>
      </c>
      <c r="E1640">
        <v>-0.037175715431933</v>
      </c>
      <c r="F1640">
        <v>0.085972850678733</v>
      </c>
      <c r="G1640">
        <v>0.036866359447004</v>
      </c>
      <c r="H1640">
        <v>-0.22463924186948</v>
      </c>
      <c r="I1640">
        <v>1.439024390243902</v>
      </c>
    </row>
    <row r="1641" spans="1:9">
      <c r="A1641" s="1" t="s">
        <v>1653</v>
      </c>
      <c r="B1641">
        <f>HYPERLINK("https://www.suredividend.com/sure-analysis-research-database/","Udemy Inc")</f>
        <v>0</v>
      </c>
      <c r="C1641">
        <v>0.050139275766016</v>
      </c>
      <c r="D1641">
        <v>0.307514450867052</v>
      </c>
      <c r="E1641">
        <v>-0.121212121212121</v>
      </c>
      <c r="F1641">
        <v>0.07203791469194301</v>
      </c>
      <c r="G1641">
        <v>-0.084210526315789</v>
      </c>
      <c r="H1641">
        <v>-0.5887272727272721</v>
      </c>
      <c r="I1641">
        <v>-0.5887272727272721</v>
      </c>
    </row>
    <row r="1642" spans="1:9">
      <c r="A1642" s="1" t="s">
        <v>1654</v>
      </c>
      <c r="B1642">
        <f>HYPERLINK("https://www.suredividend.com/sure-analysis-UE/","Urban Edge Properties")</f>
        <v>0</v>
      </c>
      <c r="C1642">
        <v>0.115139949109414</v>
      </c>
      <c r="D1642">
        <v>0.241774043876488</v>
      </c>
      <c r="E1642">
        <v>0.113999021358532</v>
      </c>
      <c r="F1642">
        <v>0.27212429517928</v>
      </c>
      <c r="G1642">
        <v>0.163330855808027</v>
      </c>
      <c r="H1642">
        <v>0.009461179221108</v>
      </c>
      <c r="I1642">
        <v>-0.049375016946395</v>
      </c>
    </row>
    <row r="1643" spans="1:9">
      <c r="A1643" s="1" t="s">
        <v>1655</v>
      </c>
      <c r="B1643">
        <f>HYPERLINK("https://www.suredividend.com/sure-analysis-research-database/","Uranium Energy Corp")</f>
        <v>0</v>
      </c>
      <c r="C1643">
        <v>0.044117647058823</v>
      </c>
      <c r="D1643">
        <v>0.448979591836734</v>
      </c>
      <c r="E1643">
        <v>-0.1125</v>
      </c>
      <c r="F1643">
        <v>-0.08505154639175201</v>
      </c>
      <c r="G1643">
        <v>-0.150717703349282</v>
      </c>
      <c r="H1643">
        <v>0.570796460176991</v>
      </c>
      <c r="I1643">
        <v>1.005649717514124</v>
      </c>
    </row>
    <row r="1644" spans="1:9">
      <c r="A1644" s="1" t="s">
        <v>1656</v>
      </c>
      <c r="B1644">
        <f>HYPERLINK("https://www.suredividend.com/sure-analysis-research-database/","Universal Electronics Inc.")</f>
        <v>0</v>
      </c>
      <c r="C1644">
        <v>0.072184793070259</v>
      </c>
      <c r="D1644">
        <v>0.07841239109390101</v>
      </c>
      <c r="E1644">
        <v>-0.559509687623566</v>
      </c>
      <c r="F1644">
        <v>-0.464680442095146</v>
      </c>
      <c r="G1644">
        <v>-0.6117113976995461</v>
      </c>
      <c r="H1644">
        <v>-0.7614561027837251</v>
      </c>
      <c r="I1644">
        <v>-0.7521690767519461</v>
      </c>
    </row>
    <row r="1645" spans="1:9">
      <c r="A1645" s="1" t="s">
        <v>1657</v>
      </c>
      <c r="B1645">
        <f>HYPERLINK("https://www.suredividend.com/sure-analysis-research-database/","United Fire Group Inc")</f>
        <v>0</v>
      </c>
      <c r="C1645">
        <v>-0.08890807078118201</v>
      </c>
      <c r="D1645">
        <v>-0.214099304193083</v>
      </c>
      <c r="E1645">
        <v>-0.3193769607005481</v>
      </c>
      <c r="F1645">
        <v>-0.212407473734479</v>
      </c>
      <c r="G1645">
        <v>-0.32526808687453</v>
      </c>
      <c r="H1645">
        <v>-0.084661246612466</v>
      </c>
      <c r="I1645">
        <v>-0.5723768836383011</v>
      </c>
    </row>
    <row r="1646" spans="1:9">
      <c r="A1646" s="1" t="s">
        <v>1658</v>
      </c>
      <c r="B1646">
        <f>HYPERLINK("https://www.suredividend.com/sure-analysis-research-database/","UNIFI, Inc.")</f>
        <v>0</v>
      </c>
      <c r="C1646">
        <v>-0.028535980148883</v>
      </c>
      <c r="D1646">
        <v>-0.124161073825503</v>
      </c>
      <c r="E1646">
        <v>-0.167906482465462</v>
      </c>
      <c r="F1646">
        <v>-0.09059233449477301</v>
      </c>
      <c r="G1646">
        <v>-0.442307692307692</v>
      </c>
      <c r="H1646">
        <v>-0.631529411764705</v>
      </c>
      <c r="I1646">
        <v>-0.7548528490920471</v>
      </c>
    </row>
    <row r="1647" spans="1:9">
      <c r="A1647" s="1" t="s">
        <v>1659</v>
      </c>
      <c r="B1647">
        <f>HYPERLINK("https://www.suredividend.com/sure-analysis-research-database/","UFP Industries Inc")</f>
        <v>0</v>
      </c>
      <c r="C1647">
        <v>0.052538860103626</v>
      </c>
      <c r="D1647">
        <v>0.242387213331718</v>
      </c>
      <c r="E1647">
        <v>0.05318714317414001</v>
      </c>
      <c r="F1647">
        <v>0.29332847767458</v>
      </c>
      <c r="G1647">
        <v>0.149487727065416</v>
      </c>
      <c r="H1647">
        <v>0.4008283326736281</v>
      </c>
      <c r="I1647">
        <v>1.926448385944289</v>
      </c>
    </row>
    <row r="1648" spans="1:9">
      <c r="A1648" s="1" t="s">
        <v>1660</v>
      </c>
      <c r="B1648">
        <f>HYPERLINK("https://www.suredividend.com/sure-analysis-research-database/","UFP Technologies Inc.")</f>
        <v>0</v>
      </c>
      <c r="C1648">
        <v>-0.050257141402311</v>
      </c>
      <c r="D1648">
        <v>0.266775332790002</v>
      </c>
      <c r="E1648">
        <v>0.6328460124310601</v>
      </c>
      <c r="F1648">
        <v>0.582152854355755</v>
      </c>
      <c r="G1648">
        <v>1.088689809630459</v>
      </c>
      <c r="H1648">
        <v>1.866451513754418</v>
      </c>
      <c r="I1648">
        <v>4.54294205052006</v>
      </c>
    </row>
    <row r="1649" spans="1:9">
      <c r="A1649" s="1" t="s">
        <v>1661</v>
      </c>
      <c r="B1649">
        <f>HYPERLINK("https://www.suredividend.com/sure-analysis-UHT/","Universal Health Realty Income Trust")</f>
        <v>0</v>
      </c>
      <c r="C1649">
        <v>-0.00624739691795</v>
      </c>
      <c r="D1649">
        <v>0.137316961561928</v>
      </c>
      <c r="E1649">
        <v>-0.141896387405369</v>
      </c>
      <c r="F1649">
        <v>0.029435557808674</v>
      </c>
      <c r="G1649">
        <v>-0.041430221463365</v>
      </c>
      <c r="H1649">
        <v>-0.108860229993239</v>
      </c>
      <c r="I1649">
        <v>-0.131340197177765</v>
      </c>
    </row>
    <row r="1650" spans="1:9">
      <c r="A1650" s="1" t="s">
        <v>1662</v>
      </c>
      <c r="B1650">
        <f>HYPERLINK("https://www.suredividend.com/sure-analysis-research-database/","Unisys Corp.")</f>
        <v>0</v>
      </c>
      <c r="C1650">
        <v>0.173267326732673</v>
      </c>
      <c r="D1650">
        <v>0.115294117647058</v>
      </c>
      <c r="E1650">
        <v>-0.175652173913043</v>
      </c>
      <c r="F1650">
        <v>-0.07240704500978401</v>
      </c>
      <c r="G1650">
        <v>-0.6594827586206891</v>
      </c>
      <c r="H1650">
        <v>-0.7939130434782601</v>
      </c>
      <c r="I1650">
        <v>-0.6932038834951451</v>
      </c>
    </row>
    <row r="1651" spans="1:9">
      <c r="A1651" s="1" t="s">
        <v>1663</v>
      </c>
      <c r="B1651">
        <f>HYPERLINK("https://www.suredividend.com/sure-analysis-research-database/","Frontier Group Holdings Inc")</f>
        <v>0</v>
      </c>
      <c r="C1651">
        <v>-0.158697863682604</v>
      </c>
      <c r="D1651">
        <v>-0.133123689727463</v>
      </c>
      <c r="E1651">
        <v>-0.398982558139534</v>
      </c>
      <c r="F1651">
        <v>-0.194741966893865</v>
      </c>
      <c r="G1651">
        <v>-0.427285318559556</v>
      </c>
      <c r="H1651">
        <v>-0.457704918032786</v>
      </c>
      <c r="I1651">
        <v>-0.561273209549071</v>
      </c>
    </row>
    <row r="1652" spans="1:9">
      <c r="A1652" s="1" t="s">
        <v>1664</v>
      </c>
      <c r="B1652">
        <f>HYPERLINK("https://www.suredividend.com/sure-analysis-research-database/","Universal Logistics Holdings Inc")</f>
        <v>0</v>
      </c>
      <c r="C1652">
        <v>0.07645875251509</v>
      </c>
      <c r="D1652">
        <v>0.249493974402889</v>
      </c>
      <c r="E1652">
        <v>-0.167656317255184</v>
      </c>
      <c r="F1652">
        <v>-0.02926420646129</v>
      </c>
      <c r="G1652">
        <v>-0.08460946188724401</v>
      </c>
      <c r="H1652">
        <v>0.493356656369794</v>
      </c>
      <c r="I1652">
        <v>0.027262457557419</v>
      </c>
    </row>
    <row r="1653" spans="1:9">
      <c r="A1653" s="1" t="s">
        <v>1665</v>
      </c>
      <c r="B1653">
        <f>HYPERLINK("https://www.suredividend.com/sure-analysis-UMBF/","UMB Financial Corp.")</f>
        <v>0</v>
      </c>
      <c r="C1653">
        <v>0.141450024220894</v>
      </c>
      <c r="D1653">
        <v>0.283240540888883</v>
      </c>
      <c r="E1653">
        <v>-0.212166669824389</v>
      </c>
      <c r="F1653">
        <v>-0.140099650638873</v>
      </c>
      <c r="G1653">
        <v>-0.207901044217027</v>
      </c>
      <c r="H1653">
        <v>-0.208714107253995</v>
      </c>
      <c r="I1653">
        <v>0.050958633649706</v>
      </c>
    </row>
    <row r="1654" spans="1:9">
      <c r="A1654" s="1" t="s">
        <v>1666</v>
      </c>
      <c r="B1654">
        <f>HYPERLINK("https://www.suredividend.com/sure-analysis-UMH/","UMH Properties Inc")</f>
        <v>0</v>
      </c>
      <c r="C1654">
        <v>0.002473716759431</v>
      </c>
      <c r="D1654">
        <v>0.087430484278881</v>
      </c>
      <c r="E1654">
        <v>-0.101386448175886</v>
      </c>
      <c r="F1654">
        <v>0.031452623809311</v>
      </c>
      <c r="G1654">
        <v>-0.185099537502513</v>
      </c>
      <c r="H1654">
        <v>-0.242020406063836</v>
      </c>
      <c r="I1654">
        <v>0.343388720838685</v>
      </c>
    </row>
    <row r="1655" spans="1:9">
      <c r="A1655" s="1" t="s">
        <v>1667</v>
      </c>
      <c r="B1655">
        <f>HYPERLINK("https://www.suredividend.com/sure-analysis-UNF/","Unifirst Corp.")</f>
        <v>0</v>
      </c>
      <c r="C1655">
        <v>0.068452572606091</v>
      </c>
      <c r="D1655">
        <v>0.027008491141804</v>
      </c>
      <c r="E1655">
        <v>-0.187437804123145</v>
      </c>
      <c r="F1655">
        <v>-0.137376171992384</v>
      </c>
      <c r="G1655">
        <v>-0.140257425332145</v>
      </c>
      <c r="H1655">
        <v>-0.222177322193542</v>
      </c>
      <c r="I1655">
        <v>-0.09811333267018101</v>
      </c>
    </row>
    <row r="1656" spans="1:9">
      <c r="A1656" s="1" t="s">
        <v>1668</v>
      </c>
      <c r="B1656">
        <f>HYPERLINK("https://www.suredividend.com/sure-analysis-research-database/","United Natural Foods Inc.")</f>
        <v>0</v>
      </c>
      <c r="C1656">
        <v>0.032016008004001</v>
      </c>
      <c r="D1656">
        <v>-0.229648991784914</v>
      </c>
      <c r="E1656">
        <v>-0.5235565819861431</v>
      </c>
      <c r="F1656">
        <v>-0.4670627744768791</v>
      </c>
      <c r="G1656">
        <v>-0.527485112230874</v>
      </c>
      <c r="H1656">
        <v>-0.376737160120846</v>
      </c>
      <c r="I1656">
        <v>-0.393413701852396</v>
      </c>
    </row>
    <row r="1657" spans="1:9">
      <c r="A1657" s="1" t="s">
        <v>1669</v>
      </c>
      <c r="B1657">
        <f>HYPERLINK("https://www.suredividend.com/sure-analysis-UNIT/","Uniti Group Inc")</f>
        <v>0</v>
      </c>
      <c r="C1657">
        <v>0.037578288100208</v>
      </c>
      <c r="D1657">
        <v>0.6676173539576551</v>
      </c>
      <c r="E1657">
        <v>-0.149715146019743</v>
      </c>
      <c r="F1657">
        <v>0.004040404040403</v>
      </c>
      <c r="G1657">
        <v>-0.4331143352495661</v>
      </c>
      <c r="H1657">
        <v>-0.483099323972958</v>
      </c>
      <c r="I1657">
        <v>-0.583678871493311</v>
      </c>
    </row>
    <row r="1658" spans="1:9">
      <c r="A1658" s="1" t="s">
        <v>1670</v>
      </c>
      <c r="B1658">
        <f>HYPERLINK("https://www.suredividend.com/sure-analysis-research-database/","Unity Bancorp, Inc.")</f>
        <v>0</v>
      </c>
      <c r="C1658">
        <v>0.124579124579124</v>
      </c>
      <c r="D1658">
        <v>0.271037284394592</v>
      </c>
      <c r="E1658">
        <v>-0.012305519925775</v>
      </c>
      <c r="F1658">
        <v>-0.007606370335155</v>
      </c>
      <c r="G1658">
        <v>-0.014287664208534</v>
      </c>
      <c r="H1658">
        <v>0.227456060564299</v>
      </c>
      <c r="I1658">
        <v>0.238826453024739</v>
      </c>
    </row>
    <row r="1659" spans="1:9">
      <c r="A1659" s="1" t="s">
        <v>1671</v>
      </c>
      <c r="B1659">
        <f>HYPERLINK("https://www.suredividend.com/sure-analysis-research-database/","Urban One Inc")</f>
        <v>0</v>
      </c>
      <c r="C1659">
        <v>-0.05629139072847601</v>
      </c>
      <c r="D1659">
        <v>-0.192634560906515</v>
      </c>
      <c r="E1659">
        <v>-0.142857142857142</v>
      </c>
      <c r="F1659">
        <v>0.252747252747252</v>
      </c>
      <c r="G1659">
        <v>0.075471698113207</v>
      </c>
      <c r="H1659">
        <v>-0.162995594713656</v>
      </c>
      <c r="I1659">
        <v>1.533333333333333</v>
      </c>
    </row>
    <row r="1660" spans="1:9">
      <c r="A1660" s="1" t="s">
        <v>1672</v>
      </c>
      <c r="B1660">
        <f>HYPERLINK("https://www.suredividend.com/sure-analysis-research-database/","Urban One Inc")</f>
        <v>0</v>
      </c>
      <c r="C1660">
        <v>-0.042087542087542</v>
      </c>
      <c r="D1660">
        <v>-0.006980802792321001</v>
      </c>
      <c r="E1660">
        <v>0.083809523809523</v>
      </c>
      <c r="F1660">
        <v>0.513297872340425</v>
      </c>
      <c r="G1660">
        <v>0.440506329113924</v>
      </c>
      <c r="H1660">
        <v>0.175619834710743</v>
      </c>
      <c r="I1660">
        <v>1.775609756097561</v>
      </c>
    </row>
    <row r="1661" spans="1:9">
      <c r="A1661" s="1" t="s">
        <v>1673</v>
      </c>
      <c r="B1661">
        <f>HYPERLINK("https://www.suredividend.com/sure-analysis-research-database/","Wheels Up Experience Inc")</f>
        <v>0</v>
      </c>
      <c r="C1661">
        <v>0.91869918699187</v>
      </c>
      <c r="D1661">
        <v>-0.5073068893528181</v>
      </c>
      <c r="E1661">
        <v>-0.8264705882352941</v>
      </c>
      <c r="F1661">
        <v>-0.770873786407767</v>
      </c>
      <c r="G1661">
        <v>-0.9044534412955461</v>
      </c>
      <c r="H1661">
        <v>-0.9697047496790751</v>
      </c>
      <c r="I1661">
        <v>-0.7554404145077721</v>
      </c>
    </row>
    <row r="1662" spans="1:9">
      <c r="A1662" s="1" t="s">
        <v>1674</v>
      </c>
      <c r="B1662">
        <f>HYPERLINK("https://www.suredividend.com/sure-analysis-research-database/","Upbound Group Inc")</f>
        <v>0</v>
      </c>
      <c r="C1662">
        <v>0.023064770932069</v>
      </c>
      <c r="D1662">
        <v>0.230902573187003</v>
      </c>
      <c r="E1662">
        <v>0.08986873106698001</v>
      </c>
      <c r="F1662">
        <v>0.435920177383592</v>
      </c>
      <c r="G1662">
        <v>0.317926321487734</v>
      </c>
      <c r="H1662">
        <v>-0.408394296614071</v>
      </c>
      <c r="I1662">
        <v>1.534618124319966</v>
      </c>
    </row>
    <row r="1663" spans="1:9">
      <c r="A1663" s="1" t="s">
        <v>1675</v>
      </c>
      <c r="B1663">
        <f>HYPERLINK("https://www.suredividend.com/sure-analysis-research-database/","Upland Software Inc")</f>
        <v>0</v>
      </c>
      <c r="C1663">
        <v>-0.07795698924731101</v>
      </c>
      <c r="D1663">
        <v>-0.049861495844875</v>
      </c>
      <c r="E1663">
        <v>-0.618040089086859</v>
      </c>
      <c r="F1663">
        <v>-0.518934081346423</v>
      </c>
      <c r="G1663">
        <v>-0.7122483221476511</v>
      </c>
      <c r="H1663">
        <v>-0.902055968018275</v>
      </c>
      <c r="I1663">
        <v>-0.8931796947991281</v>
      </c>
    </row>
    <row r="1664" spans="1:9">
      <c r="A1664" s="1" t="s">
        <v>1676</v>
      </c>
      <c r="B1664">
        <f>HYPERLINK("https://www.suredividend.com/sure-analysis-research-database/","Upwork Inc")</f>
        <v>0</v>
      </c>
      <c r="C1664">
        <v>0.575027382256297</v>
      </c>
      <c r="D1664">
        <v>0.766584766584766</v>
      </c>
      <c r="E1664">
        <v>0.045058139534883</v>
      </c>
      <c r="F1664">
        <v>0.377394636015325</v>
      </c>
      <c r="G1664">
        <v>-0.273003033367037</v>
      </c>
      <c r="H1664">
        <v>-0.7232486528098531</v>
      </c>
      <c r="I1664">
        <v>-0.321057601510859</v>
      </c>
    </row>
    <row r="1665" spans="1:9">
      <c r="A1665" s="1" t="s">
        <v>1677</v>
      </c>
      <c r="B1665">
        <f>HYPERLINK("https://www.suredividend.com/sure-analysis-research-database/","Urban Outfitters, Inc.")</f>
        <v>0</v>
      </c>
      <c r="C1665">
        <v>0.088967971530249</v>
      </c>
      <c r="D1665">
        <v>0.37631184407796</v>
      </c>
      <c r="E1665">
        <v>0.267080745341614</v>
      </c>
      <c r="F1665">
        <v>0.5396226415094331</v>
      </c>
      <c r="G1665">
        <v>0.7386363636363631</v>
      </c>
      <c r="H1665">
        <v>-0.013963480128893</v>
      </c>
      <c r="I1665">
        <v>-0.1787072243346</v>
      </c>
    </row>
    <row r="1666" spans="1:9">
      <c r="A1666" s="1" t="s">
        <v>1678</v>
      </c>
      <c r="B1666">
        <f>HYPERLINK("https://www.suredividend.com/sure-analysis-research-database/","Ur-Energy Inc.")</f>
        <v>0</v>
      </c>
      <c r="C1666">
        <v>0.009523809523809001</v>
      </c>
      <c r="D1666">
        <v>0.234567901234567</v>
      </c>
      <c r="E1666">
        <v>-0.151999999999999</v>
      </c>
      <c r="F1666">
        <v>-0.07826086956521701</v>
      </c>
      <c r="G1666">
        <v>-0.109243697478991</v>
      </c>
      <c r="H1666">
        <v>-0.06194690265486701</v>
      </c>
      <c r="I1666">
        <v>0.256221853519791</v>
      </c>
    </row>
    <row r="1667" spans="1:9">
      <c r="A1667" s="1" t="s">
        <v>1679</v>
      </c>
      <c r="B1667">
        <f>HYPERLINK("https://www.suredividend.com/sure-analysis-research-database/","USCB Financial Holdings Inc")</f>
        <v>0</v>
      </c>
      <c r="C1667">
        <v>0.08317399617590801</v>
      </c>
      <c r="D1667">
        <v>0.251933701657458</v>
      </c>
      <c r="E1667">
        <v>-0.08849557522123801</v>
      </c>
      <c r="F1667">
        <v>-0.07131147540983501</v>
      </c>
      <c r="G1667">
        <v>-0.03162393162393101</v>
      </c>
      <c r="H1667">
        <v>-0.186063218390804</v>
      </c>
      <c r="I1667">
        <v>-0.186063218390804</v>
      </c>
    </row>
    <row r="1668" spans="1:9">
      <c r="A1668" s="1" t="s">
        <v>1680</v>
      </c>
      <c r="B1668">
        <f>HYPERLINK("https://www.suredividend.com/sure-analysis-research-database/","United States Lime &amp; Minerals Inc.")</f>
        <v>0</v>
      </c>
      <c r="C1668">
        <v>0.012223403227364</v>
      </c>
      <c r="D1668">
        <v>0.324468562599804</v>
      </c>
      <c r="E1668">
        <v>0.376028688336168</v>
      </c>
      <c r="F1668">
        <v>0.493728067486193</v>
      </c>
      <c r="G1668">
        <v>1.034891626553534</v>
      </c>
      <c r="H1668">
        <v>0.46879125301193</v>
      </c>
      <c r="I1668">
        <v>1.912879177592338</v>
      </c>
    </row>
    <row r="1669" spans="1:9">
      <c r="A1669" s="1" t="s">
        <v>1681</v>
      </c>
      <c r="B1669">
        <f>HYPERLINK("https://www.suredividend.com/sure-analysis-research-database/","United States Cellular Corporation")</f>
        <v>0</v>
      </c>
      <c r="C1669">
        <v>-0.022892238972641</v>
      </c>
      <c r="D1669">
        <v>-0.128051818634778</v>
      </c>
      <c r="E1669">
        <v>-0.274160099543757</v>
      </c>
      <c r="F1669">
        <v>-0.160671462829736</v>
      </c>
      <c r="G1669">
        <v>-0.405974202308214</v>
      </c>
      <c r="H1669">
        <v>-0.464176362522963</v>
      </c>
      <c r="I1669">
        <v>-0.531960417223856</v>
      </c>
    </row>
    <row r="1670" spans="1:9">
      <c r="A1670" s="1" t="s">
        <v>1682</v>
      </c>
      <c r="B1670">
        <f>HYPERLINK("https://www.suredividend.com/sure-analysis-research-database/","Usana Health Sciences Inc")</f>
        <v>0</v>
      </c>
      <c r="C1670">
        <v>0.04815106215578201</v>
      </c>
      <c r="D1670">
        <v>-0.012307236061684</v>
      </c>
      <c r="E1670">
        <v>0.109427048634243</v>
      </c>
      <c r="F1670">
        <v>0.252067669172932</v>
      </c>
      <c r="G1670">
        <v>-0.059579274318791</v>
      </c>
      <c r="H1670">
        <v>-0.314288655548692</v>
      </c>
      <c r="I1670">
        <v>-0.4907492354740061</v>
      </c>
    </row>
    <row r="1671" spans="1:9">
      <c r="A1671" s="1" t="s">
        <v>1683</v>
      </c>
      <c r="B1671">
        <f>HYPERLINK("https://www.suredividend.com/sure-analysis-research-database/","U.S. Physical Therapy, Inc.")</f>
        <v>0</v>
      </c>
      <c r="C1671">
        <v>-0.008053015686603</v>
      </c>
      <c r="D1671">
        <v>0.115899754926709</v>
      </c>
      <c r="E1671">
        <v>0.155572841644011</v>
      </c>
      <c r="F1671">
        <v>0.471598460826235</v>
      </c>
      <c r="G1671">
        <v>-0.051106253631073</v>
      </c>
      <c r="H1671">
        <v>0.026290392012553</v>
      </c>
      <c r="I1671">
        <v>0.090527123461503</v>
      </c>
    </row>
    <row r="1672" spans="1:9">
      <c r="A1672" s="1" t="s">
        <v>1684</v>
      </c>
      <c r="B1672">
        <f>HYPERLINK("https://www.suredividend.com/sure-analysis-research-database/","Universal Technical Institute Inc")</f>
        <v>0</v>
      </c>
      <c r="C1672">
        <v>0.045649072753209</v>
      </c>
      <c r="D1672">
        <v>0.138198757763975</v>
      </c>
      <c r="E1672">
        <v>-0.04557291666666601</v>
      </c>
      <c r="F1672">
        <v>0.09077380952380901</v>
      </c>
      <c r="G1672">
        <v>-0.116867469879518</v>
      </c>
      <c r="H1672">
        <v>0.030942334739803</v>
      </c>
      <c r="I1672">
        <v>1.283489096573208</v>
      </c>
    </row>
    <row r="1673" spans="1:9">
      <c r="A1673" s="1" t="s">
        <v>1685</v>
      </c>
      <c r="B1673">
        <f>HYPERLINK("https://www.suredividend.com/sure-analysis-research-database/","Unitil Corp.")</f>
        <v>0</v>
      </c>
      <c r="C1673">
        <v>-0.025550314465408</v>
      </c>
      <c r="D1673">
        <v>-0.098068250656256</v>
      </c>
      <c r="E1673">
        <v>-0.05082980601166601</v>
      </c>
      <c r="F1673">
        <v>-0.020150356919817</v>
      </c>
      <c r="G1673">
        <v>-0.066880467350226</v>
      </c>
      <c r="H1673">
        <v>-0.017768523819806</v>
      </c>
      <c r="I1673">
        <v>0.157491712191249</v>
      </c>
    </row>
    <row r="1674" spans="1:9">
      <c r="A1674" s="1" t="s">
        <v>1686</v>
      </c>
      <c r="B1674">
        <f>HYPERLINK("https://www.suredividend.com/sure-analysis-research-database/","Utah Medical Products, Inc.")</f>
        <v>0</v>
      </c>
      <c r="C1674">
        <v>0.04841312533620201</v>
      </c>
      <c r="D1674">
        <v>0.051956617719288</v>
      </c>
      <c r="E1674">
        <v>0.04536419329958501</v>
      </c>
      <c r="F1674">
        <v>-0.021289587806744</v>
      </c>
      <c r="G1674">
        <v>0.09369896959977</v>
      </c>
      <c r="H1674">
        <v>0.163825276923536</v>
      </c>
      <c r="I1674">
        <v>0.09616807985547901</v>
      </c>
    </row>
    <row r="1675" spans="1:9">
      <c r="A1675" s="1" t="s">
        <v>1687</v>
      </c>
      <c r="B1675">
        <f>HYPERLINK("https://www.suredividend.com/sure-analysis-research-database/","Utz Brands Inc")</f>
        <v>0</v>
      </c>
      <c r="C1675">
        <v>-0.015902140672782</v>
      </c>
      <c r="D1675">
        <v>-0.132857635595412</v>
      </c>
      <c r="E1675">
        <v>-0.03464826758662001</v>
      </c>
      <c r="F1675">
        <v>0.021347366015602</v>
      </c>
      <c r="G1675">
        <v>-0.07231770668173401</v>
      </c>
      <c r="H1675">
        <v>-0.259109181244272</v>
      </c>
      <c r="I1675">
        <v>0.6708203530633431</v>
      </c>
    </row>
    <row r="1676" spans="1:9">
      <c r="A1676" s="1" t="s">
        <v>1688</v>
      </c>
      <c r="B1676">
        <f>HYPERLINK("https://www.suredividend.com/sure-analysis-research-database/","Energy Fuels Inc")</f>
        <v>0</v>
      </c>
      <c r="C1676">
        <v>-0.009787928221859001</v>
      </c>
      <c r="D1676">
        <v>0.093693693693693</v>
      </c>
      <c r="E1676">
        <v>-0.179729729729729</v>
      </c>
      <c r="F1676">
        <v>-0.022544283413848</v>
      </c>
      <c r="G1676">
        <v>-0.09672619047619001</v>
      </c>
      <c r="H1676">
        <v>0.153992395437262</v>
      </c>
      <c r="I1676">
        <v>0.729344729344729</v>
      </c>
    </row>
    <row r="1677" spans="1:9">
      <c r="A1677" s="1" t="s">
        <v>1689</v>
      </c>
      <c r="B1677">
        <f>HYPERLINK("https://www.suredividend.com/sure-analysis-research-database/","Universal Insurance Holdings Inc")</f>
        <v>0</v>
      </c>
      <c r="C1677">
        <v>-0.04841617306206501</v>
      </c>
      <c r="D1677">
        <v>-0.061521757075097</v>
      </c>
      <c r="E1677">
        <v>0.193581471222411</v>
      </c>
      <c r="F1677">
        <v>0.4370302670853951</v>
      </c>
      <c r="G1677">
        <v>0.242037681305568</v>
      </c>
      <c r="H1677">
        <v>0.162059313771739</v>
      </c>
      <c r="I1677">
        <v>-0.6019927292311831</v>
      </c>
    </row>
    <row r="1678" spans="1:9">
      <c r="A1678" s="1" t="s">
        <v>1690</v>
      </c>
      <c r="B1678">
        <f>HYPERLINK("https://www.suredividend.com/sure-analysis-research-database/","Univest Financial Corp")</f>
        <v>0</v>
      </c>
      <c r="C1678">
        <v>0.087292817679557</v>
      </c>
      <c r="D1678">
        <v>0.108957309651534</v>
      </c>
      <c r="E1678">
        <v>-0.290332584480352</v>
      </c>
      <c r="F1678">
        <v>-0.222705836815621</v>
      </c>
      <c r="G1678">
        <v>-0.179227105524368</v>
      </c>
      <c r="H1678">
        <v>-0.21324687577456</v>
      </c>
      <c r="I1678">
        <v>-0.151640033279161</v>
      </c>
    </row>
    <row r="1679" spans="1:9">
      <c r="A1679" s="1" t="s">
        <v>1691</v>
      </c>
      <c r="B1679">
        <f>HYPERLINK("https://www.suredividend.com/sure-analysis-UVV/","Universal Corp.")</f>
        <v>0</v>
      </c>
      <c r="C1679">
        <v>-0.002997235793263</v>
      </c>
      <c r="D1679">
        <v>-0.056707771374701</v>
      </c>
      <c r="E1679">
        <v>-0.07193052662285901</v>
      </c>
      <c r="F1679">
        <v>-0.01598650178542</v>
      </c>
      <c r="G1679">
        <v>-0.024661540063948</v>
      </c>
      <c r="H1679">
        <v>0.07555777086696901</v>
      </c>
      <c r="I1679">
        <v>-0.034277975388973</v>
      </c>
    </row>
    <row r="1680" spans="1:9">
      <c r="A1680" s="1" t="s">
        <v>1692</v>
      </c>
      <c r="B1680">
        <f>HYPERLINK("https://www.suredividend.com/sure-analysis-research-database/","Valaris Ltd")</f>
        <v>0</v>
      </c>
      <c r="C1680">
        <v>0.213912216764379</v>
      </c>
      <c r="D1680">
        <v>0.382851985559566</v>
      </c>
      <c r="E1680">
        <v>0.049308313929598</v>
      </c>
      <c r="F1680">
        <v>0.132948831706595</v>
      </c>
      <c r="G1680">
        <v>0.5420692431561991</v>
      </c>
      <c r="H1680">
        <v>1.79496534111638</v>
      </c>
      <c r="I1680">
        <v>2.232489451476793</v>
      </c>
    </row>
    <row r="1681" spans="1:9">
      <c r="A1681" s="1" t="s">
        <v>1693</v>
      </c>
      <c r="B1681">
        <f>HYPERLINK("https://www.suredividend.com/sure-analysis-research-database/","Value Line, Inc.")</f>
        <v>0</v>
      </c>
      <c r="C1681">
        <v>0.145165980771433</v>
      </c>
      <c r="D1681">
        <v>0.153967401197923</v>
      </c>
      <c r="E1681">
        <v>0.031869235686238</v>
      </c>
      <c r="F1681">
        <v>0.04940564635958301</v>
      </c>
      <c r="G1681">
        <v>-0.405347525065093</v>
      </c>
      <c r="H1681">
        <v>0.721648118706942</v>
      </c>
      <c r="I1681">
        <v>1.54681574537722</v>
      </c>
    </row>
    <row r="1682" spans="1:9">
      <c r="A1682" s="1" t="s">
        <v>1694</v>
      </c>
      <c r="B1682">
        <f>HYPERLINK("https://www.suredividend.com/sure-analysis-research-database/","VBI Vaccines Inc.")</f>
        <v>0</v>
      </c>
      <c r="C1682">
        <v>-0.518939393939394</v>
      </c>
      <c r="D1682">
        <v>-0.568027210884353</v>
      </c>
      <c r="E1682">
        <v>-0.9311653116531161</v>
      </c>
      <c r="F1682">
        <v>-0.8917582885877441</v>
      </c>
      <c r="G1682">
        <v>-0.9524344569288391</v>
      </c>
      <c r="H1682">
        <v>-0.986344086021505</v>
      </c>
      <c r="I1682">
        <v>-0.9795491143317231</v>
      </c>
    </row>
    <row r="1683" spans="1:9">
      <c r="A1683" s="1" t="s">
        <v>1695</v>
      </c>
      <c r="B1683">
        <f>HYPERLINK("https://www.suredividend.com/sure-analysis-research-database/","Veritex Holdings Inc")</f>
        <v>0</v>
      </c>
      <c r="C1683">
        <v>0.17436175991309</v>
      </c>
      <c r="D1683">
        <v>0.377245508982035</v>
      </c>
      <c r="E1683">
        <v>-0.236474078259641</v>
      </c>
      <c r="F1683">
        <v>-0.204933677053032</v>
      </c>
      <c r="G1683">
        <v>-0.28716971427441</v>
      </c>
      <c r="H1683">
        <v>-0.30535251271539</v>
      </c>
      <c r="I1683">
        <v>-0.195813169768229</v>
      </c>
    </row>
    <row r="1684" spans="1:9">
      <c r="A1684" s="1" t="s">
        <v>1696</v>
      </c>
      <c r="B1684">
        <f>HYPERLINK("https://www.suredividend.com/sure-analysis-research-database/","Visteon Corp.")</f>
        <v>0</v>
      </c>
      <c r="C1684">
        <v>0.068278903128014</v>
      </c>
      <c r="D1684">
        <v>0.168248945147679</v>
      </c>
      <c r="E1684">
        <v>-0.022321710069991</v>
      </c>
      <c r="F1684">
        <v>0.185125735687533</v>
      </c>
      <c r="G1684">
        <v>0.205207928488146</v>
      </c>
      <c r="H1684">
        <v>0.3604457313328061</v>
      </c>
      <c r="I1684">
        <v>0.320473513881792</v>
      </c>
    </row>
    <row r="1685" spans="1:9">
      <c r="A1685" s="1" t="s">
        <v>1697</v>
      </c>
      <c r="B1685">
        <f>HYPERLINK("https://www.suredividend.com/sure-analysis-research-database/","Vericel Corp")</f>
        <v>0</v>
      </c>
      <c r="C1685">
        <v>-0.14514835605453</v>
      </c>
      <c r="D1685">
        <v>-0.004358655043586001</v>
      </c>
      <c r="E1685">
        <v>0.0296200901481</v>
      </c>
      <c r="F1685">
        <v>0.214123006833713</v>
      </c>
      <c r="G1685">
        <v>0.007878978884336</v>
      </c>
      <c r="H1685">
        <v>-0.381670533642691</v>
      </c>
      <c r="I1685">
        <v>2.150738916256157</v>
      </c>
    </row>
    <row r="1686" spans="1:9">
      <c r="A1686" s="1" t="s">
        <v>1698</v>
      </c>
      <c r="B1686">
        <f>HYPERLINK("https://www.suredividend.com/sure-analysis-research-database/","Vacasa Inc")</f>
        <v>0</v>
      </c>
      <c r="C1686">
        <v>-0.002836879432624</v>
      </c>
      <c r="D1686">
        <v>-0.044836956521739</v>
      </c>
      <c r="E1686">
        <v>-0.6240641711229941</v>
      </c>
      <c r="F1686">
        <v>-0.442063492063492</v>
      </c>
      <c r="G1686">
        <v>-0.755902777777777</v>
      </c>
      <c r="H1686">
        <v>-0.9297000000000001</v>
      </c>
      <c r="I1686">
        <v>-0.930464886251236</v>
      </c>
    </row>
    <row r="1687" spans="1:9">
      <c r="A1687" s="1" t="s">
        <v>1699</v>
      </c>
      <c r="B1687">
        <f>HYPERLINK("https://www.suredividend.com/sure-analysis-research-database/","Victory Capital Holdings Inc")</f>
        <v>0</v>
      </c>
      <c r="C1687">
        <v>0.007425742574257</v>
      </c>
      <c r="D1687">
        <v>0.117237924325659</v>
      </c>
      <c r="E1687">
        <v>0.06487704529325</v>
      </c>
      <c r="F1687">
        <v>0.249433994121213</v>
      </c>
      <c r="G1687">
        <v>0.224419190589721</v>
      </c>
      <c r="H1687">
        <v>0.097149634901219</v>
      </c>
      <c r="I1687">
        <v>2.682591386174448</v>
      </c>
    </row>
    <row r="1688" spans="1:9">
      <c r="A1688" s="1" t="s">
        <v>1700</v>
      </c>
      <c r="B1688">
        <f>HYPERLINK("https://www.suredividend.com/sure-analysis-research-database/","Veracyte Inc")</f>
        <v>0</v>
      </c>
      <c r="C1688">
        <v>0.022471910112359</v>
      </c>
      <c r="D1688">
        <v>0.184014869888475</v>
      </c>
      <c r="E1688">
        <v>-0.04461942257217801</v>
      </c>
      <c r="F1688">
        <v>0.073746312684365</v>
      </c>
      <c r="G1688">
        <v>0.017165668662674</v>
      </c>
      <c r="H1688">
        <v>-0.428699551569506</v>
      </c>
      <c r="I1688">
        <v>1.283154121863799</v>
      </c>
    </row>
    <row r="1689" spans="1:9">
      <c r="A1689" s="1" t="s">
        <v>1701</v>
      </c>
      <c r="B1689">
        <f>HYPERLINK("https://www.suredividend.com/sure-analysis-research-database/","Veeco Instruments Inc")</f>
        <v>0</v>
      </c>
      <c r="C1689">
        <v>0.118217054263565</v>
      </c>
      <c r="D1689">
        <v>0.5895316804407711</v>
      </c>
      <c r="E1689">
        <v>0.358286252354049</v>
      </c>
      <c r="F1689">
        <v>0.552744886975242</v>
      </c>
      <c r="G1689">
        <v>0.304839439167797</v>
      </c>
      <c r="H1689">
        <v>0.242998707453683</v>
      </c>
      <c r="I1689">
        <v>1.487068965517241</v>
      </c>
    </row>
    <row r="1690" spans="1:9">
      <c r="A1690" s="1" t="s">
        <v>1702</v>
      </c>
      <c r="B1690">
        <f>HYPERLINK("https://www.suredividend.com/sure-analysis-research-database/","Velocity Financial Inc")</f>
        <v>0</v>
      </c>
      <c r="C1690">
        <v>0.023769100169779</v>
      </c>
      <c r="D1690">
        <v>0.3942196531791901</v>
      </c>
      <c r="E1690">
        <v>0.167473378509196</v>
      </c>
      <c r="F1690">
        <v>0.249740932642487</v>
      </c>
      <c r="G1690">
        <v>0.044155844155844</v>
      </c>
      <c r="H1690">
        <v>0.044155844155844</v>
      </c>
      <c r="I1690">
        <v>-0.107327905255366</v>
      </c>
    </row>
    <row r="1691" spans="1:9">
      <c r="A1691" s="1" t="s">
        <v>1703</v>
      </c>
      <c r="B1691">
        <f>HYPERLINK("https://www.suredividend.com/sure-analysis-research-database/","Vera Therapeutics Inc")</f>
        <v>0</v>
      </c>
      <c r="C1691">
        <v>0.145374449339207</v>
      </c>
      <c r="D1691">
        <v>1.574257425742574</v>
      </c>
      <c r="E1691">
        <v>1.51728907330567</v>
      </c>
      <c r="F1691">
        <v>-0.059431524547803</v>
      </c>
      <c r="G1691">
        <v>0.037628278221208</v>
      </c>
      <c r="H1691">
        <v>0.055072463768115</v>
      </c>
      <c r="I1691">
        <v>0.582608695652173</v>
      </c>
    </row>
    <row r="1692" spans="1:9">
      <c r="A1692" s="1" t="s">
        <v>1704</v>
      </c>
      <c r="B1692">
        <f>HYPERLINK("https://www.suredividend.com/sure-analysis-research-database/","Veritone Inc")</f>
        <v>0</v>
      </c>
      <c r="C1692">
        <v>0.036159600997506</v>
      </c>
      <c r="D1692">
        <v>0.062659846547314</v>
      </c>
      <c r="E1692">
        <v>-0.5398671096345511</v>
      </c>
      <c r="F1692">
        <v>-0.216037735849056</v>
      </c>
      <c r="G1692">
        <v>-0.490184049079754</v>
      </c>
      <c r="H1692">
        <v>-0.79612365063788</v>
      </c>
      <c r="I1692">
        <v>-0.7019368723098991</v>
      </c>
    </row>
    <row r="1693" spans="1:9">
      <c r="A1693" s="1" t="s">
        <v>1705</v>
      </c>
      <c r="B1693">
        <f>HYPERLINK("https://www.suredividend.com/sure-analysis-research-database/","Veru Inc")</f>
        <v>0</v>
      </c>
      <c r="C1693">
        <v>-0.025</v>
      </c>
      <c r="D1693">
        <v>-0.078740157480315</v>
      </c>
      <c r="E1693">
        <v>-0.796875</v>
      </c>
      <c r="F1693">
        <v>-0.7784090909090901</v>
      </c>
      <c r="G1693">
        <v>-0.9049553208773351</v>
      </c>
      <c r="H1693">
        <v>-0.837047353760445</v>
      </c>
      <c r="I1693">
        <v>-0.396907216494845</v>
      </c>
    </row>
    <row r="1694" spans="1:9">
      <c r="A1694" s="1" t="s">
        <v>1706</v>
      </c>
      <c r="B1694">
        <f>HYPERLINK("https://www.suredividend.com/sure-analysis-research-database/","Verve Therapeutics Inc")</f>
        <v>0</v>
      </c>
      <c r="C1694">
        <v>-0.022727272727272</v>
      </c>
      <c r="D1694">
        <v>0.171517027863777</v>
      </c>
      <c r="E1694">
        <v>-0.187634177758694</v>
      </c>
      <c r="F1694">
        <v>-0.022222222222222</v>
      </c>
      <c r="G1694">
        <v>-0.28522856063468</v>
      </c>
      <c r="H1694">
        <v>-0.6935536119209581</v>
      </c>
      <c r="I1694">
        <v>-0.4072681704260651</v>
      </c>
    </row>
    <row r="1695" spans="1:9">
      <c r="A1695" s="1" t="s">
        <v>1707</v>
      </c>
      <c r="B1695">
        <f>HYPERLINK("https://www.suredividend.com/sure-analysis-VGR/","Vector Group Ltd")</f>
        <v>0</v>
      </c>
      <c r="C1695">
        <v>0.011591962905718</v>
      </c>
      <c r="D1695">
        <v>0.06367418578950701</v>
      </c>
      <c r="E1695">
        <v>0.03375294173392501</v>
      </c>
      <c r="F1695">
        <v>0.140094935330749</v>
      </c>
      <c r="G1695">
        <v>0.239559856820893</v>
      </c>
      <c r="H1695">
        <v>0.117437661661388</v>
      </c>
      <c r="I1695">
        <v>0.119262603461249</v>
      </c>
    </row>
    <row r="1696" spans="1:9">
      <c r="A1696" s="1" t="s">
        <v>1708</v>
      </c>
      <c r="B1696">
        <f>HYPERLINK("https://www.suredividend.com/sure-analysis-research-database/","Valhi, Inc.")</f>
        <v>0</v>
      </c>
      <c r="C1696">
        <v>0.133076923076923</v>
      </c>
      <c r="D1696">
        <v>-0.022872608591822</v>
      </c>
      <c r="E1696">
        <v>-0.4142652070351791</v>
      </c>
      <c r="F1696">
        <v>-0.323744244021357</v>
      </c>
      <c r="G1696">
        <v>-0.7122698451765641</v>
      </c>
      <c r="H1696">
        <v>-0.338868940754039</v>
      </c>
      <c r="I1696">
        <v>-0.730345224016666</v>
      </c>
    </row>
    <row r="1697" spans="1:9">
      <c r="A1697" s="1" t="s">
        <v>1709</v>
      </c>
      <c r="B1697">
        <f>HYPERLINK("https://www.suredividend.com/sure-analysis-research-database/","Via Renewables Inc")</f>
        <v>0</v>
      </c>
      <c r="C1697">
        <v>0.344307270233196</v>
      </c>
      <c r="D1697">
        <v>-0.054054054054053</v>
      </c>
      <c r="E1697">
        <v>-0.692984379797119</v>
      </c>
      <c r="F1697">
        <v>-0.5956528555985571</v>
      </c>
      <c r="G1697">
        <v>-0.7382932984391061</v>
      </c>
      <c r="H1697">
        <v>-0.128888888888888</v>
      </c>
      <c r="I1697">
        <v>0.273521156045327</v>
      </c>
    </row>
    <row r="1698" spans="1:9">
      <c r="A1698" s="1" t="s">
        <v>1710</v>
      </c>
      <c r="B1698">
        <f>HYPERLINK("https://www.suredividend.com/sure-analysis-research-database/","Viavi Solutions Inc")</f>
        <v>0</v>
      </c>
      <c r="C1698">
        <v>-0.045774647887323</v>
      </c>
      <c r="D1698">
        <v>0.203107658157602</v>
      </c>
      <c r="E1698">
        <v>-0.070325900514579</v>
      </c>
      <c r="F1698">
        <v>0.031398667935299</v>
      </c>
      <c r="G1698">
        <v>-0.282119205298013</v>
      </c>
      <c r="H1698">
        <v>-0.349339735894357</v>
      </c>
      <c r="I1698">
        <v>0.079681274900398</v>
      </c>
    </row>
    <row r="1699" spans="1:9">
      <c r="A1699" s="1" t="s">
        <v>1711</v>
      </c>
      <c r="B1699">
        <f>HYPERLINK("https://www.suredividend.com/sure-analysis-research-database/","Vicor Corp.")</f>
        <v>0</v>
      </c>
      <c r="C1699">
        <v>0.3726423731917231</v>
      </c>
      <c r="D1699">
        <v>0.7963096093937211</v>
      </c>
      <c r="E1699">
        <v>0.062508858965272</v>
      </c>
      <c r="F1699">
        <v>0.39460465116279</v>
      </c>
      <c r="G1699">
        <v>0.004556419190565</v>
      </c>
      <c r="H1699">
        <v>-0.364691923044325</v>
      </c>
      <c r="I1699">
        <v>0.277001703577512</v>
      </c>
    </row>
    <row r="1700" spans="1:9">
      <c r="A1700" s="1" t="s">
        <v>1712</v>
      </c>
      <c r="B1700">
        <f>HYPERLINK("https://www.suredividend.com/sure-analysis-research-database/","View Inc.")</f>
        <v>0</v>
      </c>
      <c r="C1700">
        <v>0.484375</v>
      </c>
      <c r="D1700">
        <v>-0.318507890961262</v>
      </c>
      <c r="E1700">
        <v>-0.792463134898962</v>
      </c>
      <c r="F1700">
        <v>-0.8030884029433101</v>
      </c>
      <c r="G1700">
        <v>-0.908653846153846</v>
      </c>
      <c r="H1700">
        <v>-0.9687500000000001</v>
      </c>
      <c r="I1700">
        <v>0.175257731958762</v>
      </c>
    </row>
    <row r="1701" spans="1:9">
      <c r="A1701" s="1" t="s">
        <v>1713</v>
      </c>
      <c r="B1701">
        <f>HYPERLINK("https://www.suredividend.com/sure-analysis-research-database/","Vir Biotechnology Inc")</f>
        <v>0</v>
      </c>
      <c r="C1701">
        <v>-0.432575142160844</v>
      </c>
      <c r="D1701">
        <v>-0.449783379283182</v>
      </c>
      <c r="E1701">
        <v>-0.536496350364963</v>
      </c>
      <c r="F1701">
        <v>-0.448044251284077</v>
      </c>
      <c r="G1701">
        <v>-0.518441916580489</v>
      </c>
      <c r="H1701">
        <v>-0.5997134670487101</v>
      </c>
      <c r="I1701">
        <v>-0.003566333808844</v>
      </c>
    </row>
    <row r="1702" spans="1:9">
      <c r="A1702" s="1" t="s">
        <v>1714</v>
      </c>
      <c r="B1702">
        <f>HYPERLINK("https://www.suredividend.com/sure-analysis-research-database/","Vital Farms Inc")</f>
        <v>0</v>
      </c>
      <c r="C1702">
        <v>0.101244813278008</v>
      </c>
      <c r="D1702">
        <v>0.02076923076923</v>
      </c>
      <c r="E1702">
        <v>-0.217109144542772</v>
      </c>
      <c r="F1702">
        <v>-0.110589812332439</v>
      </c>
      <c r="G1702">
        <v>0.10033167495854</v>
      </c>
      <c r="H1702">
        <v>-0.21849234393404</v>
      </c>
      <c r="I1702">
        <v>-0.6236528644356211</v>
      </c>
    </row>
    <row r="1703" spans="1:9">
      <c r="A1703" s="1" t="s">
        <v>1715</v>
      </c>
      <c r="B1703">
        <f>HYPERLINK("https://www.suredividend.com/sure-analysis-research-database/","Velo3D Inc")</f>
        <v>0</v>
      </c>
      <c r="C1703">
        <v>-0.04716981132075401</v>
      </c>
      <c r="D1703">
        <v>-0.009803921568627002</v>
      </c>
      <c r="E1703">
        <v>-0.315254237288135</v>
      </c>
      <c r="F1703">
        <v>0.128491620111731</v>
      </c>
      <c r="G1703">
        <v>-0.4712041884816751</v>
      </c>
      <c r="H1703">
        <v>-0.7443037974683541</v>
      </c>
      <c r="I1703">
        <v>-0.7443037974683541</v>
      </c>
    </row>
    <row r="1704" spans="1:9">
      <c r="A1704" s="1" t="s">
        <v>1716</v>
      </c>
      <c r="B1704">
        <f>HYPERLINK("https://www.suredividend.com/sure-analysis-research-database/","Village Super Market, Inc.")</f>
        <v>0</v>
      </c>
      <c r="C1704">
        <v>0.05704256252742401</v>
      </c>
      <c r="D1704">
        <v>0.114761684405367</v>
      </c>
      <c r="E1704">
        <v>0.049933970528628</v>
      </c>
      <c r="F1704">
        <v>0.05711677871197601</v>
      </c>
      <c r="G1704">
        <v>0.101131299280082</v>
      </c>
      <c r="H1704">
        <v>0.156000019194687</v>
      </c>
      <c r="I1704">
        <v>0.083543984959024</v>
      </c>
    </row>
    <row r="1705" spans="1:9">
      <c r="A1705" s="1" t="s">
        <v>1717</v>
      </c>
      <c r="B1705">
        <f>HYPERLINK("https://www.suredividend.com/sure-analysis-research-database/","Valley National Bancorp")</f>
        <v>0</v>
      </c>
      <c r="C1705">
        <v>0.25438596491228</v>
      </c>
      <c r="D1705">
        <v>0.4032579134774441</v>
      </c>
      <c r="E1705">
        <v>-0.170547389005816</v>
      </c>
      <c r="F1705">
        <v>-0.08181142736587101</v>
      </c>
      <c r="G1705">
        <v>-0.103094815690912</v>
      </c>
      <c r="H1705">
        <v>-0.157683925310714</v>
      </c>
      <c r="I1705">
        <v>0.07388454400137301</v>
      </c>
    </row>
    <row r="1706" spans="1:9">
      <c r="A1706" s="1" t="s">
        <v>1718</v>
      </c>
      <c r="B1706">
        <f>HYPERLINK("https://www.suredividend.com/sure-analysis-research-database/","Vimeo Inc")</f>
        <v>0</v>
      </c>
      <c r="C1706">
        <v>0.06971153846153801</v>
      </c>
      <c r="D1706">
        <v>0.373456790123456</v>
      </c>
      <c r="E1706">
        <v>-0.07676348547717801</v>
      </c>
      <c r="F1706">
        <v>0.29737609329446</v>
      </c>
      <c r="G1706">
        <v>-0.34654919236417</v>
      </c>
      <c r="H1706">
        <v>-0.8990242795552531</v>
      </c>
      <c r="I1706">
        <v>-0.9019607843137251</v>
      </c>
    </row>
    <row r="1707" spans="1:9">
      <c r="A1707" s="1" t="s">
        <v>1719</v>
      </c>
      <c r="B1707">
        <f>HYPERLINK("https://www.suredividend.com/sure-analysis-research-database/","Vanda Pharmaceuticals Inc")</f>
        <v>0</v>
      </c>
      <c r="C1707">
        <v>-0.122861586314152</v>
      </c>
      <c r="D1707">
        <v>-0.117370892018779</v>
      </c>
      <c r="E1707">
        <v>-0.262745098039215</v>
      </c>
      <c r="F1707">
        <v>-0.23680649526387</v>
      </c>
      <c r="G1707">
        <v>-0.477777777777777</v>
      </c>
      <c r="H1707">
        <v>-0.6666666666666661</v>
      </c>
      <c r="I1707">
        <v>-0.7301435406698561</v>
      </c>
    </row>
    <row r="1708" spans="1:9">
      <c r="A1708" s="1" t="s">
        <v>1720</v>
      </c>
      <c r="B1708">
        <f>HYPERLINK("https://www.suredividend.com/sure-analysis-research-database/","Vishay Precision Group Inc")</f>
        <v>0</v>
      </c>
      <c r="C1708">
        <v>0.003182179793158</v>
      </c>
      <c r="D1708">
        <v>-0.018677042801556</v>
      </c>
      <c r="E1708">
        <v>-0.138661202185792</v>
      </c>
      <c r="F1708">
        <v>-0.021216041397153</v>
      </c>
      <c r="G1708">
        <v>0.235870630512904</v>
      </c>
      <c r="H1708">
        <v>0.058181818181818</v>
      </c>
      <c r="I1708">
        <v>-0.07279411764705801</v>
      </c>
    </row>
    <row r="1709" spans="1:9">
      <c r="A1709" s="1" t="s">
        <v>1721</v>
      </c>
      <c r="B1709">
        <f>HYPERLINK("https://www.suredividend.com/sure-analysis-research-database/","ViewRay Inc.")</f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>
      <c r="A1710" s="1" t="s">
        <v>1722</v>
      </c>
      <c r="B1710">
        <f>HYPERLINK("https://www.suredividend.com/sure-analysis-research-database/","Viridian Therapeutics Inc")</f>
        <v>0</v>
      </c>
      <c r="C1710">
        <v>-0.267206477732793</v>
      </c>
      <c r="D1710">
        <v>-0.3486865779057211</v>
      </c>
      <c r="E1710">
        <v>-0.517075773745997</v>
      </c>
      <c r="F1710">
        <v>-0.380349195480999</v>
      </c>
      <c r="G1710">
        <v>0.354790419161676</v>
      </c>
      <c r="H1710">
        <v>0.252595155709342</v>
      </c>
      <c r="I1710">
        <v>-0.810867293625914</v>
      </c>
    </row>
    <row r="1711" spans="1:9">
      <c r="A1711" s="1" t="s">
        <v>1723</v>
      </c>
      <c r="B1711">
        <f>HYPERLINK("https://www.suredividend.com/sure-analysis-research-database/","Veris Residential Inc")</f>
        <v>0</v>
      </c>
      <c r="C1711">
        <v>0.136</v>
      </c>
      <c r="D1711">
        <v>0.16540404040404</v>
      </c>
      <c r="E1711">
        <v>0.065204847085978</v>
      </c>
      <c r="F1711">
        <v>0.158819836785938</v>
      </c>
      <c r="G1711">
        <v>0.378640776699029</v>
      </c>
      <c r="H1711">
        <v>0.06336405529953901</v>
      </c>
      <c r="I1711">
        <v>0.045566537339639</v>
      </c>
    </row>
    <row r="1712" spans="1:9">
      <c r="A1712" s="1" t="s">
        <v>1724</v>
      </c>
      <c r="B1712">
        <f>HYPERLINK("https://www.suredividend.com/sure-analysis-research-database/","Varex Imaging Corp")</f>
        <v>0</v>
      </c>
      <c r="C1712">
        <v>-0.04991610738255001</v>
      </c>
      <c r="D1712">
        <v>0.09791565681047001</v>
      </c>
      <c r="E1712">
        <v>0.167525773195876</v>
      </c>
      <c r="F1712">
        <v>0.115763546798029</v>
      </c>
      <c r="G1712">
        <v>0.035191956124314</v>
      </c>
      <c r="H1712">
        <v>-0.161111111111111</v>
      </c>
      <c r="I1712">
        <v>-0.201339915373765</v>
      </c>
    </row>
    <row r="1713" spans="1:9">
      <c r="A1713" s="1" t="s">
        <v>1725</v>
      </c>
      <c r="B1713">
        <f>HYPERLINK("https://www.suredividend.com/sure-analysis-research-database/","Varonis Systems Inc")</f>
        <v>0</v>
      </c>
      <c r="C1713">
        <v>0.143613000755857</v>
      </c>
      <c r="D1713">
        <v>0.317370483239007</v>
      </c>
      <c r="E1713">
        <v>0.145344436033308</v>
      </c>
      <c r="F1713">
        <v>0.263993316624895</v>
      </c>
      <c r="G1713">
        <v>0.006988352745424001</v>
      </c>
      <c r="H1713">
        <v>-0.487118644067796</v>
      </c>
      <c r="I1713">
        <v>0.453640586644376</v>
      </c>
    </row>
    <row r="1714" spans="1:9">
      <c r="A1714" s="1" t="s">
        <v>1726</v>
      </c>
      <c r="B1714">
        <f>HYPERLINK("https://www.suredividend.com/sure-analysis-research-database/","Verint Systems, Inc.")</f>
        <v>0</v>
      </c>
      <c r="C1714">
        <v>0.04856321839080401</v>
      </c>
      <c r="D1714">
        <v>0.064779690691566</v>
      </c>
      <c r="E1714">
        <v>-0.06098816263510001</v>
      </c>
      <c r="F1714">
        <v>0.005788313120176</v>
      </c>
      <c r="G1714">
        <v>-0.214931153184165</v>
      </c>
      <c r="H1714">
        <v>-0.142017399482718</v>
      </c>
      <c r="I1714">
        <v>0.393428850736237</v>
      </c>
    </row>
    <row r="1715" spans="1:9">
      <c r="A1715" s="1" t="s">
        <v>1727</v>
      </c>
      <c r="B1715">
        <f>HYPERLINK("https://www.suredividend.com/sure-analysis-research-database/","Verra Mobility Corp")</f>
        <v>0</v>
      </c>
      <c r="C1715">
        <v>0.039573820395738</v>
      </c>
      <c r="D1715">
        <v>0.238066465256797</v>
      </c>
      <c r="E1715">
        <v>0.298479087452471</v>
      </c>
      <c r="F1715">
        <v>0.4815618221258131</v>
      </c>
      <c r="G1715">
        <v>0.23508137432188</v>
      </c>
      <c r="H1715">
        <v>0.346254927726675</v>
      </c>
      <c r="I1715">
        <v>0.9922216820612541</v>
      </c>
    </row>
    <row r="1716" spans="1:9">
      <c r="A1716" s="1" t="s">
        <v>1728</v>
      </c>
      <c r="B1716">
        <f>HYPERLINK("https://www.suredividend.com/sure-analysis-research-database/","Virtus Investment Partners Inc")</f>
        <v>0</v>
      </c>
      <c r="C1716">
        <v>0.03999612948896501</v>
      </c>
      <c r="D1716">
        <v>0.198206650601391</v>
      </c>
      <c r="E1716">
        <v>-0.145603462270324</v>
      </c>
      <c r="F1716">
        <v>0.101916928597445</v>
      </c>
      <c r="G1716">
        <v>0.026621474743432</v>
      </c>
      <c r="H1716">
        <v>-0.223100408023511</v>
      </c>
      <c r="I1716">
        <v>0.823844210962535</v>
      </c>
    </row>
    <row r="1717" spans="1:9">
      <c r="A1717" s="1" t="s">
        <v>1729</v>
      </c>
      <c r="B1717">
        <f>HYPERLINK("https://www.suredividend.com/sure-analysis-research-database/","Veritiv Corp")</f>
        <v>0</v>
      </c>
      <c r="C1717">
        <v>0.09655712050078201</v>
      </c>
      <c r="D1717">
        <v>0.276963716698847</v>
      </c>
      <c r="E1717">
        <v>-0.03438562837282801</v>
      </c>
      <c r="F1717">
        <v>0.164036633845938</v>
      </c>
      <c r="G1717">
        <v>0.166212298238781</v>
      </c>
      <c r="H1717">
        <v>1.228728556002092</v>
      </c>
      <c r="I1717">
        <v>2.669364446387846</v>
      </c>
    </row>
    <row r="1718" spans="1:9">
      <c r="A1718" s="1" t="s">
        <v>1730</v>
      </c>
      <c r="B1718">
        <f>HYPERLINK("https://www.suredividend.com/sure-analysis-research-database/","VSE Corp.")</f>
        <v>0</v>
      </c>
      <c r="C1718">
        <v>-0.005919112339389</v>
      </c>
      <c r="D1718">
        <v>0.04134546075903101</v>
      </c>
      <c r="E1718">
        <v>-0.060953038796347</v>
      </c>
      <c r="F1718">
        <v>0.140168466234713</v>
      </c>
      <c r="G1718">
        <v>0.308741564269528</v>
      </c>
      <c r="H1718">
        <v>0.143431415681098</v>
      </c>
      <c r="I1718">
        <v>0.364483287524577</v>
      </c>
    </row>
    <row r="1719" spans="1:9">
      <c r="A1719" s="1" t="s">
        <v>1731</v>
      </c>
      <c r="B1719">
        <f>HYPERLINK("https://www.suredividend.com/sure-analysis-research-database/","Vishay Intertechnology, Inc.")</f>
        <v>0</v>
      </c>
      <c r="C1719">
        <v>-0.07058426207362301</v>
      </c>
      <c r="D1719">
        <v>0.300339732655443</v>
      </c>
      <c r="E1719">
        <v>0.14574052640782</v>
      </c>
      <c r="F1719">
        <v>0.28649831240592</v>
      </c>
      <c r="G1719">
        <v>0.340856160045214</v>
      </c>
      <c r="H1719">
        <v>0.294955227111242</v>
      </c>
      <c r="I1719">
        <v>0.215467173111322</v>
      </c>
    </row>
    <row r="1720" spans="1:9">
      <c r="A1720" s="1" t="s">
        <v>1732</v>
      </c>
      <c r="B1720">
        <f>HYPERLINK("https://www.suredividend.com/sure-analysis-research-database/","Vista Outdoor Inc")</f>
        <v>0</v>
      </c>
      <c r="C1720">
        <v>0.072525902107895</v>
      </c>
      <c r="D1720">
        <v>0.250833333333333</v>
      </c>
      <c r="E1720">
        <v>0.06642984014209501</v>
      </c>
      <c r="F1720">
        <v>0.231842429216249</v>
      </c>
      <c r="G1720">
        <v>0.003342245989304</v>
      </c>
      <c r="H1720">
        <v>-0.310360670801745</v>
      </c>
      <c r="I1720">
        <v>0.8774233896185111</v>
      </c>
    </row>
    <row r="1721" spans="1:9">
      <c r="A1721" s="1" t="s">
        <v>1733</v>
      </c>
      <c r="B1721">
        <f>HYPERLINK("https://www.suredividend.com/sure-analysis-research-database/","VistaGen Therapeutics Inc")</f>
        <v>0</v>
      </c>
      <c r="C1721">
        <v>-0.158415841584158</v>
      </c>
      <c r="D1721">
        <v>-0.58363948077394</v>
      </c>
      <c r="E1721">
        <v>-0.8111111111111111</v>
      </c>
      <c r="F1721">
        <v>-0.449838187702265</v>
      </c>
      <c r="G1721">
        <v>-0.630113141862489</v>
      </c>
      <c r="H1721">
        <v>-0.9794685990338161</v>
      </c>
      <c r="I1721">
        <v>-0.9553805774278211</v>
      </c>
    </row>
    <row r="1722" spans="1:9">
      <c r="A1722" s="1" t="s">
        <v>1734</v>
      </c>
      <c r="B1722">
        <f>HYPERLINK("https://www.suredividend.com/sure-analysis-research-database/","Vital Energy Inc.")</f>
        <v>0</v>
      </c>
      <c r="C1722">
        <v>0.146277753591641</v>
      </c>
      <c r="D1722">
        <v>0.254406860409718</v>
      </c>
      <c r="E1722">
        <v>-0.004913076341647</v>
      </c>
      <c r="F1722">
        <v>0.024115130299494</v>
      </c>
      <c r="G1722">
        <v>-0.347297967278135</v>
      </c>
      <c r="H1722">
        <v>-0.00170616113744</v>
      </c>
      <c r="I1722">
        <v>-0.692765460910151</v>
      </c>
    </row>
    <row r="1723" spans="1:9">
      <c r="A1723" s="1" t="s">
        <v>1735</v>
      </c>
      <c r="B1723">
        <f>HYPERLINK("https://www.suredividend.com/sure-analysis-research-database/","Vertex Energy Inc")</f>
        <v>0</v>
      </c>
      <c r="C1723">
        <v>-0.184126984126984</v>
      </c>
      <c r="D1723">
        <v>-0.276056338028169</v>
      </c>
      <c r="E1723">
        <v>-0.293956043956044</v>
      </c>
      <c r="F1723">
        <v>-0.170967741935483</v>
      </c>
      <c r="G1723">
        <v>-0.6061302681992331</v>
      </c>
      <c r="H1723">
        <v>-0.405092592592592</v>
      </c>
      <c r="I1723">
        <v>3.630630630630629</v>
      </c>
    </row>
    <row r="1724" spans="1:9">
      <c r="A1724" s="1" t="s">
        <v>1736</v>
      </c>
      <c r="B1724">
        <f>HYPERLINK("https://www.suredividend.com/sure-analysis-research-database/","Bristow Group Inc.")</f>
        <v>0</v>
      </c>
      <c r="C1724">
        <v>0.059221658206429</v>
      </c>
      <c r="D1724">
        <v>0.408007197480881</v>
      </c>
      <c r="E1724">
        <v>0.045424181696726</v>
      </c>
      <c r="F1724">
        <v>0.153704386288241</v>
      </c>
      <c r="G1724">
        <v>0.246515332536837</v>
      </c>
      <c r="H1724">
        <v>0.18336483931947</v>
      </c>
      <c r="I1724">
        <v>1.276363636363636</v>
      </c>
    </row>
    <row r="1725" spans="1:9">
      <c r="A1725" s="1" t="s">
        <v>1737</v>
      </c>
      <c r="B1725">
        <f>HYPERLINK("https://www.suredividend.com/sure-analysis-research-database/","Ventyx Biosciences Inc")</f>
        <v>0</v>
      </c>
      <c r="C1725">
        <v>-0.117369727047146</v>
      </c>
      <c r="D1725">
        <v>-0.08911651728553101</v>
      </c>
      <c r="E1725">
        <v>-0.189749430523918</v>
      </c>
      <c r="F1725">
        <v>0.084781945715157</v>
      </c>
      <c r="G1725">
        <v>1.352513227513227</v>
      </c>
      <c r="H1725">
        <v>0.6921979067554711</v>
      </c>
      <c r="I1725">
        <v>0.6921979067554711</v>
      </c>
    </row>
    <row r="1726" spans="1:9">
      <c r="A1726" s="1" t="s">
        <v>1738</v>
      </c>
      <c r="B1726">
        <f>HYPERLINK("https://www.suredividend.com/sure-analysis-research-database/","Vuzix Corporation")</f>
        <v>0</v>
      </c>
      <c r="C1726">
        <v>-0.04431599229287</v>
      </c>
      <c r="D1726">
        <v>0.331543624161073</v>
      </c>
      <c r="E1726">
        <v>-0.137391304347826</v>
      </c>
      <c r="F1726">
        <v>0.362637362637362</v>
      </c>
      <c r="G1726">
        <v>-0.434435575826681</v>
      </c>
      <c r="H1726">
        <v>-0.650211565585331</v>
      </c>
      <c r="I1726">
        <v>-0.212698412698412</v>
      </c>
    </row>
    <row r="1727" spans="1:9">
      <c r="A1727" s="1" t="s">
        <v>1739</v>
      </c>
      <c r="B1727">
        <f>HYPERLINK("https://www.suredividend.com/sure-analysis-research-database/","Viad Corp.")</f>
        <v>0</v>
      </c>
      <c r="C1727">
        <v>0.007021433850702001</v>
      </c>
      <c r="D1727">
        <v>0.442562202223398</v>
      </c>
      <c r="E1727">
        <v>-0.09887566137566101</v>
      </c>
      <c r="F1727">
        <v>0.117261172611726</v>
      </c>
      <c r="G1727">
        <v>-0.203216374269006</v>
      </c>
      <c r="H1727">
        <v>-0.3921481151014941</v>
      </c>
      <c r="I1727">
        <v>-0.511644369573204</v>
      </c>
    </row>
    <row r="1728" spans="1:9">
      <c r="A1728" s="1" t="s">
        <v>1740</v>
      </c>
      <c r="B1728">
        <f>HYPERLINK("https://www.suredividend.com/sure-analysis-research-database/","V2X Inc")</f>
        <v>0</v>
      </c>
      <c r="C1728">
        <v>0.104453441295546</v>
      </c>
      <c r="D1728">
        <v>0.251950435979807</v>
      </c>
      <c r="E1728">
        <v>0.261211280628756</v>
      </c>
      <c r="F1728">
        <v>0.321385323322838</v>
      </c>
      <c r="G1728">
        <v>0.668501529051987</v>
      </c>
      <c r="H1728">
        <v>0.21595720971696</v>
      </c>
      <c r="I1728">
        <v>0.773155671108222</v>
      </c>
    </row>
    <row r="1729" spans="1:9">
      <c r="A1729" s="1" t="s">
        <v>1741</v>
      </c>
      <c r="B1729">
        <f>HYPERLINK("https://www.suredividend.com/sure-analysis-research-database/","Vintage Wine Estates Inc")</f>
        <v>0</v>
      </c>
      <c r="C1729">
        <v>0.13367816091954</v>
      </c>
      <c r="D1729">
        <v>-0.28007299270073</v>
      </c>
      <c r="E1729">
        <v>-0.6490035587188611</v>
      </c>
      <c r="F1729">
        <v>-0.6974539877300611</v>
      </c>
      <c r="G1729">
        <v>-0.858898426323319</v>
      </c>
      <c r="H1729">
        <v>-0.8999695740365111</v>
      </c>
      <c r="I1729">
        <v>-0.9217222222222221</v>
      </c>
    </row>
    <row r="1730" spans="1:9">
      <c r="A1730" s="1" t="s">
        <v>1742</v>
      </c>
      <c r="B1730">
        <f>HYPERLINK("https://www.suredividend.com/sure-analysis-research-database/","Vaxart Inc")</f>
        <v>0</v>
      </c>
      <c r="C1730">
        <v>0.036914143508917</v>
      </c>
      <c r="D1730">
        <v>-0.141876430205949</v>
      </c>
      <c r="E1730">
        <v>-0.305555555555555</v>
      </c>
      <c r="F1730">
        <v>-0.219481735872619</v>
      </c>
      <c r="G1730">
        <v>-0.8031496062992121</v>
      </c>
      <c r="H1730">
        <v>-0.9125874125874121</v>
      </c>
      <c r="I1730">
        <v>-0.759615384615384</v>
      </c>
    </row>
    <row r="1731" spans="1:9">
      <c r="A1731" s="1" t="s">
        <v>1743</v>
      </c>
      <c r="B1731">
        <f>HYPERLINK("https://www.suredividend.com/sure-analysis-research-database/","VIZIO Holding Corp")</f>
        <v>0</v>
      </c>
      <c r="C1731">
        <v>0.075780089153046</v>
      </c>
      <c r="D1731">
        <v>-0.148235294117647</v>
      </c>
      <c r="E1731">
        <v>-0.243469174503657</v>
      </c>
      <c r="F1731">
        <v>-0.022941970310391</v>
      </c>
      <c r="G1731">
        <v>-0.295034079844206</v>
      </c>
      <c r="H1731">
        <v>-0.6657433056325021</v>
      </c>
      <c r="I1731">
        <v>-0.620942408376963</v>
      </c>
    </row>
    <row r="1732" spans="1:9">
      <c r="A1732" s="1" t="s">
        <v>1744</v>
      </c>
      <c r="B1732">
        <f>HYPERLINK("https://www.suredividend.com/sure-analysis-WABC/","Westamerica Bancorporation")</f>
        <v>0</v>
      </c>
      <c r="C1732">
        <v>0.253258369537439</v>
      </c>
      <c r="D1732">
        <v>0.33836950351513</v>
      </c>
      <c r="E1732">
        <v>-0.112570054306224</v>
      </c>
      <c r="F1732">
        <v>-0.143744128955207</v>
      </c>
      <c r="G1732">
        <v>-0.132601893630531</v>
      </c>
      <c r="H1732">
        <v>-0.07545835886317501</v>
      </c>
      <c r="I1732">
        <v>-0.06774618515427601</v>
      </c>
    </row>
    <row r="1733" spans="1:9">
      <c r="A1733" s="1" t="s">
        <v>1745</v>
      </c>
      <c r="B1733">
        <f>HYPERLINK("https://www.suredividend.com/sure-analysis-WAFD/","Washington Federal Inc.")</f>
        <v>0</v>
      </c>
      <c r="C1733">
        <v>0.136279926335175</v>
      </c>
      <c r="D1733">
        <v>0.224284081528986</v>
      </c>
      <c r="E1733">
        <v>-0.130226394880036</v>
      </c>
      <c r="F1733">
        <v>-0.056598003718563</v>
      </c>
      <c r="G1733">
        <v>-0.06341173148909901</v>
      </c>
      <c r="H1733">
        <v>0.031010523993971</v>
      </c>
      <c r="I1733">
        <v>0.06972083233642901</v>
      </c>
    </row>
    <row r="1734" spans="1:9">
      <c r="A1734" s="1" t="s">
        <v>1746</v>
      </c>
      <c r="B1734">
        <f>HYPERLINK("https://www.suredividend.com/sure-analysis-WASH/","Washington Trust Bancorp, Inc.")</f>
        <v>0</v>
      </c>
      <c r="C1734">
        <v>0.184112843355604</v>
      </c>
      <c r="D1734">
        <v>0.27913644255715</v>
      </c>
      <c r="E1734">
        <v>-0.237701059332665</v>
      </c>
      <c r="F1734">
        <v>-0.284395561009204</v>
      </c>
      <c r="G1734">
        <v>-0.354254933674491</v>
      </c>
      <c r="H1734">
        <v>-0.272909615143537</v>
      </c>
      <c r="I1734">
        <v>-0.29393068125729</v>
      </c>
    </row>
    <row r="1735" spans="1:9">
      <c r="A1735" s="1" t="s">
        <v>1747</v>
      </c>
      <c r="B1735">
        <f>HYPERLINK("https://www.suredividend.com/sure-analysis-research-database/","Walker &amp; Dunlop Inc")</f>
        <v>0</v>
      </c>
      <c r="C1735">
        <v>0.08404824070620301</v>
      </c>
      <c r="D1735">
        <v>0.365114505848589</v>
      </c>
      <c r="E1735">
        <v>-0.09594361856887601</v>
      </c>
      <c r="F1735">
        <v>0.129494855804481</v>
      </c>
      <c r="G1735">
        <v>-0.21074237649915</v>
      </c>
      <c r="H1735">
        <v>-0.102153123104599</v>
      </c>
      <c r="I1735">
        <v>0.8282045475513501</v>
      </c>
    </row>
    <row r="1736" spans="1:9">
      <c r="A1736" s="1" t="s">
        <v>1748</v>
      </c>
      <c r="B1736">
        <f>HYPERLINK("https://www.suredividend.com/sure-analysis-WDFC/","WD-40 Co.")</f>
        <v>0</v>
      </c>
      <c r="C1736">
        <v>0.20831545858185</v>
      </c>
      <c r="D1736">
        <v>0.243459404627123</v>
      </c>
      <c r="E1736">
        <v>0.266389796140361</v>
      </c>
      <c r="F1736">
        <v>0.432481786368265</v>
      </c>
      <c r="G1736">
        <v>0.277027566739906</v>
      </c>
      <c r="H1736">
        <v>-0.055032238460545</v>
      </c>
      <c r="I1736">
        <v>0.5099063075933611</v>
      </c>
    </row>
    <row r="1737" spans="1:9">
      <c r="A1737" s="1" t="s">
        <v>1749</v>
      </c>
      <c r="B1737">
        <f>HYPERLINK("https://www.suredividend.com/sure-analysis-research-database/","Weave Communications Inc")</f>
        <v>0</v>
      </c>
      <c r="C1737">
        <v>-0.035087719298245</v>
      </c>
      <c r="D1737">
        <v>1.582159624413145</v>
      </c>
      <c r="E1737">
        <v>1.140077821011673</v>
      </c>
      <c r="F1737">
        <v>1.401746724890829</v>
      </c>
      <c r="G1737">
        <v>1.10727969348659</v>
      </c>
      <c r="H1737">
        <v>-0.414582224587546</v>
      </c>
      <c r="I1737">
        <v>-0.414582224587546</v>
      </c>
    </row>
    <row r="1738" spans="1:9">
      <c r="A1738" s="1" t="s">
        <v>1750</v>
      </c>
      <c r="B1738">
        <f>HYPERLINK("https://www.suredividend.com/sure-analysis-research-database/","Werner Enterprises, Inc.")</f>
        <v>0</v>
      </c>
      <c r="C1738">
        <v>0.04905490549054901</v>
      </c>
      <c r="D1738">
        <v>0.016326183588359</v>
      </c>
      <c r="E1738">
        <v>-0.03458872692859601</v>
      </c>
      <c r="F1738">
        <v>0.168517696952379</v>
      </c>
      <c r="G1738">
        <v>0.112635887399911</v>
      </c>
      <c r="H1738">
        <v>0.04164571980132201</v>
      </c>
      <c r="I1738">
        <v>0.530215352701181</v>
      </c>
    </row>
    <row r="1739" spans="1:9">
      <c r="A1739" s="1" t="s">
        <v>1751</v>
      </c>
      <c r="B1739">
        <f>HYPERLINK("https://www.suredividend.com/sure-analysis-WEYS/","Weyco Group, Inc")</f>
        <v>0</v>
      </c>
      <c r="C1739">
        <v>-0.047492401215805</v>
      </c>
      <c r="D1739">
        <v>-0.021257490874309</v>
      </c>
      <c r="E1739">
        <v>-0.042588943372592</v>
      </c>
      <c r="F1739">
        <v>0.220289812746114</v>
      </c>
      <c r="G1739">
        <v>-0.027340764392989</v>
      </c>
      <c r="H1739">
        <v>0.190080604581834</v>
      </c>
      <c r="I1739">
        <v>-0.121469847177104</v>
      </c>
    </row>
    <row r="1740" spans="1:9">
      <c r="A1740" s="1" t="s">
        <v>1752</v>
      </c>
      <c r="B1740">
        <f>HYPERLINK("https://www.suredividend.com/sure-analysis-research-database/","Weatherford International plc")</f>
        <v>0</v>
      </c>
      <c r="C1740">
        <v>0.237194758784991</v>
      </c>
      <c r="D1740">
        <v>0.40758936134169</v>
      </c>
      <c r="E1740">
        <v>0.4800498753117201</v>
      </c>
      <c r="F1740">
        <v>0.63177533385703</v>
      </c>
      <c r="G1740">
        <v>2.609470026064292</v>
      </c>
      <c r="H1740">
        <v>3.830813953488372</v>
      </c>
      <c r="I1740">
        <v>5.486338797814208</v>
      </c>
    </row>
    <row r="1741" spans="1:9">
      <c r="A1741" s="1" t="s">
        <v>1753</v>
      </c>
      <c r="B1741">
        <f>HYPERLINK("https://www.suredividend.com/sure-analysis-WGO/","Winnebago Industries, Inc.")</f>
        <v>0</v>
      </c>
      <c r="C1741">
        <v>0.000148920327624</v>
      </c>
      <c r="D1741">
        <v>0.115961270361391</v>
      </c>
      <c r="E1741">
        <v>-0.01023221814977</v>
      </c>
      <c r="F1741">
        <v>0.291493755985369</v>
      </c>
      <c r="G1741">
        <v>0.08826164947150601</v>
      </c>
      <c r="H1741">
        <v>-0.065129150264202</v>
      </c>
      <c r="I1741">
        <v>0.766155351192996</v>
      </c>
    </row>
    <row r="1742" spans="1:9">
      <c r="A1742" s="1" t="s">
        <v>1754</v>
      </c>
      <c r="B1742">
        <f>HYPERLINK("https://www.suredividend.com/sure-analysis-research-database/","GeneDx Holdings Corp")</f>
        <v>0</v>
      </c>
      <c r="C1742">
        <v>0.231810490693739</v>
      </c>
      <c r="D1742">
        <v>-0.103227395910322</v>
      </c>
      <c r="E1742">
        <v>-0.525986118164889</v>
      </c>
      <c r="F1742">
        <v>26.59666413949962</v>
      </c>
      <c r="G1742">
        <v>2.978142076502732</v>
      </c>
      <c r="H1742">
        <v>-0.355181576616474</v>
      </c>
      <c r="I1742">
        <v>-0.257142857142857</v>
      </c>
    </row>
    <row r="1743" spans="1:9">
      <c r="A1743" s="1" t="s">
        <v>1755</v>
      </c>
      <c r="B1743">
        <f>HYPERLINK("https://www.suredividend.com/sure-analysis-research-database/","Cactus Inc")</f>
        <v>0</v>
      </c>
      <c r="C1743">
        <v>0.205265610438024</v>
      </c>
      <c r="D1743">
        <v>0.385377611140867</v>
      </c>
      <c r="E1743">
        <v>-0.021312421367286</v>
      </c>
      <c r="F1743">
        <v>0.034962236782873</v>
      </c>
      <c r="G1743">
        <v>0.314118196967849</v>
      </c>
      <c r="H1743">
        <v>0.46214202534794</v>
      </c>
      <c r="I1743">
        <v>0.5961664851321701</v>
      </c>
    </row>
    <row r="1744" spans="1:9">
      <c r="A1744" s="1" t="s">
        <v>1756</v>
      </c>
      <c r="B1744">
        <f>HYPERLINK("https://www.suredividend.com/sure-analysis-research-database/","Winmark Corporation")</f>
        <v>0</v>
      </c>
      <c r="C1744">
        <v>0.05857566765578601</v>
      </c>
      <c r="D1744">
        <v>0.08707443689946401</v>
      </c>
      <c r="E1744">
        <v>0.286570460596119</v>
      </c>
      <c r="F1744">
        <v>0.523939225266104</v>
      </c>
      <c r="G1744">
        <v>0.625964382291692</v>
      </c>
      <c r="H1744">
        <v>0.7707487436886611</v>
      </c>
      <c r="I1744">
        <v>1.524483041438065</v>
      </c>
    </row>
    <row r="1745" spans="1:9">
      <c r="A1745" s="1" t="s">
        <v>1757</v>
      </c>
      <c r="B1745">
        <f>HYPERLINK("https://www.suredividend.com/sure-analysis-research-database/","Wingstop Inc")</f>
        <v>0</v>
      </c>
      <c r="C1745">
        <v>-0.153948377204191</v>
      </c>
      <c r="D1745">
        <v>-0.239093310704867</v>
      </c>
      <c r="E1745">
        <v>0.000387390997178</v>
      </c>
      <c r="F1745">
        <v>0.206396312813251</v>
      </c>
      <c r="G1745">
        <v>0.282861059939441</v>
      </c>
      <c r="H1745">
        <v>0.003248602979502</v>
      </c>
      <c r="I1745">
        <v>2.083253239157484</v>
      </c>
    </row>
    <row r="1746" spans="1:9">
      <c r="A1746" s="1" t="s">
        <v>1758</v>
      </c>
      <c r="B1746">
        <f>HYPERLINK("https://www.suredividend.com/sure-analysis-research-database/","Encore Wire Corp.")</f>
        <v>0</v>
      </c>
      <c r="C1746">
        <v>-0.115664408948151</v>
      </c>
      <c r="D1746">
        <v>0.002773331065256</v>
      </c>
      <c r="E1746">
        <v>-0.038906078776395</v>
      </c>
      <c r="F1746">
        <v>0.20049660673881</v>
      </c>
      <c r="G1746">
        <v>0.353827478449159</v>
      </c>
      <c r="H1746">
        <v>1.081924866048454</v>
      </c>
      <c r="I1746">
        <v>2.230016887826088</v>
      </c>
    </row>
    <row r="1747" spans="1:9">
      <c r="A1747" s="1" t="s">
        <v>1759</v>
      </c>
      <c r="B1747">
        <f>HYPERLINK("https://www.suredividend.com/sure-analysis-research-database/","ContextLogic Inc")</f>
        <v>0</v>
      </c>
      <c r="C1747">
        <v>0.23781388478582</v>
      </c>
      <c r="D1747">
        <v>0.183615819209039</v>
      </c>
      <c r="E1747">
        <v>-0.62675930874755</v>
      </c>
      <c r="F1747">
        <v>-0.427243524024331</v>
      </c>
      <c r="G1747">
        <v>-0.8375968992248061</v>
      </c>
      <c r="H1747">
        <v>-0.9729065632072421</v>
      </c>
      <c r="I1747">
        <v>-0.9860681629260181</v>
      </c>
    </row>
    <row r="1748" spans="1:9">
      <c r="A1748" s="1" t="s">
        <v>1760</v>
      </c>
      <c r="B1748">
        <f>HYPERLINK("https://www.suredividend.com/sure-analysis-research-database/","Workiva Inc")</f>
        <v>0</v>
      </c>
      <c r="C1748">
        <v>0.053776683087028</v>
      </c>
      <c r="D1748">
        <v>0.173485714285714</v>
      </c>
      <c r="E1748">
        <v>0.125136971290817</v>
      </c>
      <c r="F1748">
        <v>0.222817672978444</v>
      </c>
      <c r="G1748">
        <v>0.441729851165403</v>
      </c>
      <c r="H1748">
        <v>-0.201927561013523</v>
      </c>
      <c r="I1748">
        <v>3.058498023715416</v>
      </c>
    </row>
    <row r="1749" spans="1:9">
      <c r="A1749" s="1" t="s">
        <v>1761</v>
      </c>
      <c r="B1749">
        <f>HYPERLINK("https://www.suredividend.com/sure-analysis-research-database/","Workhorse Group Inc")</f>
        <v>0</v>
      </c>
      <c r="C1749">
        <v>0.283217136506011</v>
      </c>
      <c r="D1749">
        <v>0.114035087719298</v>
      </c>
      <c r="E1749">
        <v>-0.4618644067796611</v>
      </c>
      <c r="F1749">
        <v>-0.164473684210526</v>
      </c>
      <c r="G1749">
        <v>-0.6871921182266011</v>
      </c>
      <c r="H1749">
        <v>-0.88141923436041</v>
      </c>
      <c r="I1749">
        <v>-0.19108280254777</v>
      </c>
    </row>
    <row r="1750" spans="1:9">
      <c r="A1750" s="1" t="s">
        <v>1762</v>
      </c>
      <c r="B1750">
        <f>HYPERLINK("https://www.suredividend.com/sure-analysis-research-database/","Willdan Group Inc")</f>
        <v>0</v>
      </c>
      <c r="C1750">
        <v>0.08520900321543401</v>
      </c>
      <c r="D1750">
        <v>0.380368098159509</v>
      </c>
      <c r="E1750">
        <v>-0.041193181818181</v>
      </c>
      <c r="F1750">
        <v>0.134453781512605</v>
      </c>
      <c r="G1750">
        <v>-0.290220820189274</v>
      </c>
      <c r="H1750">
        <v>-0.49987651271919</v>
      </c>
      <c r="I1750">
        <v>-0.316571042861964</v>
      </c>
    </row>
    <row r="1751" spans="1:9">
      <c r="A1751" s="1" t="s">
        <v>1763</v>
      </c>
      <c r="B1751">
        <f>HYPERLINK("https://www.suredividend.com/sure-analysis-research-database/","Chord Energy Corp")</f>
        <v>0</v>
      </c>
      <c r="C1751">
        <v>0.7336956521739121</v>
      </c>
      <c r="D1751">
        <v>-0.182051282051282</v>
      </c>
      <c r="E1751">
        <v>-0.425225225225225</v>
      </c>
      <c r="F1751">
        <v>0.8228571428571421</v>
      </c>
      <c r="G1751">
        <v>-0.425225225225225</v>
      </c>
      <c r="H1751">
        <v>-0.425225225225225</v>
      </c>
      <c r="I1751">
        <v>-0.425225225225225</v>
      </c>
    </row>
    <row r="1752" spans="1:9">
      <c r="A1752" s="1" t="s">
        <v>1764</v>
      </c>
      <c r="B1752">
        <f>HYPERLINK("https://www.suredividend.com/sure-analysis-research-database/","Chord Energy Corp")</f>
        <v>0</v>
      </c>
      <c r="C1752">
        <v>0.5300546448087431</v>
      </c>
      <c r="D1752">
        <v>-0.213483146067415</v>
      </c>
      <c r="E1752">
        <v>-0.492753623188405</v>
      </c>
      <c r="F1752">
        <v>0.473684210526315</v>
      </c>
      <c r="G1752">
        <v>-0.492753623188405</v>
      </c>
      <c r="H1752">
        <v>-0.492753623188405</v>
      </c>
      <c r="I1752">
        <v>-0.492753623188405</v>
      </c>
    </row>
    <row r="1753" spans="1:9">
      <c r="A1753" s="1" t="s">
        <v>1765</v>
      </c>
      <c r="B1753">
        <f>HYPERLINK("https://www.suredividend.com/sure-analysis-WLY/","John Wiley &amp; Sons Inc.")</f>
        <v>0</v>
      </c>
      <c r="C1753">
        <v>0.010529394559812</v>
      </c>
      <c r="D1753">
        <v>-0.04794709286304701</v>
      </c>
      <c r="E1753">
        <v>-0.286195369670224</v>
      </c>
      <c r="F1753">
        <v>-0.12957163839559</v>
      </c>
      <c r="G1753">
        <v>-0.321527319571433</v>
      </c>
      <c r="H1753">
        <v>-0.411375864195637</v>
      </c>
      <c r="I1753">
        <v>-0.39186346762795</v>
      </c>
    </row>
    <row r="1754" spans="1:9">
      <c r="A1754" s="1" t="s">
        <v>1766</v>
      </c>
      <c r="B1754">
        <f>HYPERLINK("https://www.suredividend.com/sure-analysis-research-database/","Weis Markets, Inc.")</f>
        <v>0</v>
      </c>
      <c r="C1754">
        <v>0.005200367084735</v>
      </c>
      <c r="D1754">
        <v>-0.185560175230966</v>
      </c>
      <c r="E1754">
        <v>-0.247089230007824</v>
      </c>
      <c r="F1754">
        <v>-0.194663111355103</v>
      </c>
      <c r="G1754">
        <v>-0.159706843556132</v>
      </c>
      <c r="H1754">
        <v>0.25059466042511</v>
      </c>
      <c r="I1754">
        <v>0.4506157170637171</v>
      </c>
    </row>
    <row r="1755" spans="1:9">
      <c r="A1755" s="1" t="s">
        <v>1767</v>
      </c>
      <c r="B1755">
        <f>HYPERLINK("https://www.suredividend.com/sure-analysis-research-database/","Wabash National Corp.")</f>
        <v>0</v>
      </c>
      <c r="C1755">
        <v>-0.08326937835763601</v>
      </c>
      <c r="D1755">
        <v>-0.02130274477673</v>
      </c>
      <c r="E1755">
        <v>-0.177899290082141</v>
      </c>
      <c r="F1755">
        <v>0.064412790775386</v>
      </c>
      <c r="G1755">
        <v>0.350381260845726</v>
      </c>
      <c r="H1755">
        <v>0.636458290521009</v>
      </c>
      <c r="I1755">
        <v>0.4087247768094061</v>
      </c>
    </row>
    <row r="1756" spans="1:9">
      <c r="A1756" s="1" t="s">
        <v>1768</v>
      </c>
      <c r="B1756">
        <f>HYPERLINK("https://www.suredividend.com/sure-analysis-WOR/","Worthington Industries, Inc.")</f>
        <v>0</v>
      </c>
      <c r="C1756">
        <v>0.050891316848763</v>
      </c>
      <c r="D1756">
        <v>0.267486458181616</v>
      </c>
      <c r="E1756">
        <v>0.197793176675312</v>
      </c>
      <c r="F1756">
        <v>0.486216410187596</v>
      </c>
      <c r="G1756">
        <v>0.4769675895525251</v>
      </c>
      <c r="H1756">
        <v>0.225247815170277</v>
      </c>
      <c r="I1756">
        <v>0.755738575089648</v>
      </c>
    </row>
    <row r="1757" spans="1:9">
      <c r="A1757" s="1" t="s">
        <v>1769</v>
      </c>
      <c r="B1757">
        <f>HYPERLINK("https://www.suredividend.com/sure-analysis-research-database/","WideOpenWest Inc")</f>
        <v>0</v>
      </c>
      <c r="C1757">
        <v>-0.044237485448195</v>
      </c>
      <c r="D1757">
        <v>-0.274734982332155</v>
      </c>
      <c r="E1757">
        <v>-0.315833333333333</v>
      </c>
      <c r="F1757">
        <v>-0.098792535675082</v>
      </c>
      <c r="G1757">
        <v>-0.570831155253528</v>
      </c>
      <c r="H1757">
        <v>-0.643353605560382</v>
      </c>
      <c r="I1757">
        <v>-0.247479376718606</v>
      </c>
    </row>
    <row r="1758" spans="1:9">
      <c r="A1758" s="1" t="s">
        <v>1770</v>
      </c>
      <c r="B1758">
        <f>HYPERLINK("https://www.suredividend.com/sure-analysis-research-database/","Warby Parker Inc")</f>
        <v>0</v>
      </c>
      <c r="C1758">
        <v>0.24769101595298</v>
      </c>
      <c r="D1758">
        <v>0.301225919439579</v>
      </c>
      <c r="E1758">
        <v>-0.094454600853138</v>
      </c>
      <c r="F1758">
        <v>0.101556708673091</v>
      </c>
      <c r="G1758">
        <v>0.160937499999999</v>
      </c>
      <c r="H1758">
        <v>-0.727289410901082</v>
      </c>
      <c r="I1758">
        <v>-0.727289410901082</v>
      </c>
    </row>
    <row r="1759" spans="1:9">
      <c r="A1759" s="1" t="s">
        <v>1771</v>
      </c>
      <c r="B1759">
        <f>HYPERLINK("https://www.suredividend.com/sure-analysis-research-database/","World Acceptance Corp.")</f>
        <v>0</v>
      </c>
      <c r="C1759">
        <v>0.128341849959268</v>
      </c>
      <c r="D1759">
        <v>0.5898987790879681</v>
      </c>
      <c r="E1759">
        <v>0.431282292155941</v>
      </c>
      <c r="F1759">
        <v>1.310585380649075</v>
      </c>
      <c r="G1759">
        <v>0.286606992062151</v>
      </c>
      <c r="H1759">
        <v>-0.216819163154107</v>
      </c>
      <c r="I1759">
        <v>0.4579904306220091</v>
      </c>
    </row>
    <row r="1760" spans="1:9">
      <c r="A1760" s="1" t="s">
        <v>1772</v>
      </c>
      <c r="B1760">
        <f>HYPERLINK("https://www.suredividend.com/sure-analysis-WSBC/","Wesbanco, Inc.")</f>
        <v>0</v>
      </c>
      <c r="C1760">
        <v>0.043428571428571</v>
      </c>
      <c r="D1760">
        <v>0.269060228236242</v>
      </c>
      <c r="E1760">
        <v>-0.263049988295974</v>
      </c>
      <c r="F1760">
        <v>-0.233157604450429</v>
      </c>
      <c r="G1760">
        <v>-0.145765629775634</v>
      </c>
      <c r="H1760">
        <v>-0.07904912410477101</v>
      </c>
      <c r="I1760">
        <v>-0.315761468302443</v>
      </c>
    </row>
    <row r="1761" spans="1:9">
      <c r="A1761" s="1" t="s">
        <v>1773</v>
      </c>
      <c r="B1761">
        <f>HYPERLINK("https://www.suredividend.com/sure-analysis-research-database/","Waterstone Financial Inc")</f>
        <v>0</v>
      </c>
      <c r="C1761">
        <v>-0.035868771417336</v>
      </c>
      <c r="D1761">
        <v>0.025790448867371</v>
      </c>
      <c r="E1761">
        <v>-0.120762304845092</v>
      </c>
      <c r="F1761">
        <v>-0.148622169308232</v>
      </c>
      <c r="G1761">
        <v>-0.196545085348797</v>
      </c>
      <c r="H1761">
        <v>-0.228313530648261</v>
      </c>
      <c r="I1761">
        <v>0.117332074673263</v>
      </c>
    </row>
    <row r="1762" spans="1:9">
      <c r="A1762" s="1" t="s">
        <v>1774</v>
      </c>
      <c r="B1762">
        <f>HYPERLINK("https://www.suredividend.com/sure-analysis-research-database/","WSFS Financial Corp.")</f>
        <v>0</v>
      </c>
      <c r="C1762">
        <v>0.101510643167772</v>
      </c>
      <c r="D1762">
        <v>0.295951185328669</v>
      </c>
      <c r="E1762">
        <v>-0.145364688123697</v>
      </c>
      <c r="F1762">
        <v>-0.047912376464663</v>
      </c>
      <c r="G1762">
        <v>-0.083434512640379</v>
      </c>
      <c r="H1762">
        <v>0.002677753338905</v>
      </c>
      <c r="I1762">
        <v>-0.182250885814418</v>
      </c>
    </row>
    <row r="1763" spans="1:9">
      <c r="A1763" s="1" t="s">
        <v>1775</v>
      </c>
      <c r="B1763">
        <f>HYPERLINK("https://www.suredividend.com/sure-analysis-WSR/","Whitestone REIT")</f>
        <v>0</v>
      </c>
      <c r="C1763">
        <v>0.058293386436189</v>
      </c>
      <c r="D1763">
        <v>0.208391936240037</v>
      </c>
      <c r="E1763">
        <v>0.022026606395844</v>
      </c>
      <c r="F1763">
        <v>0.106128229336537</v>
      </c>
      <c r="G1763">
        <v>0.03210435165627201</v>
      </c>
      <c r="H1763">
        <v>0.281302429627788</v>
      </c>
      <c r="I1763">
        <v>0.08511466851904401</v>
      </c>
    </row>
    <row r="1764" spans="1:9">
      <c r="A1764" s="1" t="s">
        <v>1776</v>
      </c>
      <c r="B1764">
        <f>HYPERLINK("https://www.suredividend.com/sure-analysis-research-database/","WisdomTree Inc")</f>
        <v>0</v>
      </c>
      <c r="C1764">
        <v>-0.045454545454545</v>
      </c>
      <c r="D1764">
        <v>0.039753397965213</v>
      </c>
      <c r="E1764">
        <v>0.127272727272727</v>
      </c>
      <c r="F1764">
        <v>0.205890525145873</v>
      </c>
      <c r="G1764">
        <v>0.19902751685269</v>
      </c>
      <c r="H1764">
        <v>0.035470017496421</v>
      </c>
      <c r="I1764">
        <v>-0.120626772929893</v>
      </c>
    </row>
    <row r="1765" spans="1:9">
      <c r="A1765" s="1" t="s">
        <v>1777</v>
      </c>
      <c r="B1765">
        <f>HYPERLINK("https://www.suredividend.com/sure-analysis-research-database/","West Bancorporation")</f>
        <v>0</v>
      </c>
      <c r="C1765">
        <v>0.054284193720063</v>
      </c>
      <c r="D1765">
        <v>0.253908574177458</v>
      </c>
      <c r="E1765">
        <v>-0.06629714468859201</v>
      </c>
      <c r="F1765">
        <v>-0.190549739717407</v>
      </c>
      <c r="G1765">
        <v>-0.174253034547152</v>
      </c>
      <c r="H1765">
        <v>-0.270819913499586</v>
      </c>
      <c r="I1765">
        <v>0.011307655001659</v>
      </c>
    </row>
    <row r="1766" spans="1:9">
      <c r="A1766" s="1" t="s">
        <v>1778</v>
      </c>
      <c r="B1766">
        <f>HYPERLINK("https://www.suredividend.com/sure-analysis-research-database/","W &amp; T Offshore Inc")</f>
        <v>0</v>
      </c>
      <c r="C1766">
        <v>0.064599483204134</v>
      </c>
      <c r="D1766">
        <v>0.022332506203473</v>
      </c>
      <c r="E1766">
        <v>-0.294520547945205</v>
      </c>
      <c r="F1766">
        <v>-0.261648745519713</v>
      </c>
      <c r="G1766">
        <v>-0.094505494505494</v>
      </c>
      <c r="H1766">
        <v>0.017283950617283</v>
      </c>
      <c r="I1766">
        <v>-0.427777777777777</v>
      </c>
    </row>
    <row r="1767" spans="1:9">
      <c r="A1767" s="1" t="s">
        <v>1779</v>
      </c>
      <c r="B1767">
        <f>HYPERLINK("https://www.suredividend.com/sure-analysis-research-database/","Watts Water Technologies, Inc.")</f>
        <v>0</v>
      </c>
      <c r="C1767">
        <v>0.018482384823848</v>
      </c>
      <c r="D1767">
        <v>0.12774193548387</v>
      </c>
      <c r="E1767">
        <v>0.09613125341975901</v>
      </c>
      <c r="F1767">
        <v>0.290051070671676</v>
      </c>
      <c r="G1767">
        <v>0.371669917426799</v>
      </c>
      <c r="H1767">
        <v>0.223809812231064</v>
      </c>
      <c r="I1767">
        <v>1.264589798439336</v>
      </c>
    </row>
    <row r="1768" spans="1:9">
      <c r="A1768" s="1" t="s">
        <v>1780</v>
      </c>
      <c r="B1768">
        <f>HYPERLINK("https://www.suredividend.com/sure-analysis-research-database/","Select Water Solutions Inc")</f>
        <v>0</v>
      </c>
      <c r="C1768">
        <v>0.03680981595092001</v>
      </c>
      <c r="D1768">
        <v>0.180167597765362</v>
      </c>
      <c r="E1768">
        <v>0.02271764520775</v>
      </c>
      <c r="F1768">
        <v>-0.07357665193891001</v>
      </c>
      <c r="G1768">
        <v>0.258751675852822</v>
      </c>
      <c r="H1768">
        <v>0.4373926208175271</v>
      </c>
      <c r="I1768">
        <v>-0.4205979155238611</v>
      </c>
    </row>
    <row r="1769" spans="1:9">
      <c r="A1769" s="1" t="s">
        <v>1781</v>
      </c>
      <c r="B1769">
        <f>HYPERLINK("https://www.suredividend.com/sure-analysis-research-database/","TeraWulf Inc")</f>
        <v>0</v>
      </c>
      <c r="C1769">
        <v>0.351485148514851</v>
      </c>
      <c r="D1769">
        <v>0.5423728813559321</v>
      </c>
      <c r="E1769">
        <v>3.004694146985477</v>
      </c>
      <c r="F1769">
        <v>3.1015625</v>
      </c>
      <c r="G1769">
        <v>0.8200000000000001</v>
      </c>
      <c r="H1769">
        <v>-0.881252718573292</v>
      </c>
      <c r="I1769">
        <v>-0.734951456310679</v>
      </c>
    </row>
    <row r="1770" spans="1:9">
      <c r="A1770" s="1" t="s">
        <v>1782</v>
      </c>
      <c r="B1770">
        <f>HYPERLINK("https://www.suredividend.com/sure-analysis-research-database/","WW International Inc")</f>
        <v>0</v>
      </c>
      <c r="C1770">
        <v>0.524964336661911</v>
      </c>
      <c r="D1770">
        <v>0.4485094850948511</v>
      </c>
      <c r="E1770">
        <v>1.250526315789473</v>
      </c>
      <c r="F1770">
        <v>1.769430051813471</v>
      </c>
      <c r="G1770">
        <v>0.361783439490445</v>
      </c>
      <c r="H1770">
        <v>-0.6580294305822131</v>
      </c>
      <c r="I1770">
        <v>-0.883271456649923</v>
      </c>
    </row>
    <row r="1771" spans="1:9">
      <c r="A1771" s="1" t="s">
        <v>1783</v>
      </c>
      <c r="B1771">
        <f>HYPERLINK("https://www.suredividend.com/sure-analysis-research-database/","Wolverine World Wide, Inc.")</f>
        <v>0</v>
      </c>
      <c r="C1771">
        <v>-0.177257525083611</v>
      </c>
      <c r="D1771">
        <v>-0.187298063390751</v>
      </c>
      <c r="E1771">
        <v>-0.231216365716</v>
      </c>
      <c r="F1771">
        <v>0.140155728587319</v>
      </c>
      <c r="G1771">
        <v>-0.447754425821745</v>
      </c>
      <c r="H1771">
        <v>-0.6349455089393831</v>
      </c>
      <c r="I1771">
        <v>-0.6268385029852911</v>
      </c>
    </row>
    <row r="1772" spans="1:9">
      <c r="A1772" s="1" t="s">
        <v>1784</v>
      </c>
      <c r="B1772">
        <f>HYPERLINK("https://www.suredividend.com/sure-analysis-research-database/","Xeris Biopharma Holdings Inc")</f>
        <v>0</v>
      </c>
      <c r="C1772">
        <v>0.04313725490196001</v>
      </c>
      <c r="D1772">
        <v>0.151515151515151</v>
      </c>
      <c r="E1772">
        <v>1.254237288135593</v>
      </c>
      <c r="F1772">
        <v>1</v>
      </c>
      <c r="G1772">
        <v>0.6942675159235671</v>
      </c>
      <c r="H1772">
        <v>0.127118644067796</v>
      </c>
      <c r="I1772">
        <v>0.127118644067796</v>
      </c>
    </row>
    <row r="1773" spans="1:9">
      <c r="A1773" s="1" t="s">
        <v>1785</v>
      </c>
      <c r="B1773">
        <f>HYPERLINK("https://www.suredividend.com/sure-analysis-research-database/","Xenia Hotels &amp; Resorts Inc")</f>
        <v>0</v>
      </c>
      <c r="C1773">
        <v>-0.06469212782540901</v>
      </c>
      <c r="D1773">
        <v>-0.052417125981143</v>
      </c>
      <c r="E1773">
        <v>-0.175880777419133</v>
      </c>
      <c r="F1773">
        <v>-0.07458819174532601</v>
      </c>
      <c r="G1773">
        <v>-0.252448232040068</v>
      </c>
      <c r="H1773">
        <v>-0.280679038987196</v>
      </c>
      <c r="I1773">
        <v>-0.425468960960615</v>
      </c>
    </row>
    <row r="1774" spans="1:9">
      <c r="A1774" s="1" t="s">
        <v>1786</v>
      </c>
      <c r="B1774">
        <f>HYPERLINK("https://www.suredividend.com/sure-analysis-research-database/","Xometry Inc")</f>
        <v>0</v>
      </c>
      <c r="C1774">
        <v>-0.168115942028985</v>
      </c>
      <c r="D1774">
        <v>0.321565617805065</v>
      </c>
      <c r="E1774">
        <v>-0.553654743390357</v>
      </c>
      <c r="F1774">
        <v>-0.465715172199813</v>
      </c>
      <c r="G1774">
        <v>-0.5934844192634561</v>
      </c>
      <c r="H1774">
        <v>-0.7820253164556961</v>
      </c>
      <c r="I1774">
        <v>-0.8029522828698931</v>
      </c>
    </row>
    <row r="1775" spans="1:9">
      <c r="A1775" s="1" t="s">
        <v>1787</v>
      </c>
      <c r="B1775">
        <f>HYPERLINK("https://www.suredividend.com/sure-analysis-research-database/","Xencor Inc")</f>
        <v>0</v>
      </c>
      <c r="C1775">
        <v>-0.062248995983935</v>
      </c>
      <c r="D1775">
        <v>-0.13932915591596</v>
      </c>
      <c r="E1775">
        <v>-0.360098657166346</v>
      </c>
      <c r="F1775">
        <v>-0.103302611367127</v>
      </c>
      <c r="G1775">
        <v>-0.210348326006087</v>
      </c>
      <c r="H1775">
        <v>-0.255420918367346</v>
      </c>
      <c r="I1775">
        <v>-0.360273972602739</v>
      </c>
    </row>
    <row r="1776" spans="1:9">
      <c r="A1776" s="1" t="s">
        <v>1788</v>
      </c>
      <c r="B1776">
        <f>HYPERLINK("https://www.suredividend.com/sure-analysis-research-database/","Xos Inc")</f>
        <v>0</v>
      </c>
      <c r="C1776">
        <v>1.662131519274376</v>
      </c>
      <c r="D1776">
        <v>0.197959183673469</v>
      </c>
      <c r="E1776">
        <v>-0.404725687049994</v>
      </c>
      <c r="F1776">
        <v>0.325355610747347</v>
      </c>
      <c r="G1776">
        <v>-0.675690607734806</v>
      </c>
      <c r="H1776">
        <v>-0.922251655629139</v>
      </c>
      <c r="I1776">
        <v>-0.922251655629139</v>
      </c>
    </row>
    <row r="1777" spans="1:9">
      <c r="A1777" s="1" t="s">
        <v>1789</v>
      </c>
      <c r="B1777">
        <f>HYPERLINK("https://www.suredividend.com/sure-analysis-research-database/","XPEL Inc")</f>
        <v>0</v>
      </c>
      <c r="C1777">
        <v>-0.038099773782592</v>
      </c>
      <c r="D1777">
        <v>0.14563244469654</v>
      </c>
      <c r="E1777">
        <v>0.029303095935788</v>
      </c>
      <c r="F1777">
        <v>0.345154845154845</v>
      </c>
      <c r="G1777">
        <v>0.285850708260385</v>
      </c>
      <c r="H1777">
        <v>-0.062543513576235</v>
      </c>
      <c r="I1777">
        <v>47.17531305903399</v>
      </c>
    </row>
    <row r="1778" spans="1:9">
      <c r="A1778" s="1" t="s">
        <v>1790</v>
      </c>
      <c r="B1778">
        <f>HYPERLINK("https://www.suredividend.com/sure-analysis-research-database/","Xperi Inc")</f>
        <v>0</v>
      </c>
      <c r="C1778">
        <v>-0.008308157099697001</v>
      </c>
      <c r="D1778">
        <v>0.467039106145251</v>
      </c>
      <c r="E1778">
        <v>0.271055179090029</v>
      </c>
      <c r="F1778">
        <v>0.524970963995354</v>
      </c>
      <c r="G1778">
        <v>-0.429130434782608</v>
      </c>
      <c r="H1778">
        <v>-0.429130434782608</v>
      </c>
      <c r="I1778">
        <v>-0.429130434782608</v>
      </c>
    </row>
    <row r="1779" spans="1:9">
      <c r="A1779" s="1" t="s">
        <v>1791</v>
      </c>
      <c r="B1779">
        <f>HYPERLINK("https://www.suredividend.com/sure-analysis-research-database/","Xponential Fitness Inc")</f>
        <v>0</v>
      </c>
      <c r="C1779">
        <v>0.178857142857142</v>
      </c>
      <c r="D1779">
        <v>-0.365426022762227</v>
      </c>
      <c r="E1779">
        <v>-0.255503428365211</v>
      </c>
      <c r="F1779">
        <v>-0.100305276929786</v>
      </c>
      <c r="G1779">
        <v>0.286961946350592</v>
      </c>
      <c r="H1779">
        <v>0.7939130434782601</v>
      </c>
      <c r="I1779">
        <v>0.6840816326530611</v>
      </c>
    </row>
    <row r="1780" spans="1:9">
      <c r="A1780" s="1" t="s">
        <v>1792</v>
      </c>
      <c r="B1780">
        <f>HYPERLINK("https://www.suredividend.com/sure-analysis-research-database/","Expro Group Holdings N.V.")</f>
        <v>0</v>
      </c>
      <c r="C1780">
        <v>0.274465691788526</v>
      </c>
      <c r="D1780">
        <v>0.225527312060573</v>
      </c>
      <c r="E1780">
        <v>0.153180661577608</v>
      </c>
      <c r="F1780">
        <v>0.249862107004964</v>
      </c>
      <c r="G1780">
        <v>0.9877192982456141</v>
      </c>
      <c r="H1780">
        <v>0.363417569193742</v>
      </c>
      <c r="I1780">
        <v>-0.551464766429137</v>
      </c>
    </row>
    <row r="1781" spans="1:9">
      <c r="A1781" s="1" t="s">
        <v>1793</v>
      </c>
      <c r="B1781">
        <f>HYPERLINK("https://www.suredividend.com/sure-analysis-XRX/","Xerox Holdings Corp")</f>
        <v>0</v>
      </c>
      <c r="C1781">
        <v>0.033244680851063</v>
      </c>
      <c r="D1781">
        <v>0.09074829263499201</v>
      </c>
      <c r="E1781">
        <v>-0.03453074715143</v>
      </c>
      <c r="F1781">
        <v>0.121535796766743</v>
      </c>
      <c r="G1781">
        <v>-0.029938325551199</v>
      </c>
      <c r="H1781">
        <v>-0.268023852813445</v>
      </c>
      <c r="I1781">
        <v>-0.383152195485976</v>
      </c>
    </row>
    <row r="1782" spans="1:9">
      <c r="A1782" s="1" t="s">
        <v>1794</v>
      </c>
      <c r="B1782">
        <f>HYPERLINK("https://www.suredividend.com/sure-analysis-research-database/","22nd Century Group Inc")</f>
        <v>0</v>
      </c>
      <c r="C1782">
        <v>-0.300894854586129</v>
      </c>
      <c r="D1782">
        <v>-0.7181637806637801</v>
      </c>
      <c r="E1782">
        <v>-0.8034591194968551</v>
      </c>
      <c r="F1782">
        <v>-0.773673728046351</v>
      </c>
      <c r="G1782">
        <v>-0.8873873873873871</v>
      </c>
      <c r="H1782">
        <v>-0.9332264957264951</v>
      </c>
      <c r="I1782">
        <v>-0.9169986719787511</v>
      </c>
    </row>
    <row r="1783" spans="1:9">
      <c r="A1783" s="1" t="s">
        <v>1795</v>
      </c>
      <c r="B1783">
        <f>HYPERLINK("https://www.suredividend.com/sure-analysis-research-database/","Yelp Inc")</f>
        <v>0</v>
      </c>
      <c r="C1783">
        <v>0.180673419107582</v>
      </c>
      <c r="D1783">
        <v>0.562115175660992</v>
      </c>
      <c r="E1783">
        <v>0.329531442663378</v>
      </c>
      <c r="F1783">
        <v>0.577542062911485</v>
      </c>
      <c r="G1783">
        <v>0.315741305674191</v>
      </c>
      <c r="H1783">
        <v>0.181643835616438</v>
      </c>
      <c r="I1783">
        <v>0.137394514767932</v>
      </c>
    </row>
    <row r="1784" spans="1:9">
      <c r="A1784" s="1" t="s">
        <v>1796</v>
      </c>
      <c r="B1784">
        <f>HYPERLINK("https://www.suredividend.com/sure-analysis-research-database/","Yext Inc")</f>
        <v>0</v>
      </c>
      <c r="C1784">
        <v>-0.167404782993799</v>
      </c>
      <c r="D1784">
        <v>0.154791154791154</v>
      </c>
      <c r="E1784">
        <v>0.200510855683269</v>
      </c>
      <c r="F1784">
        <v>0.439509954058193</v>
      </c>
      <c r="G1784">
        <v>1.088888888888889</v>
      </c>
      <c r="H1784">
        <v>-0.263322884012539</v>
      </c>
      <c r="I1784">
        <v>-0.562587249883666</v>
      </c>
    </row>
    <row r="1785" spans="1:9">
      <c r="A1785" s="1" t="s">
        <v>1797</v>
      </c>
      <c r="B1785">
        <f>HYPERLINK("https://www.suredividend.com/sure-analysis-research-database/","Y-Mabs Therapeutics Inc")</f>
        <v>0</v>
      </c>
      <c r="C1785">
        <v>-0.171686746987951</v>
      </c>
      <c r="D1785">
        <v>-0.104234527687296</v>
      </c>
      <c r="E1785">
        <v>0.175213675213675</v>
      </c>
      <c r="F1785">
        <v>0.127049180327868</v>
      </c>
      <c r="G1785">
        <v>-0.68803176403857</v>
      </c>
      <c r="H1785">
        <v>-0.8392282958199351</v>
      </c>
      <c r="I1785">
        <v>-0.770833333333333</v>
      </c>
    </row>
    <row r="1786" spans="1:9">
      <c r="A1786" s="1" t="s">
        <v>1798</v>
      </c>
      <c r="B1786">
        <f>HYPERLINK("https://www.suredividend.com/sure-analysis-YORW/","York Water Co.")</f>
        <v>0</v>
      </c>
      <c r="C1786">
        <v>-0.021917148362235</v>
      </c>
      <c r="D1786">
        <v>-0.020841772273981</v>
      </c>
      <c r="E1786">
        <v>-0.112613518167277</v>
      </c>
      <c r="F1786">
        <v>-0.08420323877692301</v>
      </c>
      <c r="G1786">
        <v>-0.022827951788674</v>
      </c>
      <c r="H1786">
        <v>-0.131039500149783</v>
      </c>
      <c r="I1786">
        <v>0.522907361781437</v>
      </c>
    </row>
    <row r="1787" spans="1:9">
      <c r="A1787" s="1" t="s">
        <v>1799</v>
      </c>
      <c r="B1787">
        <f>HYPERLINK("https://www.suredividend.com/sure-analysis-research-database/","Clear Secure Inc")</f>
        <v>0</v>
      </c>
      <c r="C1787">
        <v>0.060632308358596</v>
      </c>
      <c r="D1787">
        <v>0.023162151773926</v>
      </c>
      <c r="E1787">
        <v>-0.275347309553047</v>
      </c>
      <c r="F1787">
        <v>-0.099930170164283</v>
      </c>
      <c r="G1787">
        <v>-0.074217583439495</v>
      </c>
      <c r="H1787">
        <v>-0.5227274498951521</v>
      </c>
      <c r="I1787">
        <v>-0.37787532611374</v>
      </c>
    </row>
    <row r="1788" spans="1:9">
      <c r="A1788" s="1" t="s">
        <v>1800</v>
      </c>
      <c r="B1788">
        <f>HYPERLINK("https://www.suredividend.com/sure-analysis-research-database/","Ziff Davis Inc")</f>
        <v>0</v>
      </c>
      <c r="C1788">
        <v>0.024251069900142</v>
      </c>
      <c r="D1788">
        <v>0.06009153993798801</v>
      </c>
      <c r="E1788">
        <v>-0.228869079583288</v>
      </c>
      <c r="F1788">
        <v>-0.09228824273072</v>
      </c>
      <c r="G1788">
        <v>-0.137226628214371</v>
      </c>
      <c r="H1788">
        <v>-0.425141953108236</v>
      </c>
      <c r="I1788">
        <v>-0.011835948252133</v>
      </c>
    </row>
    <row r="1789" spans="1:9">
      <c r="A1789" s="1" t="s">
        <v>1801</v>
      </c>
      <c r="B1789">
        <f>HYPERLINK("https://www.suredividend.com/sure-analysis-research-database/","Zeta Global Holdings Corp")</f>
        <v>0</v>
      </c>
      <c r="C1789">
        <v>0.167076167076166</v>
      </c>
      <c r="D1789">
        <v>0.029252437703141</v>
      </c>
      <c r="E1789">
        <v>-0.030612244897959</v>
      </c>
      <c r="F1789">
        <v>0.162790697674418</v>
      </c>
      <c r="G1789">
        <v>0.527331189710611</v>
      </c>
      <c r="H1789">
        <v>0.6074450084602361</v>
      </c>
      <c r="I1789">
        <v>0.06861642294713101</v>
      </c>
    </row>
    <row r="1790" spans="1:9">
      <c r="A1790" s="1" t="s">
        <v>1802</v>
      </c>
      <c r="B1790">
        <f>HYPERLINK("https://www.suredividend.com/sure-analysis-research-database/","Olympic Steel Inc.")</f>
        <v>0</v>
      </c>
      <c r="C1790">
        <v>0.029650690495532</v>
      </c>
      <c r="D1790">
        <v>0.090256930765459</v>
      </c>
      <c r="E1790">
        <v>0.047754457606242</v>
      </c>
      <c r="F1790">
        <v>0.522645980304709</v>
      </c>
      <c r="G1790">
        <v>0.715561871891178</v>
      </c>
      <c r="H1790">
        <v>0.7597934065018641</v>
      </c>
      <c r="I1790">
        <v>1.340741835104664</v>
      </c>
    </row>
    <row r="1791" spans="1:9">
      <c r="A1791" s="1" t="s">
        <v>1803</v>
      </c>
      <c r="B1791">
        <f>HYPERLINK("https://www.suredividend.com/sure-analysis-research-database/","Lightning eMotors Inc")</f>
        <v>0</v>
      </c>
      <c r="C1791">
        <v>-0.037974683544303</v>
      </c>
      <c r="D1791">
        <v>-0.02061855670103</v>
      </c>
      <c r="E1791">
        <v>-0.8010262854749181</v>
      </c>
      <c r="F1791">
        <v>-0.481582537517053</v>
      </c>
      <c r="G1791">
        <v>-0.9520202020202021</v>
      </c>
      <c r="H1791">
        <v>-0.9703588143525741</v>
      </c>
      <c r="I1791">
        <v>-0.612244897959183</v>
      </c>
    </row>
    <row r="1792" spans="1:9">
      <c r="A1792" s="1" t="s">
        <v>1804</v>
      </c>
      <c r="B1792">
        <f>HYPERLINK("https://www.suredividend.com/sure-analysis-research-database/","Ermenegildo Zegna N.V.")</f>
        <v>0</v>
      </c>
      <c r="C1792">
        <v>0.2472</v>
      </c>
      <c r="D1792">
        <v>0.201078582434514</v>
      </c>
      <c r="E1792">
        <v>0.301585446287684</v>
      </c>
      <c r="F1792">
        <v>0.500495673683095</v>
      </c>
      <c r="G1792">
        <v>0.428204987266164</v>
      </c>
      <c r="H1792">
        <v>0.462778434573739</v>
      </c>
      <c r="I1792">
        <v>0.462778434573739</v>
      </c>
    </row>
    <row r="1793" spans="1:9">
      <c r="A1793" s="1" t="s">
        <v>1805</v>
      </c>
      <c r="B1793">
        <f>HYPERLINK("https://www.suredividend.com/sure-analysis-research-database/","ZimVie Inc")</f>
        <v>0</v>
      </c>
      <c r="C1793">
        <v>0.268199233716475</v>
      </c>
      <c r="D1793">
        <v>0.7172503242542151</v>
      </c>
      <c r="E1793">
        <v>0.213565536205316</v>
      </c>
      <c r="F1793">
        <v>0.417558886509636</v>
      </c>
      <c r="G1793">
        <v>-0.325865580448065</v>
      </c>
      <c r="H1793">
        <v>-0.481394437916177</v>
      </c>
      <c r="I1793">
        <v>-0.481394437916177</v>
      </c>
    </row>
    <row r="1794" spans="1:9">
      <c r="A1794" s="1" t="s">
        <v>1806</v>
      </c>
      <c r="B1794">
        <f>HYPERLINK("https://www.suredividend.com/sure-analysis-research-database/","ZipRecruiter Inc")</f>
        <v>0</v>
      </c>
      <c r="C1794">
        <v>0.006172839506172</v>
      </c>
      <c r="D1794">
        <v>0.09730722154222701</v>
      </c>
      <c r="E1794">
        <v>-0.171441774491682</v>
      </c>
      <c r="F1794">
        <v>0.09196102314250801</v>
      </c>
      <c r="G1794">
        <v>-0.023952095808383</v>
      </c>
      <c r="H1794">
        <v>-0.3420183486238531</v>
      </c>
      <c r="I1794">
        <v>-0.150236966824644</v>
      </c>
    </row>
    <row r="1795" spans="1:9">
      <c r="A1795" s="1" t="s">
        <v>1807</v>
      </c>
      <c r="B1795">
        <f>HYPERLINK("https://www.suredividend.com/sure-analysis-research-database/","Zentalis Pharmaceuticals Inc")</f>
        <v>0</v>
      </c>
      <c r="C1795">
        <v>-0.076352067868504</v>
      </c>
      <c r="D1795">
        <v>0.225035161744022</v>
      </c>
      <c r="E1795">
        <v>0.12194074710176</v>
      </c>
      <c r="F1795">
        <v>0.2974180734856</v>
      </c>
      <c r="G1795">
        <v>-0.136198347107438</v>
      </c>
      <c r="H1795">
        <v>-0.490444617784711</v>
      </c>
      <c r="I1795">
        <v>0.126293103448275</v>
      </c>
    </row>
    <row r="1796" spans="1:9">
      <c r="A1796" s="1" t="s">
        <v>1808</v>
      </c>
      <c r="B1796">
        <f>HYPERLINK("https://www.suredividend.com/sure-analysis-research-database/","Zumiez Inc")</f>
        <v>0</v>
      </c>
      <c r="C1796">
        <v>0.103828306264501</v>
      </c>
      <c r="D1796">
        <v>0.173242909987669</v>
      </c>
      <c r="E1796">
        <v>-0.322293447293447</v>
      </c>
      <c r="F1796">
        <v>-0.124655013799447</v>
      </c>
      <c r="G1796">
        <v>-0.309756982227058</v>
      </c>
      <c r="H1796">
        <v>-0.5690670289855071</v>
      </c>
      <c r="I1796">
        <v>-0.190212765957446</v>
      </c>
    </row>
    <row r="1797" spans="1:9">
      <c r="A1797" s="1" t="s">
        <v>1809</v>
      </c>
      <c r="B1797">
        <f>HYPERLINK("https://www.suredividend.com/sure-analysis-research-database/","Zuora Inc")</f>
        <v>0</v>
      </c>
      <c r="C1797">
        <v>-0.031333930170098</v>
      </c>
      <c r="D1797">
        <v>0.468113975576662</v>
      </c>
      <c r="E1797">
        <v>0.25522041763341</v>
      </c>
      <c r="F1797">
        <v>0.7012578616352201</v>
      </c>
      <c r="G1797">
        <v>0.217097862767154</v>
      </c>
      <c r="H1797">
        <v>-0.365767878077373</v>
      </c>
      <c r="I1797">
        <v>-0.5702938840349481</v>
      </c>
    </row>
    <row r="1798" spans="1:9">
      <c r="A1798" s="1" t="s">
        <v>1810</v>
      </c>
      <c r="B1798">
        <f>HYPERLINK("https://www.suredividend.com/sure-analysis-research-database/","Zurn Elkay Water Solutions Corp")</f>
        <v>0</v>
      </c>
      <c r="C1798">
        <v>0.125793206420306</v>
      </c>
      <c r="D1798">
        <v>0.405955732905704</v>
      </c>
      <c r="E1798">
        <v>0.347535475569217</v>
      </c>
      <c r="F1798">
        <v>0.434823977164605</v>
      </c>
      <c r="G1798">
        <v>0.076289513314443</v>
      </c>
      <c r="H1798">
        <v>-0.4709143218019781</v>
      </c>
      <c r="I1798">
        <v>0.035472485820618</v>
      </c>
    </row>
    <row r="1799" spans="1:9">
      <c r="A1799" s="1" t="s">
        <v>1811</v>
      </c>
      <c r="B1799">
        <f>HYPERLINK("https://www.suredividend.com/sure-analysis-research-database/","Zynex Inc")</f>
        <v>0</v>
      </c>
      <c r="C1799">
        <v>-0.09957627118644001</v>
      </c>
      <c r="D1799">
        <v>-0.416208791208791</v>
      </c>
      <c r="E1799">
        <v>-0.3768328445747801</v>
      </c>
      <c r="F1799">
        <v>-0.388928828181164</v>
      </c>
      <c r="G1799">
        <v>0.011904761904761</v>
      </c>
      <c r="H1799">
        <v>-0.367013195913139</v>
      </c>
      <c r="I1799">
        <v>43.94976203067161</v>
      </c>
    </row>
  </sheetData>
  <autoFilter ref="A1:I1799"/>
  <conditionalFormatting sqref="A1:I1">
    <cfRule type="cellIs" dxfId="7" priority="10" operator="notEqual">
      <formula>-13.345</formula>
    </cfRule>
  </conditionalFormatting>
  <conditionalFormatting sqref="A2:A1799">
    <cfRule type="cellIs" dxfId="0" priority="1" operator="notEqual">
      <formula>"None"</formula>
    </cfRule>
  </conditionalFormatting>
  <conditionalFormatting sqref="B2:B1799">
    <cfRule type="cellIs" dxfId="0" priority="2" operator="notEqual">
      <formula>"None"</formula>
    </cfRule>
  </conditionalFormatting>
  <conditionalFormatting sqref="C2:C1799">
    <cfRule type="cellIs" dxfId="3" priority="3" operator="notEqual">
      <formula>"None"</formula>
    </cfRule>
  </conditionalFormatting>
  <conditionalFormatting sqref="D2:D1799">
    <cfRule type="cellIs" dxfId="3" priority="4" operator="notEqual">
      <formula>"None"</formula>
    </cfRule>
  </conditionalFormatting>
  <conditionalFormatting sqref="E2:E1799">
    <cfRule type="cellIs" dxfId="3" priority="5" operator="notEqual">
      <formula>"None"</formula>
    </cfRule>
  </conditionalFormatting>
  <conditionalFormatting sqref="F2:F1799">
    <cfRule type="cellIs" dxfId="3" priority="6" operator="notEqual">
      <formula>"None"</formula>
    </cfRule>
  </conditionalFormatting>
  <conditionalFormatting sqref="G2:G1799">
    <cfRule type="cellIs" dxfId="3" priority="7" operator="notEqual">
      <formula>"None"</formula>
    </cfRule>
  </conditionalFormatting>
  <conditionalFormatting sqref="H2:H1799">
    <cfRule type="cellIs" dxfId="3" priority="8" operator="notEqual">
      <formula>"None"</formula>
    </cfRule>
  </conditionalFormatting>
  <conditionalFormatting sqref="I2:I1799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1831</v>
      </c>
      <c r="B1" s="1"/>
    </row>
    <row r="2" spans="1:2">
      <c r="A2" s="1" t="s">
        <v>1832</v>
      </c>
    </row>
    <row r="3" spans="1:2">
      <c r="A3" s="1" t="s">
        <v>1833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2023-08-04T12:52:35Z</dcterms:created>
  <dcterms:modified xsi:type="dcterms:W3CDTF">2023-08-04T12:52:35Z</dcterms:modified>
</cp:coreProperties>
</file>