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gamaleasingcsp-my.sharepoint.com/personal/hernan_garcia_gamaleasing_cl/Documents/Escritorio/Respaldo LOP/"/>
    </mc:Choice>
  </mc:AlternateContent>
  <xr:revisionPtr revIDLastSave="2" documentId="8_{2600F597-AF08-4EDE-B38D-BFD6FCFB2B3E}" xr6:coauthVersionLast="47" xr6:coauthVersionMax="47" xr10:uidLastSave="{FCF8F52D-D6AF-4AF8-BF57-47FC6A971286}"/>
  <bookViews>
    <workbookView xWindow="-110" yWindow="-110" windowWidth="19420" windowHeight="10300" tabRatio="870" xr2:uid="{00000000-000D-0000-FFFF-FFFF00000000}"/>
  </bookViews>
  <sheets>
    <sheet name="Carátula" sheetId="1" r:id="rId1"/>
    <sheet name="Resumen" sheetId="5" r:id="rId2"/>
    <sheet name="Accesorios&amp;Equipos" sheetId="15" r:id="rId3"/>
    <sheet name="Curse" sheetId="19" r:id="rId4"/>
    <sheet name="Resumen 365 nuevo" sheetId="18" r:id="rId5"/>
    <sheet name="Tablas&amp;Gastos" sheetId="2" r:id="rId6"/>
    <sheet name="Flujo (Propuesto)" sheetId="10" r:id="rId7"/>
    <sheet name="Traslados" sheetId="3" r:id="rId8"/>
    <sheet name="Tablas" sheetId="13" r:id="rId9"/>
    <sheet name="VR y % Depreciación" sheetId="12" r:id="rId10"/>
    <sheet name="Factor de Costos Km" sheetId="14" r:id="rId11"/>
    <sheet name="P. Circulación" sheetId="11" r:id="rId12"/>
  </sheets>
  <definedNames>
    <definedName name="_xlnm._FilterDatabase" localSheetId="8" hidden="1">Tablas!$B:$B</definedName>
    <definedName name="_xlnm.Extract" localSheetId="8">Tablas!$B$1</definedName>
    <definedName name="_xlnm.Print_Area" localSheetId="2">'Accesorios&amp;Equipos'!$A$1:$N$78</definedName>
    <definedName name="_xlnm.Print_Area" localSheetId="0">Carátula!$B$2:$O$106</definedName>
    <definedName name="_xlnm.Print_Area" localSheetId="1">Resumen!$A$1:$J$82</definedName>
    <definedName name="Cambio_Neumaticos">Tablas!$J$2:$J$13</definedName>
    <definedName name="Lugar_de_Traslado">Tablas!$H$2:$H$39</definedName>
    <definedName name="Tipo_Negocio">Tablas!$L$2:$L$7</definedName>
    <definedName name="Tipo_Reemplazo">Tablas!$D$2:$D$5</definedName>
    <definedName name="Tipo_Uso">Tablas!$B$2:$B$8</definedName>
    <definedName name="Tipo_Vehiculo">Tablas!$F$2:$F$7</definedName>
    <definedName name="U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3" i="1" l="1"/>
  <c r="K40" i="1"/>
  <c r="D31" i="2"/>
  <c r="E3" i="19"/>
  <c r="L13" i="15"/>
  <c r="K39" i="1"/>
  <c r="B17" i="19"/>
  <c r="B6" i="19"/>
  <c r="C9" i="19" l="1"/>
  <c r="E4" i="19"/>
  <c r="E7" i="19"/>
  <c r="E8" i="19"/>
  <c r="C27" i="19"/>
  <c r="C26" i="19"/>
  <c r="C25" i="19"/>
  <c r="C24" i="19"/>
  <c r="C19" i="19"/>
  <c r="C11" i="19"/>
  <c r="C18" i="19" s="1"/>
  <c r="C8" i="19"/>
  <c r="C7" i="19"/>
  <c r="C5" i="19"/>
  <c r="C15" i="19" s="1"/>
  <c r="C4" i="19"/>
  <c r="C16" i="19" s="1"/>
  <c r="C3" i="19"/>
  <c r="E6" i="19" l="1"/>
  <c r="K41" i="1"/>
  <c r="G15" i="1" l="1"/>
  <c r="H33" i="5"/>
  <c r="H34" i="5"/>
  <c r="H35" i="5"/>
  <c r="H32" i="5"/>
  <c r="H30" i="5"/>
  <c r="AG2" i="18"/>
  <c r="H2" i="18" l="1"/>
  <c r="I2" i="18"/>
  <c r="J2" i="18"/>
  <c r="AN2" i="18"/>
  <c r="AM2" i="18"/>
  <c r="AJ2" i="18"/>
  <c r="AI2" i="18"/>
  <c r="W2" i="18"/>
  <c r="U2" i="18"/>
  <c r="T2" i="18"/>
  <c r="R2" i="18"/>
  <c r="Q2" i="18"/>
  <c r="P2" i="18"/>
  <c r="N2" i="18"/>
  <c r="M2" i="18"/>
  <c r="G2" i="18"/>
  <c r="A2" i="18"/>
  <c r="G92" i="1"/>
  <c r="C80" i="15" l="1"/>
  <c r="C2" i="18" s="1"/>
  <c r="I29" i="1" l="1"/>
  <c r="D85" i="2" s="1"/>
  <c r="AB2" i="18" l="1"/>
  <c r="G86" i="1"/>
  <c r="B2" i="18" l="1"/>
  <c r="L8" i="15"/>
  <c r="C6" i="19"/>
  <c r="C17" i="19" s="1"/>
  <c r="E5" i="19"/>
  <c r="Z2" i="18"/>
  <c r="V2" i="18" l="1"/>
  <c r="K52" i="1" l="1"/>
  <c r="S2" i="18" s="1"/>
  <c r="L3" i="15"/>
  <c r="D10" i="2" l="1"/>
  <c r="I107" i="2" l="1"/>
  <c r="I105" i="2"/>
  <c r="O107" i="2"/>
  <c r="O105" i="2"/>
  <c r="G47" i="1" l="1"/>
  <c r="C5" i="5"/>
  <c r="E49" i="5"/>
  <c r="E10" i="2"/>
  <c r="D13" i="2" l="1"/>
  <c r="E13" i="2" s="1"/>
  <c r="C28" i="10"/>
  <c r="F69" i="15"/>
  <c r="G52" i="1" s="1"/>
  <c r="F2" i="18" l="1"/>
  <c r="D14" i="2"/>
  <c r="G54" i="1"/>
  <c r="AC2" i="18" s="1"/>
  <c r="C16" i="10"/>
  <c r="E176" i="2"/>
  <c r="G97" i="1" l="1"/>
  <c r="AE2" i="18" s="1"/>
  <c r="E48" i="5"/>
  <c r="E178" i="2"/>
  <c r="D86" i="2"/>
  <c r="E180" i="2" l="1"/>
  <c r="E179" i="2" s="1"/>
  <c r="E177" i="2"/>
  <c r="C30" i="10"/>
  <c r="C37" i="10"/>
  <c r="C9" i="10"/>
  <c r="C33" i="10"/>
  <c r="C26" i="10"/>
  <c r="C6" i="10"/>
  <c r="C35" i="10"/>
  <c r="C34" i="10"/>
  <c r="E182" i="2" l="1"/>
  <c r="E181" i="2"/>
  <c r="Q36" i="1"/>
  <c r="Q35" i="1"/>
  <c r="Q33" i="1"/>
  <c r="Q59" i="1"/>
  <c r="E184" i="2" l="1"/>
  <c r="E183" i="2" s="1"/>
  <c r="C25" i="10"/>
  <c r="L21" i="15" l="1"/>
  <c r="H21" i="15"/>
  <c r="D20" i="15"/>
  <c r="D19" i="15"/>
  <c r="D18" i="15"/>
  <c r="C28" i="19"/>
  <c r="L12" i="15"/>
  <c r="L11" i="15"/>
  <c r="L9" i="15"/>
  <c r="L10" i="15" s="1"/>
  <c r="D8" i="15"/>
  <c r="D7" i="15"/>
  <c r="L2" i="15"/>
  <c r="F46" i="15"/>
  <c r="G51" i="1" s="1"/>
  <c r="E2" i="18" l="1"/>
  <c r="D2" i="18"/>
  <c r="E41" i="5"/>
  <c r="C29" i="10"/>
  <c r="C15" i="10"/>
  <c r="C55" i="10" s="1"/>
  <c r="C10" i="10"/>
  <c r="H5" i="10" s="1"/>
  <c r="G57" i="1" l="1"/>
  <c r="L2" i="18" s="1"/>
  <c r="D15" i="14"/>
  <c r="D14" i="14"/>
  <c r="D13" i="14"/>
  <c r="D12" i="14"/>
  <c r="D11" i="14"/>
  <c r="D10" i="14"/>
  <c r="K96" i="1" l="1"/>
  <c r="C9" i="14" l="1"/>
  <c r="D9" i="14" s="1"/>
  <c r="C8" i="14"/>
  <c r="D8" i="14" s="1"/>
  <c r="C6" i="14"/>
  <c r="D6" i="14" s="1"/>
  <c r="C7" i="14"/>
  <c r="D7" i="14" s="1"/>
  <c r="B7" i="14"/>
  <c r="B8" i="14" s="1"/>
  <c r="B9" i="14" s="1"/>
  <c r="B10" i="14" s="1"/>
  <c r="B11" i="14" s="1"/>
  <c r="B12" i="14" s="1"/>
  <c r="B13" i="14" s="1"/>
  <c r="B14" i="14" s="1"/>
  <c r="B15" i="14" s="1"/>
  <c r="H29" i="5"/>
  <c r="C46" i="10" l="1"/>
  <c r="C24" i="10"/>
  <c r="C14" i="10"/>
  <c r="C11" i="10"/>
  <c r="C7" i="10"/>
  <c r="C5" i="10"/>
  <c r="M5" i="10" l="1"/>
  <c r="AC5" i="10"/>
  <c r="R5" i="10"/>
  <c r="AH5" i="10"/>
  <c r="K5" i="10"/>
  <c r="AA5" i="10"/>
  <c r="T5" i="10"/>
  <c r="AJ5" i="10"/>
  <c r="Q5" i="10"/>
  <c r="AG5" i="10"/>
  <c r="V5" i="10"/>
  <c r="O5" i="10"/>
  <c r="AE5" i="10"/>
  <c r="X5" i="10"/>
  <c r="U5" i="10"/>
  <c r="J5" i="10"/>
  <c r="Z5" i="10"/>
  <c r="S5" i="10"/>
  <c r="AI5" i="10"/>
  <c r="L5" i="10"/>
  <c r="AB5" i="10"/>
  <c r="I5" i="10"/>
  <c r="Y5" i="10"/>
  <c r="N5" i="10"/>
  <c r="AD5" i="10"/>
  <c r="W5" i="10"/>
  <c r="P5" i="10"/>
  <c r="AF5" i="10"/>
  <c r="C27" i="10"/>
  <c r="C54" i="10"/>
  <c r="C66" i="10"/>
  <c r="C32" i="10"/>
  <c r="C31" i="10" l="1"/>
  <c r="C56" i="10"/>
  <c r="E57" i="10" s="1"/>
  <c r="E51" i="5"/>
  <c r="E50" i="5"/>
  <c r="E47" i="5"/>
  <c r="E39" i="5"/>
  <c r="E38" i="5"/>
  <c r="E23" i="5"/>
  <c r="E20" i="5"/>
  <c r="H8" i="5" l="1"/>
  <c r="K108" i="2"/>
  <c r="K106" i="2"/>
  <c r="K107" i="2" s="1"/>
  <c r="K104" i="2"/>
  <c r="K105" i="2" s="1"/>
  <c r="C13" i="10" l="1"/>
  <c r="DC12" i="10" l="1"/>
  <c r="CY12" i="10"/>
  <c r="CU12" i="10"/>
  <c r="CQ12" i="10"/>
  <c r="CM12" i="10"/>
  <c r="CI12" i="10"/>
  <c r="CE12" i="10"/>
  <c r="CA12" i="10"/>
  <c r="BW12" i="10"/>
  <c r="BS12" i="10"/>
  <c r="BO12" i="10"/>
  <c r="BK12" i="10"/>
  <c r="BG12" i="10"/>
  <c r="BC12" i="10"/>
  <c r="AY12" i="10"/>
  <c r="AU12" i="10"/>
  <c r="AQ12" i="10"/>
  <c r="AM12" i="10"/>
  <c r="AI12" i="10"/>
  <c r="AE12" i="10"/>
  <c r="AA12" i="10"/>
  <c r="W12" i="10"/>
  <c r="S12" i="10"/>
  <c r="O12" i="10"/>
  <c r="K12" i="10"/>
  <c r="DB12" i="10"/>
  <c r="CX12" i="10"/>
  <c r="CT12" i="10"/>
  <c r="CP12" i="10"/>
  <c r="CL12" i="10"/>
  <c r="CH12" i="10"/>
  <c r="CD12" i="10"/>
  <c r="BZ12" i="10"/>
  <c r="BV12" i="10"/>
  <c r="BR12" i="10"/>
  <c r="BN12" i="10"/>
  <c r="BJ12" i="10"/>
  <c r="BF12" i="10"/>
  <c r="BB12" i="10"/>
  <c r="AX12" i="10"/>
  <c r="AT12" i="10"/>
  <c r="AP12" i="10"/>
  <c r="AL12" i="10"/>
  <c r="AH12" i="10"/>
  <c r="AD12" i="10"/>
  <c r="Z12" i="10"/>
  <c r="V12" i="10"/>
  <c r="R12" i="10"/>
  <c r="N12" i="10"/>
  <c r="J12" i="10"/>
  <c r="DD12" i="10"/>
  <c r="CR12" i="10"/>
  <c r="CJ12" i="10"/>
  <c r="CB12" i="10"/>
  <c r="BT12" i="10"/>
  <c r="BL12" i="10"/>
  <c r="BD12" i="10"/>
  <c r="AV12" i="10"/>
  <c r="AN12" i="10"/>
  <c r="AB12" i="10"/>
  <c r="T12" i="10"/>
  <c r="L12" i="10"/>
  <c r="DA12" i="10"/>
  <c r="CW12" i="10"/>
  <c r="CS12" i="10"/>
  <c r="CO12" i="10"/>
  <c r="CK12" i="10"/>
  <c r="CG12" i="10"/>
  <c r="CC12" i="10"/>
  <c r="BY12" i="10"/>
  <c r="BU12" i="10"/>
  <c r="BQ12" i="10"/>
  <c r="BM12" i="10"/>
  <c r="BI12" i="10"/>
  <c r="BE12" i="10"/>
  <c r="BA12" i="10"/>
  <c r="AW12" i="10"/>
  <c r="AS12" i="10"/>
  <c r="AO12" i="10"/>
  <c r="AK12" i="10"/>
  <c r="AG12" i="10"/>
  <c r="AC12" i="10"/>
  <c r="Y12" i="10"/>
  <c r="U12" i="10"/>
  <c r="Q12" i="10"/>
  <c r="M12" i="10"/>
  <c r="CZ12" i="10"/>
  <c r="CV12" i="10"/>
  <c r="CN12" i="10"/>
  <c r="CF12" i="10"/>
  <c r="BX12" i="10"/>
  <c r="BP12" i="10"/>
  <c r="BH12" i="10"/>
  <c r="AZ12" i="10"/>
  <c r="AR12" i="10"/>
  <c r="AJ12" i="10"/>
  <c r="AF12" i="10"/>
  <c r="X12" i="10"/>
  <c r="P12" i="10"/>
  <c r="I19" i="10"/>
  <c r="DC11" i="10"/>
  <c r="CM11" i="10"/>
  <c r="BW11" i="10"/>
  <c r="BG11" i="10"/>
  <c r="AQ11" i="10"/>
  <c r="AA11" i="10"/>
  <c r="K11" i="10"/>
  <c r="V11" i="10"/>
  <c r="BP11" i="10"/>
  <c r="X11" i="10"/>
  <c r="CP11" i="10"/>
  <c r="BZ11" i="10"/>
  <c r="BJ11" i="10"/>
  <c r="AP11" i="10"/>
  <c r="J11" i="10"/>
  <c r="AJ11" i="10"/>
  <c r="CW11" i="10"/>
  <c r="CG11" i="10"/>
  <c r="BQ11" i="10"/>
  <c r="BA11" i="10"/>
  <c r="AK11" i="10"/>
  <c r="U11" i="10"/>
  <c r="CZ11" i="10"/>
  <c r="CB11" i="10"/>
  <c r="AN11" i="10"/>
  <c r="L11" i="10"/>
  <c r="BY11" i="10"/>
  <c r="AC11" i="10"/>
  <c r="BH11" i="10"/>
  <c r="CA11" i="10"/>
  <c r="AE11" i="10"/>
  <c r="AD11" i="10"/>
  <c r="AF11" i="10"/>
  <c r="BN11" i="10"/>
  <c r="AZ11" i="10"/>
  <c r="CK11" i="10"/>
  <c r="AO11" i="10"/>
  <c r="DD11" i="10"/>
  <c r="CY11" i="10"/>
  <c r="CI11" i="10"/>
  <c r="BS11" i="10"/>
  <c r="BC11" i="10"/>
  <c r="AM11" i="10"/>
  <c r="W11" i="10"/>
  <c r="AT11" i="10"/>
  <c r="N11" i="10"/>
  <c r="BD11" i="10"/>
  <c r="DB11" i="10"/>
  <c r="CL11" i="10"/>
  <c r="BV11" i="10"/>
  <c r="BF11" i="10"/>
  <c r="AH11" i="10"/>
  <c r="CF11" i="10"/>
  <c r="T11" i="10"/>
  <c r="CS11" i="10"/>
  <c r="CC11" i="10"/>
  <c r="BM11" i="10"/>
  <c r="AW11" i="10"/>
  <c r="AG11" i="10"/>
  <c r="Q11" i="10"/>
  <c r="CV11" i="10"/>
  <c r="BT11" i="10"/>
  <c r="AB11" i="10"/>
  <c r="BL11" i="10"/>
  <c r="BI11" i="10"/>
  <c r="M11" i="10"/>
  <c r="CR11" i="10"/>
  <c r="CQ11" i="10"/>
  <c r="BK11" i="10"/>
  <c r="O11" i="10"/>
  <c r="BX11" i="10"/>
  <c r="CD11" i="10"/>
  <c r="AX11" i="10"/>
  <c r="DA11" i="10"/>
  <c r="BE11" i="10"/>
  <c r="Y11" i="10"/>
  <c r="AV11" i="10"/>
  <c r="CU11" i="10"/>
  <c r="CE11" i="10"/>
  <c r="BO11" i="10"/>
  <c r="AY11" i="10"/>
  <c r="AI11" i="10"/>
  <c r="S11" i="10"/>
  <c r="AL11" i="10"/>
  <c r="CN11" i="10"/>
  <c r="AR11" i="10"/>
  <c r="CX11" i="10"/>
  <c r="CH11" i="10"/>
  <c r="BR11" i="10"/>
  <c r="BB11" i="10"/>
  <c r="Z11" i="10"/>
  <c r="CO11" i="10"/>
  <c r="AS11" i="10"/>
  <c r="P11" i="10"/>
  <c r="AU11" i="10"/>
  <c r="CT11" i="10"/>
  <c r="R11" i="10"/>
  <c r="BU11" i="10"/>
  <c r="CJ11" i="10"/>
  <c r="DC10" i="10"/>
  <c r="CM10" i="10"/>
  <c r="BW10" i="10"/>
  <c r="BG10" i="10"/>
  <c r="AQ10" i="10"/>
  <c r="AA10" i="10"/>
  <c r="K10" i="10"/>
  <c r="BL10" i="10"/>
  <c r="P10" i="10"/>
  <c r="CP10" i="10"/>
  <c r="BZ10" i="10"/>
  <c r="BJ10" i="10"/>
  <c r="AT10" i="10"/>
  <c r="AD10" i="10"/>
  <c r="N10" i="10"/>
  <c r="CB10" i="10"/>
  <c r="AJ10" i="10"/>
  <c r="CW10" i="10"/>
  <c r="CG10" i="10"/>
  <c r="BQ10" i="10"/>
  <c r="BA10" i="10"/>
  <c r="AK10" i="10"/>
  <c r="U10" i="10"/>
  <c r="CR10" i="10"/>
  <c r="AR10" i="10"/>
  <c r="CS10" i="10"/>
  <c r="BM10" i="10"/>
  <c r="AG10" i="10"/>
  <c r="Q10" i="10"/>
  <c r="AF10" i="10"/>
  <c r="AU10" i="10"/>
  <c r="BX10" i="10"/>
  <c r="CT10" i="10"/>
  <c r="AX10" i="10"/>
  <c r="R10" i="10"/>
  <c r="DA10" i="10"/>
  <c r="BE10" i="10"/>
  <c r="Y10" i="10"/>
  <c r="CY10" i="10"/>
  <c r="CI10" i="10"/>
  <c r="BS10" i="10"/>
  <c r="BC10" i="10"/>
  <c r="AM10" i="10"/>
  <c r="W10" i="10"/>
  <c r="DD10" i="10"/>
  <c r="AZ10" i="10"/>
  <c r="DB10" i="10"/>
  <c r="CL10" i="10"/>
  <c r="BV10" i="10"/>
  <c r="BF10" i="10"/>
  <c r="AP10" i="10"/>
  <c r="Z10" i="10"/>
  <c r="J10" i="10"/>
  <c r="BP10" i="10"/>
  <c r="X10" i="10"/>
  <c r="CC10" i="10"/>
  <c r="AW10" i="10"/>
  <c r="CF10" i="10"/>
  <c r="AE10" i="10"/>
  <c r="BN10" i="10"/>
  <c r="CJ10" i="10"/>
  <c r="BU10" i="10"/>
  <c r="CZ10" i="10"/>
  <c r="CU10" i="10"/>
  <c r="CE10" i="10"/>
  <c r="BO10" i="10"/>
  <c r="AY10" i="10"/>
  <c r="AI10" i="10"/>
  <c r="S10" i="10"/>
  <c r="CN10" i="10"/>
  <c r="AN10" i="10"/>
  <c r="CX10" i="10"/>
  <c r="CH10" i="10"/>
  <c r="BR10" i="10"/>
  <c r="BB10" i="10"/>
  <c r="AL10" i="10"/>
  <c r="V10" i="10"/>
  <c r="CV10" i="10"/>
  <c r="BH10" i="10"/>
  <c r="L10" i="10"/>
  <c r="CO10" i="10"/>
  <c r="BY10" i="10"/>
  <c r="BI10" i="10"/>
  <c r="AS10" i="10"/>
  <c r="AC10" i="10"/>
  <c r="M10" i="10"/>
  <c r="BT10" i="10"/>
  <c r="T10" i="10"/>
  <c r="CQ10" i="10"/>
  <c r="CA10" i="10"/>
  <c r="BK10" i="10"/>
  <c r="O10" i="10"/>
  <c r="AB10" i="10"/>
  <c r="CD10" i="10"/>
  <c r="AH10" i="10"/>
  <c r="AV10" i="10"/>
  <c r="CK10" i="10"/>
  <c r="AO10" i="10"/>
  <c r="BD10" i="10"/>
  <c r="DD18" i="10"/>
  <c r="AR18" i="10"/>
  <c r="AK18" i="10"/>
  <c r="BC18" i="10"/>
  <c r="AC18" i="10"/>
  <c r="AX18" i="10"/>
  <c r="AS18" i="10"/>
  <c r="AA18" i="10"/>
  <c r="V18" i="10"/>
  <c r="BT18" i="10"/>
  <c r="O18" i="10"/>
  <c r="CE18" i="10"/>
  <c r="S18" i="10"/>
  <c r="BZ18" i="10"/>
  <c r="N18" i="10"/>
  <c r="CB18" i="10"/>
  <c r="CO18" i="10"/>
  <c r="AQ18" i="10"/>
  <c r="AL18" i="10"/>
  <c r="CF18" i="10"/>
  <c r="T18" i="10"/>
  <c r="CQ18" i="10"/>
  <c r="AE18" i="10"/>
  <c r="CL18" i="10"/>
  <c r="Z18" i="10"/>
  <c r="CA18" i="10"/>
  <c r="BV18" i="10"/>
  <c r="BH18" i="10"/>
  <c r="BS18" i="10"/>
  <c r="BU18" i="10"/>
  <c r="CS18" i="10"/>
  <c r="CJ18" i="10"/>
  <c r="CU18" i="10"/>
  <c r="AD18" i="10"/>
  <c r="BR18" i="10"/>
  <c r="I18" i="10"/>
  <c r="DB18" i="10"/>
  <c r="CN18" i="10"/>
  <c r="AB18" i="10"/>
  <c r="CY18" i="10"/>
  <c r="AM18" i="10"/>
  <c r="CT18" i="10"/>
  <c r="AH18" i="10"/>
  <c r="AV18" i="10"/>
  <c r="AO18" i="10"/>
  <c r="BI18" i="10"/>
  <c r="BD18" i="10"/>
  <c r="BQ18" i="10"/>
  <c r="BO18" i="10"/>
  <c r="BM18" i="10"/>
  <c r="BJ18" i="10"/>
  <c r="CG18" i="10"/>
  <c r="BL18" i="10"/>
  <c r="AW18" i="10"/>
  <c r="CK18" i="10"/>
  <c r="DA18" i="10"/>
  <c r="BP18" i="10"/>
  <c r="CW18" i="10"/>
  <c r="K18" i="10"/>
  <c r="J18" i="10"/>
  <c r="CC18" i="10"/>
  <c r="BN18" i="10"/>
  <c r="BG18" i="10"/>
  <c r="X18" i="10"/>
  <c r="CP18" i="10"/>
  <c r="P18" i="10"/>
  <c r="CV18" i="10"/>
  <c r="AU18" i="10"/>
  <c r="Y18" i="10"/>
  <c r="BX18" i="10"/>
  <c r="L18" i="10"/>
  <c r="CI18" i="10"/>
  <c r="W18" i="10"/>
  <c r="CD18" i="10"/>
  <c r="R18" i="10"/>
  <c r="CM18" i="10"/>
  <c r="CH18" i="10"/>
  <c r="CZ18" i="10"/>
  <c r="AN18" i="10"/>
  <c r="U18" i="10"/>
  <c r="AY18" i="10"/>
  <c r="Q18" i="10"/>
  <c r="AT18" i="10"/>
  <c r="AG18" i="10"/>
  <c r="AF18" i="10"/>
  <c r="DC18" i="10"/>
  <c r="CX18" i="10"/>
  <c r="M18" i="10"/>
  <c r="AZ18" i="10"/>
  <c r="BE18" i="10"/>
  <c r="BK18" i="10"/>
  <c r="BA18" i="10"/>
  <c r="BF18" i="10"/>
  <c r="BY18" i="10"/>
  <c r="BB18" i="10"/>
  <c r="AI18" i="10"/>
  <c r="CR18" i="10"/>
  <c r="BW18" i="10"/>
  <c r="AJ18" i="10"/>
  <c r="AP18" i="10"/>
  <c r="I10" i="10"/>
  <c r="I11" i="10"/>
  <c r="I12" i="10"/>
  <c r="DB19" i="10"/>
  <c r="CL19" i="10"/>
  <c r="BV19" i="10"/>
  <c r="BF19" i="10"/>
  <c r="AP19" i="10"/>
  <c r="Z19" i="10"/>
  <c r="J19" i="10"/>
  <c r="CO19" i="10"/>
  <c r="BY19" i="10"/>
  <c r="BI19" i="10"/>
  <c r="AS19" i="10"/>
  <c r="AC19" i="10"/>
  <c r="M19" i="10"/>
  <c r="CM19" i="10"/>
  <c r="BG19" i="10"/>
  <c r="AA19" i="10"/>
  <c r="CR19" i="10"/>
  <c r="BL19" i="10"/>
  <c r="AF19" i="10"/>
  <c r="CQ19" i="10"/>
  <c r="BK19" i="10"/>
  <c r="AE19" i="10"/>
  <c r="CV19" i="10"/>
  <c r="BP19" i="10"/>
  <c r="AJ19" i="10"/>
  <c r="CT19" i="10"/>
  <c r="BN19" i="10"/>
  <c r="R19" i="10"/>
  <c r="BQ19" i="10"/>
  <c r="U19" i="10"/>
  <c r="AQ19" i="10"/>
  <c r="AV19" i="10"/>
  <c r="AU19" i="10"/>
  <c r="AZ19" i="10"/>
  <c r="CP19" i="10"/>
  <c r="BZ19" i="10"/>
  <c r="BJ19" i="10"/>
  <c r="AT19" i="10"/>
  <c r="AD19" i="10"/>
  <c r="N19" i="10"/>
  <c r="CS19" i="10"/>
  <c r="CC19" i="10"/>
  <c r="BM19" i="10"/>
  <c r="AW19" i="10"/>
  <c r="Q19" i="10"/>
  <c r="CU19" i="10"/>
  <c r="AI19" i="10"/>
  <c r="CZ19" i="10"/>
  <c r="AN19" i="10"/>
  <c r="AM19" i="10"/>
  <c r="AR19" i="10"/>
  <c r="CX19" i="10"/>
  <c r="CH19" i="10"/>
  <c r="BR19" i="10"/>
  <c r="BB19" i="10"/>
  <c r="AL19" i="10"/>
  <c r="V19" i="10"/>
  <c r="DA19" i="10"/>
  <c r="CK19" i="10"/>
  <c r="BU19" i="10"/>
  <c r="BE19" i="10"/>
  <c r="AO19" i="10"/>
  <c r="Y19" i="10"/>
  <c r="CE19" i="10"/>
  <c r="AY19" i="10"/>
  <c r="S19" i="10"/>
  <c r="CJ19" i="10"/>
  <c r="BD19" i="10"/>
  <c r="X19" i="10"/>
  <c r="CI19" i="10"/>
  <c r="BC19" i="10"/>
  <c r="W19" i="10"/>
  <c r="CN19" i="10"/>
  <c r="BH19" i="10"/>
  <c r="AB19" i="10"/>
  <c r="CD19" i="10"/>
  <c r="AX19" i="10"/>
  <c r="AH19" i="10"/>
  <c r="CW19" i="10"/>
  <c r="CG19" i="10"/>
  <c r="BA19" i="10"/>
  <c r="AK19" i="10"/>
  <c r="DC19" i="10"/>
  <c r="BW19" i="10"/>
  <c r="K19" i="10"/>
  <c r="CB19" i="10"/>
  <c r="P19" i="10"/>
  <c r="CA19" i="10"/>
  <c r="O19" i="10"/>
  <c r="CF19" i="10"/>
  <c r="T19" i="10"/>
  <c r="AG19" i="10"/>
  <c r="BO19" i="10"/>
  <c r="BT19" i="10"/>
  <c r="CY19" i="10"/>
  <c r="BS19" i="10"/>
  <c r="DD19" i="10"/>
  <c r="BX19" i="10"/>
  <c r="L19" i="10"/>
  <c r="C12" i="10"/>
  <c r="AJ13" i="10" l="1"/>
  <c r="C67" i="10"/>
  <c r="I8" i="10"/>
  <c r="BS20" i="10"/>
  <c r="BS52" i="10" s="1"/>
  <c r="W20" i="10"/>
  <c r="W52" i="10" s="1"/>
  <c r="BP20" i="10"/>
  <c r="BP52" i="10" s="1"/>
  <c r="AC20" i="10"/>
  <c r="AC52" i="10" s="1"/>
  <c r="CO20" i="10"/>
  <c r="CO52" i="10" s="1"/>
  <c r="BF20" i="10"/>
  <c r="BF52" i="10" s="1"/>
  <c r="CS13" i="10"/>
  <c r="CP20" i="10"/>
  <c r="CP52" i="10" s="1"/>
  <c r="T20" i="10"/>
  <c r="T52" i="10" s="1"/>
  <c r="Y20" i="10"/>
  <c r="Y52" i="10" s="1"/>
  <c r="T13" i="10"/>
  <c r="S20" i="10"/>
  <c r="S52" i="10" s="1"/>
  <c r="AM20" i="10"/>
  <c r="AM52" i="10" s="1"/>
  <c r="CU20" i="10"/>
  <c r="CU52" i="10" s="1"/>
  <c r="CT20" i="10"/>
  <c r="CT52" i="10" s="1"/>
  <c r="BI20" i="10"/>
  <c r="BI52" i="10" s="1"/>
  <c r="Z20" i="10"/>
  <c r="Z52" i="10" s="1"/>
  <c r="DD20" i="10"/>
  <c r="DD52" i="10" s="1"/>
  <c r="BO20" i="10"/>
  <c r="BO52" i="10" s="1"/>
  <c r="V20" i="10"/>
  <c r="V52" i="10" s="1"/>
  <c r="CH20" i="10"/>
  <c r="CH52" i="10" s="1"/>
  <c r="CR20" i="10"/>
  <c r="CR52" i="10" s="1"/>
  <c r="DB20" i="10"/>
  <c r="DB52" i="10" s="1"/>
  <c r="CV13" i="10"/>
  <c r="BP13" i="10"/>
  <c r="AX20" i="10"/>
  <c r="AX52" i="10" s="1"/>
  <c r="CN20" i="10"/>
  <c r="CN52" i="10" s="1"/>
  <c r="AF20" i="10"/>
  <c r="AF52" i="10" s="1"/>
  <c r="AO20" i="10"/>
  <c r="AO52" i="10" s="1"/>
  <c r="BX20" i="10"/>
  <c r="BX52" i="10" s="1"/>
  <c r="BT20" i="10"/>
  <c r="BT52" i="10" s="1"/>
  <c r="AR20" i="10"/>
  <c r="AR52" i="10" s="1"/>
  <c r="BM20" i="10"/>
  <c r="BM52" i="10" s="1"/>
  <c r="AD20" i="10"/>
  <c r="AD52" i="10" s="1"/>
  <c r="AQ20" i="10"/>
  <c r="AQ52" i="10" s="1"/>
  <c r="BN20" i="10"/>
  <c r="BN52" i="10" s="1"/>
  <c r="AY20" i="10"/>
  <c r="AY52" i="10" s="1"/>
  <c r="CC20" i="10"/>
  <c r="CC52" i="10" s="1"/>
  <c r="AZ20" i="10"/>
  <c r="AZ52" i="10" s="1"/>
  <c r="BL20" i="10"/>
  <c r="BL52" i="10" s="1"/>
  <c r="P20" i="10"/>
  <c r="P52" i="10" s="1"/>
  <c r="DC20" i="10"/>
  <c r="DC52" i="10" s="1"/>
  <c r="CW20" i="10"/>
  <c r="CW52" i="10" s="1"/>
  <c r="BU20" i="10"/>
  <c r="BU52" i="10" s="1"/>
  <c r="CZ20" i="10"/>
  <c r="CZ52" i="10" s="1"/>
  <c r="AW20" i="10"/>
  <c r="AW52" i="10" s="1"/>
  <c r="BZ20" i="10"/>
  <c r="BZ52" i="10" s="1"/>
  <c r="CQ20" i="10"/>
  <c r="CQ52" i="10" s="1"/>
  <c r="BY13" i="10"/>
  <c r="AT13" i="10"/>
  <c r="DA13" i="10"/>
  <c r="BH13" i="10"/>
  <c r="AW13" i="10"/>
  <c r="CC13" i="10"/>
  <c r="S13" i="10"/>
  <c r="AR13" i="10"/>
  <c r="CA20" i="10"/>
  <c r="CA52" i="10" s="1"/>
  <c r="BW20" i="10"/>
  <c r="BW52" i="10" s="1"/>
  <c r="CD20" i="10"/>
  <c r="CD52" i="10" s="1"/>
  <c r="BE20" i="10"/>
  <c r="BE52" i="10" s="1"/>
  <c r="Q20" i="10"/>
  <c r="Q52" i="10" s="1"/>
  <c r="BY20" i="10"/>
  <c r="BY52" i="10" s="1"/>
  <c r="BL13" i="10"/>
  <c r="K20" i="10"/>
  <c r="K52" i="10" s="1"/>
  <c r="AE20" i="10"/>
  <c r="AE52" i="10" s="1"/>
  <c r="O20" i="10"/>
  <c r="O52" i="10" s="1"/>
  <c r="BR20" i="10"/>
  <c r="BR52" i="10" s="1"/>
  <c r="AT20" i="10"/>
  <c r="AT52" i="10" s="1"/>
  <c r="AC13" i="10"/>
  <c r="BF13" i="10"/>
  <c r="AQ13" i="10"/>
  <c r="DC13" i="10"/>
  <c r="AE13" i="10"/>
  <c r="CQ13" i="10"/>
  <c r="BD13" i="10"/>
  <c r="CX13" i="10"/>
  <c r="BD20" i="10"/>
  <c r="BD52" i="10" s="1"/>
  <c r="AN20" i="10"/>
  <c r="AN52" i="10" s="1"/>
  <c r="CS20" i="10"/>
  <c r="CS52" i="10" s="1"/>
  <c r="BJ20" i="10"/>
  <c r="BJ52" i="10" s="1"/>
  <c r="AJ20" i="10"/>
  <c r="AJ52" i="10" s="1"/>
  <c r="BK20" i="10"/>
  <c r="BK52" i="10" s="1"/>
  <c r="CD13" i="10"/>
  <c r="Q13" i="10"/>
  <c r="BM13" i="10"/>
  <c r="L20" i="10"/>
  <c r="L52" i="10" s="1"/>
  <c r="AB20" i="10"/>
  <c r="AB52" i="10" s="1"/>
  <c r="AL20" i="10"/>
  <c r="AL52" i="10" s="1"/>
  <c r="CX20" i="10"/>
  <c r="CX52" i="10" s="1"/>
  <c r="N20" i="10"/>
  <c r="N52" i="10" s="1"/>
  <c r="R20" i="10"/>
  <c r="R52" i="10" s="1"/>
  <c r="CI13" i="10"/>
  <c r="V13" i="10"/>
  <c r="AO13" i="10"/>
  <c r="CF13" i="10"/>
  <c r="BA13" i="10"/>
  <c r="AK20" i="10"/>
  <c r="AK52" i="10" s="1"/>
  <c r="AH20" i="10"/>
  <c r="AH52" i="10" s="1"/>
  <c r="CK20" i="10"/>
  <c r="CK52" i="10" s="1"/>
  <c r="BB20" i="10"/>
  <c r="BB52" i="10" s="1"/>
  <c r="CV20" i="10"/>
  <c r="CV52" i="10" s="1"/>
  <c r="BG20" i="10"/>
  <c r="BG52" i="10" s="1"/>
  <c r="AS20" i="10"/>
  <c r="AS52" i="10" s="1"/>
  <c r="BV20" i="10"/>
  <c r="BV52" i="10" s="1"/>
  <c r="BC13" i="10"/>
  <c r="BN13" i="10"/>
  <c r="J13" i="10"/>
  <c r="BV13" i="10"/>
  <c r="AY13" i="10"/>
  <c r="BG13" i="10"/>
  <c r="CZ13" i="10"/>
  <c r="Y13" i="10"/>
  <c r="CG13" i="10"/>
  <c r="BO13" i="10"/>
  <c r="M13" i="10"/>
  <c r="Z13" i="10"/>
  <c r="CL13" i="10"/>
  <c r="BB13" i="10"/>
  <c r="K13" i="10"/>
  <c r="BW13" i="10"/>
  <c r="AM13" i="10"/>
  <c r="DD13" i="10"/>
  <c r="BT13" i="10"/>
  <c r="DB13" i="10"/>
  <c r="CK13" i="10"/>
  <c r="L13" i="10"/>
  <c r="BX13" i="10"/>
  <c r="AG13" i="10"/>
  <c r="AH13" i="10"/>
  <c r="BQ13" i="10"/>
  <c r="U13" i="10"/>
  <c r="CR13" i="10"/>
  <c r="BK13" i="10"/>
  <c r="BJ13" i="10"/>
  <c r="CF20" i="10"/>
  <c r="CF52" i="10" s="1"/>
  <c r="CB20" i="10"/>
  <c r="CB52" i="10" s="1"/>
  <c r="BH20" i="10"/>
  <c r="BH52" i="10" s="1"/>
  <c r="CI20" i="10"/>
  <c r="CI52" i="10" s="1"/>
  <c r="AI20" i="10"/>
  <c r="AI52" i="10" s="1"/>
  <c r="J20" i="10"/>
  <c r="J52" i="10" s="1"/>
  <c r="CJ13" i="10"/>
  <c r="N13" i="10"/>
  <c r="BA20" i="10"/>
  <c r="BA52" i="10" s="1"/>
  <c r="X20" i="10"/>
  <c r="X52" i="10" s="1"/>
  <c r="DA20" i="10"/>
  <c r="DA52" i="10" s="1"/>
  <c r="U20" i="10"/>
  <c r="U52" i="10" s="1"/>
  <c r="CM20" i="10"/>
  <c r="CM52" i="10" s="1"/>
  <c r="CL20" i="10"/>
  <c r="CL52" i="10" s="1"/>
  <c r="CB13" i="10"/>
  <c r="BS13" i="10"/>
  <c r="AD13" i="10"/>
  <c r="CO13" i="10"/>
  <c r="AA13" i="10"/>
  <c r="CM13" i="10"/>
  <c r="AN13" i="10"/>
  <c r="CP13" i="10"/>
  <c r="CA13" i="10"/>
  <c r="AB13" i="10"/>
  <c r="CN13" i="10"/>
  <c r="AI13" i="10"/>
  <c r="CU13" i="10"/>
  <c r="BI13" i="10"/>
  <c r="CW13" i="10"/>
  <c r="AF13" i="10"/>
  <c r="AG20" i="10"/>
  <c r="AG52" i="10" s="1"/>
  <c r="CG20" i="10"/>
  <c r="CG52" i="10" s="1"/>
  <c r="CE20" i="10"/>
  <c r="CE52" i="10" s="1"/>
  <c r="AU20" i="10"/>
  <c r="AU52" i="10" s="1"/>
  <c r="BQ20" i="10"/>
  <c r="BQ52" i="10" s="1"/>
  <c r="M20" i="10"/>
  <c r="M52" i="10" s="1"/>
  <c r="AP20" i="10"/>
  <c r="AP52" i="10" s="1"/>
  <c r="P13" i="10"/>
  <c r="DE18" i="10"/>
  <c r="CY20" i="10"/>
  <c r="CY52" i="10" s="1"/>
  <c r="BC20" i="10"/>
  <c r="BC52" i="10" s="1"/>
  <c r="CJ20" i="10"/>
  <c r="CJ52" i="10" s="1"/>
  <c r="AV20" i="10"/>
  <c r="AV52" i="10" s="1"/>
  <c r="AA20" i="10"/>
  <c r="AA52" i="10" s="1"/>
  <c r="AX13" i="10"/>
  <c r="W13" i="10"/>
  <c r="AK13" i="10"/>
  <c r="AL13" i="10"/>
  <c r="BE13" i="10"/>
  <c r="O13" i="10"/>
  <c r="AV13" i="10"/>
  <c r="BR13" i="10"/>
  <c r="CY13" i="10"/>
  <c r="BZ13" i="10"/>
  <c r="AS13" i="10"/>
  <c r="AZ13" i="10"/>
  <c r="CH13" i="10"/>
  <c r="BU13" i="10"/>
  <c r="X13" i="10"/>
  <c r="AP13" i="10"/>
  <c r="CE13" i="10"/>
  <c r="DE10" i="10"/>
  <c r="R13" i="10"/>
  <c r="CT13" i="10"/>
  <c r="AU13" i="10"/>
  <c r="DE11" i="10"/>
  <c r="I20" i="10"/>
  <c r="I52" i="10" s="1"/>
  <c r="DE12" i="10"/>
  <c r="I13" i="10"/>
  <c r="E14" i="10"/>
  <c r="H7" i="10"/>
  <c r="H9" i="10" s="1"/>
  <c r="H14" i="10" s="1"/>
  <c r="H64" i="10" l="1"/>
  <c r="H46" i="10"/>
  <c r="H48" i="10" s="1"/>
  <c r="H66" i="10" s="1"/>
  <c r="L29" i="1"/>
  <c r="H49" i="10" l="1"/>
  <c r="H50" i="10" s="1"/>
  <c r="H15" i="10"/>
  <c r="H16" i="10" s="1"/>
  <c r="D71" i="2"/>
  <c r="D12" i="2" s="1"/>
  <c r="H31" i="10"/>
  <c r="H65" i="10" l="1"/>
  <c r="D11" i="2"/>
  <c r="E11" i="2" s="1"/>
  <c r="E12" i="2"/>
  <c r="H21" i="5"/>
  <c r="H32" i="10" l="1"/>
  <c r="H33" i="10" s="1"/>
  <c r="H23" i="5"/>
  <c r="H22" i="5"/>
  <c r="D84" i="2"/>
  <c r="E84" i="2" l="1"/>
  <c r="E90" i="2"/>
  <c r="G8" i="2"/>
  <c r="H17" i="5"/>
  <c r="E58" i="5" l="1"/>
  <c r="E27" i="10" l="1"/>
  <c r="E45" i="5" l="1"/>
  <c r="H7" i="5"/>
  <c r="H19" i="5" l="1"/>
  <c r="G22" i="2"/>
  <c r="G21" i="2"/>
  <c r="G20" i="2"/>
  <c r="G19" i="2"/>
  <c r="G18" i="2"/>
  <c r="G17" i="2"/>
  <c r="G16" i="2"/>
  <c r="G15" i="2"/>
  <c r="H31" i="5"/>
  <c r="K94" i="1" l="1"/>
  <c r="C36" i="10" s="1"/>
  <c r="C71" i="10" l="1"/>
  <c r="C72" i="10"/>
  <c r="C57" i="10"/>
  <c r="C69" i="10" l="1"/>
  <c r="C70" i="10"/>
  <c r="D48" i="12"/>
  <c r="I48" i="12" s="1"/>
  <c r="G164" i="2" s="1"/>
  <c r="D41" i="12"/>
  <c r="H41" i="12" s="1"/>
  <c r="E152" i="2" s="1"/>
  <c r="D34" i="12"/>
  <c r="I34" i="12" s="1"/>
  <c r="O164" i="2" s="1"/>
  <c r="D27" i="12"/>
  <c r="H27" i="12" s="1"/>
  <c r="M152" i="2" s="1"/>
  <c r="D20" i="12"/>
  <c r="I20" i="12" s="1"/>
  <c r="I164" i="2" s="1"/>
  <c r="D13" i="12"/>
  <c r="H13" i="12" s="1"/>
  <c r="D6" i="12"/>
  <c r="I6" i="12" s="1"/>
  <c r="K164" i="2" s="1"/>
  <c r="I27" i="12" l="1"/>
  <c r="M164" i="2" s="1"/>
  <c r="F6" i="12"/>
  <c r="K128" i="2" s="1"/>
  <c r="D28" i="12"/>
  <c r="D29" i="12" s="1"/>
  <c r="F34" i="12"/>
  <c r="O128" i="2" s="1"/>
  <c r="G6" i="12"/>
  <c r="K140" i="2" s="1"/>
  <c r="E27" i="12"/>
  <c r="M116" i="2" s="1"/>
  <c r="G34" i="12"/>
  <c r="O140" i="2" s="1"/>
  <c r="G41" i="12"/>
  <c r="E140" i="2" s="1"/>
  <c r="D7" i="12"/>
  <c r="G7" i="12" s="1"/>
  <c r="K142" i="2" s="1"/>
  <c r="F27" i="12"/>
  <c r="M128" i="2" s="1"/>
  <c r="D35" i="12"/>
  <c r="I35" i="12" s="1"/>
  <c r="O166" i="2" s="1"/>
  <c r="H6" i="12"/>
  <c r="K152" i="2" s="1"/>
  <c r="E13" i="12"/>
  <c r="I13" i="12"/>
  <c r="F20" i="12"/>
  <c r="I128" i="2" s="1"/>
  <c r="D21" i="12"/>
  <c r="G27" i="12"/>
  <c r="M140" i="2" s="1"/>
  <c r="H34" i="12"/>
  <c r="O152" i="2" s="1"/>
  <c r="E41" i="12"/>
  <c r="E116" i="2" s="1"/>
  <c r="I41" i="12"/>
  <c r="E164" i="2" s="1"/>
  <c r="F48" i="12"/>
  <c r="G128" i="2" s="1"/>
  <c r="D49" i="12"/>
  <c r="E6" i="12"/>
  <c r="K116" i="2" s="1"/>
  <c r="F13" i="12"/>
  <c r="D14" i="12"/>
  <c r="G20" i="12"/>
  <c r="I140" i="2" s="1"/>
  <c r="E34" i="12"/>
  <c r="O116" i="2" s="1"/>
  <c r="F41" i="12"/>
  <c r="E128" i="2" s="1"/>
  <c r="D42" i="12"/>
  <c r="G48" i="12"/>
  <c r="G140" i="2" s="1"/>
  <c r="G13" i="12"/>
  <c r="H20" i="12"/>
  <c r="I152" i="2" s="1"/>
  <c r="H48" i="12"/>
  <c r="G152" i="2" s="1"/>
  <c r="E20" i="12"/>
  <c r="I116" i="2" s="1"/>
  <c r="E35" i="12"/>
  <c r="O118" i="2" s="1"/>
  <c r="E48" i="12"/>
  <c r="G116" i="2" s="1"/>
  <c r="O165" i="2" l="1"/>
  <c r="K141" i="2"/>
  <c r="O117" i="2"/>
  <c r="F28" i="12"/>
  <c r="M130" i="2" s="1"/>
  <c r="M129" i="2" s="1"/>
  <c r="I28" i="12"/>
  <c r="M166" i="2" s="1"/>
  <c r="F35" i="12"/>
  <c r="O130" i="2" s="1"/>
  <c r="O129" i="2" s="1"/>
  <c r="G35" i="12"/>
  <c r="O142" i="2" s="1"/>
  <c r="D36" i="12"/>
  <c r="G36" i="12" s="1"/>
  <c r="O144" i="2" s="1"/>
  <c r="E28" i="12"/>
  <c r="M118" i="2" s="1"/>
  <c r="M117" i="2" s="1"/>
  <c r="H35" i="12"/>
  <c r="O154" i="2" s="1"/>
  <c r="O153" i="2" s="1"/>
  <c r="E7" i="12"/>
  <c r="K118" i="2" s="1"/>
  <c r="I7" i="12"/>
  <c r="K166" i="2" s="1"/>
  <c r="D8" i="12"/>
  <c r="D9" i="12" s="1"/>
  <c r="H7" i="12"/>
  <c r="K154" i="2" s="1"/>
  <c r="F7" i="12"/>
  <c r="K130" i="2" s="1"/>
  <c r="H28" i="12"/>
  <c r="M154" i="2" s="1"/>
  <c r="G28" i="12"/>
  <c r="M142" i="2" s="1"/>
  <c r="D43" i="12"/>
  <c r="F42" i="12"/>
  <c r="E130" i="2" s="1"/>
  <c r="I42" i="12"/>
  <c r="E166" i="2" s="1"/>
  <c r="E42" i="12"/>
  <c r="E118" i="2" s="1"/>
  <c r="H42" i="12"/>
  <c r="E154" i="2" s="1"/>
  <c r="G42" i="12"/>
  <c r="E142" i="2" s="1"/>
  <c r="G21" i="12"/>
  <c r="I142" i="2" s="1"/>
  <c r="I141" i="2" s="1"/>
  <c r="D22" i="12"/>
  <c r="F21" i="12"/>
  <c r="I130" i="2" s="1"/>
  <c r="I129" i="2" s="1"/>
  <c r="I21" i="12"/>
  <c r="I166" i="2" s="1"/>
  <c r="E21" i="12"/>
  <c r="I118" i="2" s="1"/>
  <c r="H21" i="12"/>
  <c r="I154" i="2" s="1"/>
  <c r="D30" i="12"/>
  <c r="F29" i="12"/>
  <c r="M132" i="2" s="1"/>
  <c r="I29" i="12"/>
  <c r="M168" i="2" s="1"/>
  <c r="E29" i="12"/>
  <c r="M120" i="2" s="1"/>
  <c r="H29" i="12"/>
  <c r="M156" i="2" s="1"/>
  <c r="G29" i="12"/>
  <c r="M144" i="2" s="1"/>
  <c r="G49" i="12"/>
  <c r="G142" i="2" s="1"/>
  <c r="D50" i="12"/>
  <c r="F49" i="12"/>
  <c r="G130" i="2" s="1"/>
  <c r="I49" i="12"/>
  <c r="G166" i="2" s="1"/>
  <c r="E49" i="12"/>
  <c r="G118" i="2" s="1"/>
  <c r="H49" i="12"/>
  <c r="G154" i="2" s="1"/>
  <c r="G153" i="2" s="1"/>
  <c r="D15" i="12"/>
  <c r="F14" i="12"/>
  <c r="I14" i="12"/>
  <c r="E14" i="12"/>
  <c r="H14" i="12"/>
  <c r="G14" i="12"/>
  <c r="E167" i="2" l="1"/>
  <c r="E165" i="2"/>
  <c r="E129" i="2"/>
  <c r="E153" i="2"/>
  <c r="E141" i="2"/>
  <c r="E119" i="2"/>
  <c r="E117" i="2"/>
  <c r="O143" i="2"/>
  <c r="I165" i="2"/>
  <c r="K129" i="2"/>
  <c r="O141" i="2"/>
  <c r="K153" i="2"/>
  <c r="M143" i="2"/>
  <c r="M119" i="2"/>
  <c r="M167" i="2"/>
  <c r="I153" i="2"/>
  <c r="M141" i="2"/>
  <c r="K117" i="2"/>
  <c r="G165" i="2"/>
  <c r="M155" i="2"/>
  <c r="M153" i="2"/>
  <c r="K165" i="2"/>
  <c r="M131" i="2"/>
  <c r="G117" i="2"/>
  <c r="G141" i="2"/>
  <c r="M165" i="2"/>
  <c r="G129" i="2"/>
  <c r="I117" i="2"/>
  <c r="I36" i="12"/>
  <c r="O168" i="2" s="1"/>
  <c r="G8" i="12"/>
  <c r="K144" i="2" s="1"/>
  <c r="F36" i="12"/>
  <c r="O132" i="2" s="1"/>
  <c r="O131" i="2" s="1"/>
  <c r="H36" i="12"/>
  <c r="O156" i="2" s="1"/>
  <c r="D37" i="12"/>
  <c r="E37" i="12" s="1"/>
  <c r="O122" i="2" s="1"/>
  <c r="E8" i="12"/>
  <c r="K120" i="2" s="1"/>
  <c r="E36" i="12"/>
  <c r="O120" i="2" s="1"/>
  <c r="I8" i="12"/>
  <c r="K168" i="2" s="1"/>
  <c r="F8" i="12"/>
  <c r="K132" i="2" s="1"/>
  <c r="H8" i="12"/>
  <c r="K156" i="2" s="1"/>
  <c r="I50" i="12"/>
  <c r="G168" i="2" s="1"/>
  <c r="E50" i="12"/>
  <c r="G120" i="2" s="1"/>
  <c r="G119" i="2" s="1"/>
  <c r="H50" i="12"/>
  <c r="G156" i="2" s="1"/>
  <c r="G155" i="2" s="1"/>
  <c r="G50" i="12"/>
  <c r="G144" i="2" s="1"/>
  <c r="D51" i="12"/>
  <c r="F50" i="12"/>
  <c r="G132" i="2" s="1"/>
  <c r="G131" i="2" s="1"/>
  <c r="I37" i="12"/>
  <c r="O170" i="2" s="1"/>
  <c r="I22" i="12"/>
  <c r="I168" i="2" s="1"/>
  <c r="E22" i="12"/>
  <c r="I120" i="2" s="1"/>
  <c r="I119" i="2" s="1"/>
  <c r="H22" i="12"/>
  <c r="I156" i="2" s="1"/>
  <c r="G22" i="12"/>
  <c r="I144" i="2" s="1"/>
  <c r="D23" i="12"/>
  <c r="F22" i="12"/>
  <c r="I132" i="2" s="1"/>
  <c r="H15" i="12"/>
  <c r="G15" i="12"/>
  <c r="D16" i="12"/>
  <c r="F15" i="12"/>
  <c r="I15" i="12"/>
  <c r="E15" i="12"/>
  <c r="H30" i="12"/>
  <c r="M158" i="2" s="1"/>
  <c r="G30" i="12"/>
  <c r="M146" i="2" s="1"/>
  <c r="D31" i="12"/>
  <c r="F30" i="12"/>
  <c r="M134" i="2" s="1"/>
  <c r="I30" i="12"/>
  <c r="M170" i="2" s="1"/>
  <c r="E30" i="12"/>
  <c r="M122" i="2" s="1"/>
  <c r="G9" i="12"/>
  <c r="K146" i="2" s="1"/>
  <c r="I9" i="12"/>
  <c r="K170" i="2" s="1"/>
  <c r="E9" i="12"/>
  <c r="K122" i="2" s="1"/>
  <c r="D10" i="12"/>
  <c r="F9" i="12"/>
  <c r="K134" i="2" s="1"/>
  <c r="H9" i="12"/>
  <c r="K158" i="2" s="1"/>
  <c r="H43" i="12"/>
  <c r="E156" i="2" s="1"/>
  <c r="E155" i="2" s="1"/>
  <c r="G43" i="12"/>
  <c r="E144" i="2" s="1"/>
  <c r="D44" i="12"/>
  <c r="F43" i="12"/>
  <c r="E132" i="2" s="1"/>
  <c r="I43" i="12"/>
  <c r="E168" i="2" s="1"/>
  <c r="E43" i="12"/>
  <c r="E120" i="2" s="1"/>
  <c r="E157" i="2" l="1"/>
  <c r="E143" i="2"/>
  <c r="E131" i="2"/>
  <c r="K133" i="2"/>
  <c r="K157" i="2"/>
  <c r="K131" i="2"/>
  <c r="O169" i="2"/>
  <c r="O167" i="2"/>
  <c r="M133" i="2"/>
  <c r="K169" i="2"/>
  <c r="K167" i="2"/>
  <c r="O155" i="2"/>
  <c r="I155" i="2"/>
  <c r="I167" i="2"/>
  <c r="K121" i="2"/>
  <c r="K145" i="2"/>
  <c r="K143" i="2"/>
  <c r="G143" i="2"/>
  <c r="M157" i="2"/>
  <c r="I143" i="2"/>
  <c r="O121" i="2"/>
  <c r="O119" i="2"/>
  <c r="M169" i="2"/>
  <c r="I131" i="2"/>
  <c r="G167" i="2"/>
  <c r="M121" i="2"/>
  <c r="K155" i="2"/>
  <c r="K119" i="2"/>
  <c r="M145" i="2"/>
  <c r="D38" i="12"/>
  <c r="E38" i="12" s="1"/>
  <c r="O124" i="2" s="1"/>
  <c r="O123" i="2" s="1"/>
  <c r="H37" i="12"/>
  <c r="O158" i="2" s="1"/>
  <c r="O157" i="2" s="1"/>
  <c r="G37" i="12"/>
  <c r="O146" i="2" s="1"/>
  <c r="F37" i="12"/>
  <c r="O134" i="2" s="1"/>
  <c r="O133" i="2" s="1"/>
  <c r="D45" i="12"/>
  <c r="F44" i="12"/>
  <c r="E134" i="2" s="1"/>
  <c r="I44" i="12"/>
  <c r="E170" i="2" s="1"/>
  <c r="E44" i="12"/>
  <c r="E122" i="2" s="1"/>
  <c r="E121" i="2" s="1"/>
  <c r="H44" i="12"/>
  <c r="E158" i="2" s="1"/>
  <c r="G44" i="12"/>
  <c r="E146" i="2" s="1"/>
  <c r="F31" i="12"/>
  <c r="M136" i="2" s="1"/>
  <c r="M135" i="2" s="1"/>
  <c r="I31" i="12"/>
  <c r="M172" i="2" s="1"/>
  <c r="M171" i="2" s="1"/>
  <c r="E31" i="12"/>
  <c r="M124" i="2" s="1"/>
  <c r="M123" i="2" s="1"/>
  <c r="H31" i="12"/>
  <c r="M160" i="2" s="1"/>
  <c r="M159" i="2" s="1"/>
  <c r="G31" i="12"/>
  <c r="M148" i="2" s="1"/>
  <c r="M147" i="2" s="1"/>
  <c r="G38" i="12"/>
  <c r="O148" i="2" s="1"/>
  <c r="F38" i="12"/>
  <c r="O136" i="2" s="1"/>
  <c r="I38" i="12"/>
  <c r="O172" i="2" s="1"/>
  <c r="O171" i="2" s="1"/>
  <c r="H38" i="12"/>
  <c r="O160" i="2" s="1"/>
  <c r="I10" i="12"/>
  <c r="K172" i="2" s="1"/>
  <c r="K171" i="2" s="1"/>
  <c r="E10" i="12"/>
  <c r="K124" i="2" s="1"/>
  <c r="K123" i="2" s="1"/>
  <c r="F10" i="12"/>
  <c r="K136" i="2" s="1"/>
  <c r="K135" i="2" s="1"/>
  <c r="H10" i="12"/>
  <c r="K160" i="2" s="1"/>
  <c r="K159" i="2" s="1"/>
  <c r="G10" i="12"/>
  <c r="K148" i="2" s="1"/>
  <c r="K147" i="2" s="1"/>
  <c r="D17" i="12"/>
  <c r="F16" i="12"/>
  <c r="I16" i="12"/>
  <c r="E16" i="12"/>
  <c r="H16" i="12"/>
  <c r="G16" i="12"/>
  <c r="G23" i="12"/>
  <c r="I146" i="2" s="1"/>
  <c r="D24" i="12"/>
  <c r="F23" i="12"/>
  <c r="I134" i="2" s="1"/>
  <c r="I133" i="2" s="1"/>
  <c r="I23" i="12"/>
  <c r="I170" i="2" s="1"/>
  <c r="I169" i="2" s="1"/>
  <c r="E23" i="12"/>
  <c r="I122" i="2" s="1"/>
  <c r="I121" i="2" s="1"/>
  <c r="H23" i="12"/>
  <c r="I158" i="2" s="1"/>
  <c r="I157" i="2" s="1"/>
  <c r="G51" i="12"/>
  <c r="G146" i="2" s="1"/>
  <c r="G145" i="2" s="1"/>
  <c r="D52" i="12"/>
  <c r="F51" i="12"/>
  <c r="G134" i="2" s="1"/>
  <c r="I51" i="12"/>
  <c r="G170" i="2" s="1"/>
  <c r="E51" i="12"/>
  <c r="G122" i="2" s="1"/>
  <c r="G121" i="2" s="1"/>
  <c r="H51" i="12"/>
  <c r="G158" i="2" s="1"/>
  <c r="G157" i="2" s="1"/>
  <c r="E133" i="2" l="1"/>
  <c r="E169" i="2"/>
  <c r="E145" i="2"/>
  <c r="I145" i="2"/>
  <c r="G133" i="2"/>
  <c r="O147" i="2"/>
  <c r="O145" i="2"/>
  <c r="O135" i="2"/>
  <c r="O159" i="2"/>
  <c r="G169" i="2"/>
  <c r="H17" i="12"/>
  <c r="G17" i="12"/>
  <c r="F17" i="12"/>
  <c r="I17" i="12"/>
  <c r="E17" i="12"/>
  <c r="I24" i="12"/>
  <c r="I172" i="2" s="1"/>
  <c r="I171" i="2" s="1"/>
  <c r="E24" i="12"/>
  <c r="I124" i="2" s="1"/>
  <c r="I123" i="2" s="1"/>
  <c r="H24" i="12"/>
  <c r="I160" i="2" s="1"/>
  <c r="I159" i="2" s="1"/>
  <c r="G24" i="12"/>
  <c r="I148" i="2" s="1"/>
  <c r="I147" i="2" s="1"/>
  <c r="F24" i="12"/>
  <c r="I136" i="2" s="1"/>
  <c r="I135" i="2" s="1"/>
  <c r="H45" i="12"/>
  <c r="E160" i="2" s="1"/>
  <c r="E159" i="2" s="1"/>
  <c r="G45" i="12"/>
  <c r="E148" i="2" s="1"/>
  <c r="E147" i="2" s="1"/>
  <c r="F45" i="12"/>
  <c r="E136" i="2" s="1"/>
  <c r="E135" i="2" s="1"/>
  <c r="I45" i="12"/>
  <c r="E172" i="2" s="1"/>
  <c r="E171" i="2" s="1"/>
  <c r="E45" i="12"/>
  <c r="E124" i="2" s="1"/>
  <c r="E123" i="2" s="1"/>
  <c r="I52" i="12"/>
  <c r="G172" i="2" s="1"/>
  <c r="G171" i="2" s="1"/>
  <c r="E52" i="12"/>
  <c r="G124" i="2" s="1"/>
  <c r="G123" i="2" s="1"/>
  <c r="H52" i="12"/>
  <c r="G160" i="2" s="1"/>
  <c r="G159" i="2" s="1"/>
  <c r="G52" i="12"/>
  <c r="G148" i="2" s="1"/>
  <c r="G147" i="2" s="1"/>
  <c r="F52" i="12"/>
  <c r="G136" i="2" s="1"/>
  <c r="G135" i="2" s="1"/>
  <c r="K45" i="1" l="1"/>
  <c r="E40" i="5" s="1"/>
  <c r="F33" i="2" l="1"/>
  <c r="G33" i="2"/>
  <c r="F34" i="2"/>
  <c r="G34" i="2"/>
  <c r="F35" i="2"/>
  <c r="G35" i="2"/>
  <c r="F36" i="2"/>
  <c r="G36" i="2"/>
  <c r="I36" i="2"/>
  <c r="I35" i="2"/>
  <c r="I34" i="2"/>
  <c r="I33" i="2"/>
  <c r="I32" i="2"/>
  <c r="H36" i="2"/>
  <c r="H35" i="2"/>
  <c r="H34" i="2"/>
  <c r="H33" i="2"/>
  <c r="H32" i="2"/>
  <c r="G32" i="2"/>
  <c r="F32" i="2"/>
  <c r="S34" i="2" l="1"/>
  <c r="S33" i="2"/>
  <c r="S32" i="2"/>
  <c r="E40" i="11"/>
  <c r="E37" i="11"/>
  <c r="D33" i="11"/>
  <c r="D32" i="11"/>
  <c r="D31" i="11"/>
  <c r="D27" i="11"/>
  <c r="D26" i="11"/>
  <c r="D25" i="11"/>
  <c r="E20" i="11"/>
  <c r="C20" i="11"/>
  <c r="B20" i="11"/>
  <c r="E19" i="11"/>
  <c r="C19" i="11"/>
  <c r="B19" i="11"/>
  <c r="E18" i="11"/>
  <c r="C18" i="11"/>
  <c r="B18" i="11"/>
  <c r="E17" i="11"/>
  <c r="C17" i="11"/>
  <c r="B17" i="11"/>
  <c r="E16" i="11"/>
  <c r="C16" i="11"/>
  <c r="B16" i="11"/>
  <c r="CF5" i="10" l="1"/>
  <c r="AS5" i="10"/>
  <c r="AR5" i="10"/>
  <c r="BH5" i="10"/>
  <c r="DD5" i="10"/>
  <c r="AV5" i="10"/>
  <c r="CX5" i="10"/>
  <c r="AZ5" i="10"/>
  <c r="AX5" i="10"/>
  <c r="CD5" i="10"/>
  <c r="BJ5" i="10"/>
  <c r="CP5" i="10"/>
  <c r="AK5" i="10"/>
  <c r="BA5" i="10"/>
  <c r="BQ5" i="10"/>
  <c r="CG5" i="10"/>
  <c r="CW5" i="10"/>
  <c r="AQ5" i="10"/>
  <c r="BG5" i="10"/>
  <c r="BW5" i="10"/>
  <c r="CM5" i="10"/>
  <c r="BD5" i="10"/>
  <c r="BN5" i="10"/>
  <c r="AT5" i="10"/>
  <c r="BI5" i="10"/>
  <c r="DC5" i="10"/>
  <c r="CN5" i="10"/>
  <c r="AN5" i="10"/>
  <c r="BL5" i="10"/>
  <c r="BP5" i="10"/>
  <c r="BF5" i="10"/>
  <c r="CL5" i="10"/>
  <c r="AL5" i="10"/>
  <c r="BR5" i="10"/>
  <c r="E66" i="10"/>
  <c r="AO5" i="10"/>
  <c r="BE5" i="10"/>
  <c r="BU5" i="10"/>
  <c r="CK5" i="10"/>
  <c r="DA5" i="10"/>
  <c r="AU5" i="10"/>
  <c r="BK5" i="10"/>
  <c r="CA5" i="10"/>
  <c r="CQ5" i="10"/>
  <c r="BT5" i="10"/>
  <c r="CB5" i="10"/>
  <c r="CT5" i="10"/>
  <c r="BZ5" i="10"/>
  <c r="BY5" i="10"/>
  <c r="CR5" i="10"/>
  <c r="BV5" i="10"/>
  <c r="CC5" i="10"/>
  <c r="BC5" i="10"/>
  <c r="CI5" i="10"/>
  <c r="CS5" i="10"/>
  <c r="BS5" i="10"/>
  <c r="BX5" i="10"/>
  <c r="AP5" i="10"/>
  <c r="BM5" i="10"/>
  <c r="AY5" i="10"/>
  <c r="CJ5" i="10"/>
  <c r="DB5" i="10"/>
  <c r="CO5" i="10"/>
  <c r="BO5" i="10"/>
  <c r="CU5" i="10"/>
  <c r="CZ5" i="10"/>
  <c r="CV5" i="10"/>
  <c r="BB5" i="10"/>
  <c r="AW5" i="10"/>
  <c r="AM5" i="10"/>
  <c r="CY5" i="10"/>
  <c r="CH5" i="10"/>
  <c r="CE5" i="10"/>
  <c r="F22" i="2"/>
  <c r="F21" i="2"/>
  <c r="F20" i="2"/>
  <c r="F19" i="2"/>
  <c r="F18" i="2"/>
  <c r="F17" i="2"/>
  <c r="F16" i="2"/>
  <c r="F15" i="2"/>
  <c r="H24" i="5" l="1"/>
  <c r="E57" i="5"/>
  <c r="M176" i="2"/>
  <c r="O176" i="2"/>
  <c r="O178" i="2" l="1"/>
  <c r="O177" i="2" s="1"/>
  <c r="M178" i="2"/>
  <c r="M177" i="2" s="1"/>
  <c r="I82" i="1"/>
  <c r="J82" i="1" s="1"/>
  <c r="E24" i="5"/>
  <c r="K176" i="2"/>
  <c r="I176" i="2"/>
  <c r="G176" i="2"/>
  <c r="D58" i="2"/>
  <c r="E58" i="2"/>
  <c r="D90" i="2" l="1"/>
  <c r="E91" i="2"/>
  <c r="M180" i="2"/>
  <c r="M179" i="2"/>
  <c r="I178" i="2"/>
  <c r="I177" i="2" s="1"/>
  <c r="K178" i="2"/>
  <c r="D92" i="2" s="1"/>
  <c r="K177" i="2"/>
  <c r="D91" i="2" s="1"/>
  <c r="G178" i="2"/>
  <c r="G177" i="2"/>
  <c r="O180" i="2"/>
  <c r="O179" i="2"/>
  <c r="D30" i="2"/>
  <c r="E14" i="2"/>
  <c r="G14" i="2" s="1"/>
  <c r="E8" i="2"/>
  <c r="F8" i="2" s="1"/>
  <c r="E59" i="5"/>
  <c r="E27" i="5"/>
  <c r="E28" i="5" s="1"/>
  <c r="C8" i="10" s="1"/>
  <c r="E26" i="5"/>
  <c r="E25" i="5"/>
  <c r="E19" i="5"/>
  <c r="E18" i="5"/>
  <c r="E17" i="5"/>
  <c r="E16" i="5"/>
  <c r="E15" i="5"/>
  <c r="E14" i="5"/>
  <c r="E12" i="5"/>
  <c r="E11" i="5"/>
  <c r="E7" i="5"/>
  <c r="H6" i="5"/>
  <c r="E8" i="5"/>
  <c r="B9" i="2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D2" i="2"/>
  <c r="AT21" i="10" l="1"/>
  <c r="AT36" i="10" s="1"/>
  <c r="AG21" i="10"/>
  <c r="O21" i="10"/>
  <c r="M21" i="10"/>
  <c r="Q21" i="10"/>
  <c r="AC21" i="10"/>
  <c r="S21" i="10"/>
  <c r="P21" i="10"/>
  <c r="X21" i="10"/>
  <c r="N21" i="10"/>
  <c r="AA21" i="10"/>
  <c r="U21" i="10"/>
  <c r="AD21" i="10"/>
  <c r="L21" i="10"/>
  <c r="W21" i="10"/>
  <c r="J21" i="10"/>
  <c r="R21" i="10"/>
  <c r="AJ21" i="10"/>
  <c r="V21" i="10"/>
  <c r="K21" i="10"/>
  <c r="AE21" i="10"/>
  <c r="AH21" i="10"/>
  <c r="AB21" i="10"/>
  <c r="T21" i="10"/>
  <c r="Y21" i="10"/>
  <c r="AI21" i="10"/>
  <c r="AF21" i="10"/>
  <c r="Z21" i="10"/>
  <c r="G180" i="2"/>
  <c r="G179" i="2"/>
  <c r="I180" i="2"/>
  <c r="I179" i="2" s="1"/>
  <c r="O182" i="2"/>
  <c r="O181" i="2"/>
  <c r="K180" i="2"/>
  <c r="D94" i="2" s="1"/>
  <c r="D87" i="2" s="1"/>
  <c r="K46" i="1" s="1"/>
  <c r="K49" i="1" s="1"/>
  <c r="M182" i="2"/>
  <c r="M181" i="2"/>
  <c r="C21" i="10"/>
  <c r="E59" i="10"/>
  <c r="C59" i="10"/>
  <c r="F11" i="2"/>
  <c r="G11" i="2"/>
  <c r="F12" i="2"/>
  <c r="G12" i="2"/>
  <c r="F10" i="2"/>
  <c r="G10" i="2"/>
  <c r="D34" i="2"/>
  <c r="D35" i="2" s="1"/>
  <c r="D32" i="2"/>
  <c r="D33" i="2" s="1"/>
  <c r="F14" i="2"/>
  <c r="H16" i="5"/>
  <c r="AT54" i="10" l="1"/>
  <c r="K179" i="2"/>
  <c r="D93" i="2" s="1"/>
  <c r="D36" i="2"/>
  <c r="D9" i="2" s="1"/>
  <c r="E9" i="2" s="1"/>
  <c r="U36" i="10"/>
  <c r="U54" i="10"/>
  <c r="K182" i="2"/>
  <c r="I182" i="2"/>
  <c r="I181" i="2" s="1"/>
  <c r="M184" i="2"/>
  <c r="M183" i="2" s="1"/>
  <c r="O184" i="2"/>
  <c r="G182" i="2"/>
  <c r="G181" i="2" s="1"/>
  <c r="E61" i="10"/>
  <c r="C61" i="10"/>
  <c r="E62" i="10"/>
  <c r="C62" i="10"/>
  <c r="E63" i="10"/>
  <c r="C63" i="10"/>
  <c r="E65" i="10"/>
  <c r="C65" i="10"/>
  <c r="H18" i="5"/>
  <c r="C22" i="10"/>
  <c r="BI21" i="10"/>
  <c r="AP21" i="10"/>
  <c r="BP21" i="10"/>
  <c r="E46" i="5"/>
  <c r="BC21" i="10"/>
  <c r="AX21" i="10"/>
  <c r="BJ21" i="10"/>
  <c r="CK21" i="10"/>
  <c r="DA21" i="10"/>
  <c r="CJ21" i="10"/>
  <c r="BL21" i="10"/>
  <c r="AK21" i="10"/>
  <c r="CD21" i="10"/>
  <c r="BH21" i="10"/>
  <c r="CF21" i="10"/>
  <c r="BF21" i="10"/>
  <c r="CS21" i="10"/>
  <c r="CA21" i="10"/>
  <c r="CW21" i="10"/>
  <c r="AZ21" i="10"/>
  <c r="BQ21" i="10"/>
  <c r="CH21" i="10"/>
  <c r="BY21" i="10"/>
  <c r="AQ21" i="10"/>
  <c r="AM21" i="10"/>
  <c r="BM21" i="10"/>
  <c r="CE21" i="10"/>
  <c r="CI21" i="10"/>
  <c r="CQ21" i="10"/>
  <c r="BU21" i="10"/>
  <c r="BB21" i="10"/>
  <c r="CO21" i="10"/>
  <c r="CB21" i="10"/>
  <c r="AL21" i="10"/>
  <c r="CT21" i="10"/>
  <c r="CR21" i="10"/>
  <c r="BX21" i="10"/>
  <c r="BE21" i="10"/>
  <c r="AU21" i="10"/>
  <c r="BN21" i="10"/>
  <c r="BD21" i="10"/>
  <c r="DD21" i="10"/>
  <c r="CN21" i="10"/>
  <c r="BA21" i="10"/>
  <c r="BG21" i="10"/>
  <c r="CY21" i="10"/>
  <c r="CM21" i="10"/>
  <c r="BW21" i="10"/>
  <c r="CC21" i="10"/>
  <c r="BS21" i="10"/>
  <c r="CP21" i="10"/>
  <c r="DB21" i="10"/>
  <c r="CU21" i="10"/>
  <c r="I21" i="10"/>
  <c r="AN21" i="10"/>
  <c r="AO21" i="10"/>
  <c r="AV21" i="10"/>
  <c r="BK21" i="10"/>
  <c r="AY21" i="10"/>
  <c r="BZ21" i="10"/>
  <c r="BV21" i="10"/>
  <c r="AR21" i="10"/>
  <c r="DC21" i="10"/>
  <c r="CL21" i="10"/>
  <c r="CV21" i="10"/>
  <c r="CX21" i="10"/>
  <c r="CZ21" i="10"/>
  <c r="AS21" i="10"/>
  <c r="BR21" i="10"/>
  <c r="BT21" i="10"/>
  <c r="BO21" i="10"/>
  <c r="CG21" i="10"/>
  <c r="AW21" i="10"/>
  <c r="K47" i="1"/>
  <c r="K181" i="2" l="1"/>
  <c r="D95" i="2" s="1"/>
  <c r="D96" i="2"/>
  <c r="AS36" i="10"/>
  <c r="AS54" i="10"/>
  <c r="BV36" i="10"/>
  <c r="BV54" i="10"/>
  <c r="AE36" i="10"/>
  <c r="AE54" i="10"/>
  <c r="CY36" i="10"/>
  <c r="CY54" i="10"/>
  <c r="AU36" i="10"/>
  <c r="AU54" i="10"/>
  <c r="CO36" i="10"/>
  <c r="CO54" i="10"/>
  <c r="CH36" i="10"/>
  <c r="CH54" i="10"/>
  <c r="CW36" i="10"/>
  <c r="CW54" i="10"/>
  <c r="DA36" i="10"/>
  <c r="DA54" i="10"/>
  <c r="M36" i="10"/>
  <c r="M54" i="10"/>
  <c r="AG36" i="10"/>
  <c r="AG54" i="10"/>
  <c r="BO36" i="10"/>
  <c r="BO54" i="10"/>
  <c r="CZ36" i="10"/>
  <c r="CZ54" i="10"/>
  <c r="AJ36" i="10"/>
  <c r="AJ54" i="10"/>
  <c r="L36" i="10"/>
  <c r="L54" i="10"/>
  <c r="BZ36" i="10"/>
  <c r="BZ54" i="10"/>
  <c r="BK36" i="10"/>
  <c r="BK54" i="10"/>
  <c r="AO36" i="10"/>
  <c r="AO54" i="10"/>
  <c r="AN36" i="10"/>
  <c r="AN54" i="10"/>
  <c r="CU36" i="10"/>
  <c r="CU54" i="10"/>
  <c r="CC36" i="10"/>
  <c r="CC54" i="10"/>
  <c r="BG36" i="10"/>
  <c r="BG54" i="10"/>
  <c r="BD36" i="10"/>
  <c r="BD54" i="10"/>
  <c r="BE36" i="10"/>
  <c r="BE54" i="10"/>
  <c r="CT36" i="10"/>
  <c r="CT54" i="10"/>
  <c r="BB36" i="10"/>
  <c r="BB54" i="10"/>
  <c r="CI36" i="10"/>
  <c r="CI54" i="10"/>
  <c r="AM36" i="10"/>
  <c r="AM54" i="10"/>
  <c r="BQ36" i="10"/>
  <c r="BQ54" i="10"/>
  <c r="CA36" i="10"/>
  <c r="CA54" i="10"/>
  <c r="CF36" i="10"/>
  <c r="CF54" i="10"/>
  <c r="AK36" i="10"/>
  <c r="AK54" i="10"/>
  <c r="CK36" i="10"/>
  <c r="CK54" i="10"/>
  <c r="AX36" i="10"/>
  <c r="AX54" i="10"/>
  <c r="BP36" i="10"/>
  <c r="BP54" i="10"/>
  <c r="Q36" i="10"/>
  <c r="Q54" i="10"/>
  <c r="AY36" i="10"/>
  <c r="AY54" i="10"/>
  <c r="S54" i="10"/>
  <c r="S36" i="10"/>
  <c r="CR36" i="10"/>
  <c r="CR54" i="10"/>
  <c r="CD36" i="10"/>
  <c r="CD54" i="10"/>
  <c r="BT36" i="10"/>
  <c r="BT54" i="10"/>
  <c r="AF36" i="10"/>
  <c r="AF54" i="10"/>
  <c r="AD36" i="10"/>
  <c r="AD54" i="10"/>
  <c r="BW36" i="10"/>
  <c r="BW54" i="10"/>
  <c r="BA36" i="10"/>
  <c r="BA54" i="10"/>
  <c r="BN36" i="10"/>
  <c r="BN54" i="10"/>
  <c r="AA36" i="10"/>
  <c r="AA54" i="10"/>
  <c r="AL36" i="10"/>
  <c r="AL54" i="10"/>
  <c r="AH36" i="10"/>
  <c r="AH54" i="10"/>
  <c r="CE36" i="10"/>
  <c r="CE54" i="10"/>
  <c r="AQ36" i="10"/>
  <c r="AQ54" i="10"/>
  <c r="AZ36" i="10"/>
  <c r="AZ54" i="10"/>
  <c r="CS36" i="10"/>
  <c r="CS54" i="10"/>
  <c r="AB36" i="10"/>
  <c r="AB54" i="10"/>
  <c r="BL36" i="10"/>
  <c r="BL54" i="10"/>
  <c r="BJ36" i="10"/>
  <c r="BJ54" i="10"/>
  <c r="BC36" i="10"/>
  <c r="BC54" i="10"/>
  <c r="AP36" i="10"/>
  <c r="AP54" i="10"/>
  <c r="CG36" i="10"/>
  <c r="CG54" i="10"/>
  <c r="DC36" i="10"/>
  <c r="DC54" i="10"/>
  <c r="AV36" i="10"/>
  <c r="AV54" i="10"/>
  <c r="BS36" i="10"/>
  <c r="BS54" i="10"/>
  <c r="DD36" i="10"/>
  <c r="DD54" i="10"/>
  <c r="CQ36" i="10"/>
  <c r="CQ54" i="10"/>
  <c r="R54" i="10"/>
  <c r="R36" i="10"/>
  <c r="BF36" i="10"/>
  <c r="BF54" i="10"/>
  <c r="W36" i="10"/>
  <c r="W54" i="10"/>
  <c r="T36" i="10"/>
  <c r="T54" i="10"/>
  <c r="CX36" i="10"/>
  <c r="CX54" i="10"/>
  <c r="AC36" i="10"/>
  <c r="AC54" i="10"/>
  <c r="AI36" i="10"/>
  <c r="AI54" i="10"/>
  <c r="O36" i="10"/>
  <c r="O54" i="10"/>
  <c r="I36" i="10"/>
  <c r="I54" i="10"/>
  <c r="DB36" i="10"/>
  <c r="DB54" i="10"/>
  <c r="AW36" i="10"/>
  <c r="AW54" i="10"/>
  <c r="BR36" i="10"/>
  <c r="BR54" i="10"/>
  <c r="CV36" i="10"/>
  <c r="CV54" i="10"/>
  <c r="CL36" i="10"/>
  <c r="CL54" i="10"/>
  <c r="AR36" i="10"/>
  <c r="AR54" i="10"/>
  <c r="N54" i="10"/>
  <c r="N36" i="10"/>
  <c r="J36" i="10"/>
  <c r="J54" i="10"/>
  <c r="P36" i="10"/>
  <c r="P54" i="10"/>
  <c r="X36" i="10"/>
  <c r="X54" i="10"/>
  <c r="CP36" i="10"/>
  <c r="CP54" i="10"/>
  <c r="CM36" i="10"/>
  <c r="CM54" i="10"/>
  <c r="CN36" i="10"/>
  <c r="CN54" i="10"/>
  <c r="Z54" i="10"/>
  <c r="Z36" i="10"/>
  <c r="BX36" i="10"/>
  <c r="BX54" i="10"/>
  <c r="CB36" i="10"/>
  <c r="CB54" i="10"/>
  <c r="BU36" i="10"/>
  <c r="BU54" i="10"/>
  <c r="BM36" i="10"/>
  <c r="BM54" i="10"/>
  <c r="BY36" i="10"/>
  <c r="BY54" i="10"/>
  <c r="Y36" i="10"/>
  <c r="Y54" i="10"/>
  <c r="K54" i="10"/>
  <c r="K36" i="10"/>
  <c r="BH36" i="10"/>
  <c r="BH54" i="10"/>
  <c r="CJ36" i="10"/>
  <c r="CJ54" i="10"/>
  <c r="V36" i="10"/>
  <c r="V54" i="10"/>
  <c r="BI36" i="10"/>
  <c r="BI54" i="10"/>
  <c r="O183" i="2"/>
  <c r="I184" i="2"/>
  <c r="I183" i="2"/>
  <c r="G184" i="2"/>
  <c r="G183" i="2" s="1"/>
  <c r="K184" i="2"/>
  <c r="D98" i="2" s="1"/>
  <c r="F9" i="2"/>
  <c r="AH2" i="18"/>
  <c r="K183" i="2" l="1"/>
  <c r="D97" i="2" s="1"/>
  <c r="DE36" i="10"/>
  <c r="E60" i="10"/>
  <c r="C60" i="10"/>
  <c r="I35" i="10"/>
  <c r="E31" i="10"/>
  <c r="G9" i="2"/>
  <c r="C17" i="10" l="1"/>
  <c r="E17" i="10" s="1"/>
  <c r="E42" i="5"/>
  <c r="E17" i="3" l="1"/>
  <c r="D17" i="3"/>
  <c r="C17" i="3"/>
  <c r="E34" i="3"/>
  <c r="D34" i="3"/>
  <c r="C34" i="3"/>
  <c r="E11" i="3"/>
  <c r="D11" i="3"/>
  <c r="C11" i="3"/>
  <c r="E32" i="3"/>
  <c r="D32" i="3"/>
  <c r="C32" i="3"/>
  <c r="E31" i="3"/>
  <c r="D31" i="3"/>
  <c r="C31" i="3"/>
  <c r="E30" i="3"/>
  <c r="D30" i="3"/>
  <c r="C30" i="3"/>
  <c r="E27" i="3"/>
  <c r="D27" i="3"/>
  <c r="C27" i="3"/>
  <c r="E29" i="3"/>
  <c r="D29" i="3"/>
  <c r="C29" i="3"/>
  <c r="E18" i="3"/>
  <c r="D18" i="3"/>
  <c r="C18" i="3"/>
  <c r="E38" i="3"/>
  <c r="D38" i="3"/>
  <c r="C38" i="3"/>
  <c r="E8" i="3"/>
  <c r="D8" i="3"/>
  <c r="C8" i="3"/>
  <c r="E26" i="3"/>
  <c r="D26" i="3"/>
  <c r="C26" i="3"/>
  <c r="E14" i="3"/>
  <c r="D14" i="3"/>
  <c r="C14" i="3"/>
  <c r="E15" i="3"/>
  <c r="D15" i="3"/>
  <c r="C15" i="3"/>
  <c r="E20" i="3"/>
  <c r="D20" i="3"/>
  <c r="C20" i="3"/>
  <c r="E12" i="3"/>
  <c r="D12" i="3"/>
  <c r="C12" i="3"/>
  <c r="E28" i="3"/>
  <c r="D28" i="3"/>
  <c r="C28" i="3"/>
  <c r="O21" i="3"/>
  <c r="N21" i="3"/>
  <c r="M21" i="3"/>
  <c r="E24" i="3"/>
  <c r="D24" i="3"/>
  <c r="C24" i="3"/>
  <c r="O20" i="3"/>
  <c r="N20" i="3"/>
  <c r="M20" i="3"/>
  <c r="E25" i="3"/>
  <c r="D25" i="3"/>
  <c r="C25" i="3"/>
  <c r="O19" i="3"/>
  <c r="N19" i="3"/>
  <c r="M19" i="3"/>
  <c r="E22" i="3"/>
  <c r="D22" i="3"/>
  <c r="C22" i="3"/>
  <c r="O18" i="3"/>
  <c r="N18" i="3"/>
  <c r="M18" i="3"/>
  <c r="E36" i="3"/>
  <c r="D36" i="3"/>
  <c r="C36" i="3"/>
  <c r="O17" i="3"/>
  <c r="N17" i="3"/>
  <c r="M17" i="3"/>
  <c r="E35" i="3"/>
  <c r="D35" i="3"/>
  <c r="C35" i="3"/>
  <c r="O16" i="3"/>
  <c r="N16" i="3"/>
  <c r="M16" i="3"/>
  <c r="E19" i="3"/>
  <c r="D19" i="3"/>
  <c r="C19" i="3"/>
  <c r="O15" i="3"/>
  <c r="N15" i="3"/>
  <c r="M15" i="3"/>
  <c r="E9" i="3"/>
  <c r="D9" i="3"/>
  <c r="C9" i="3"/>
  <c r="E7" i="3"/>
  <c r="D7" i="3"/>
  <c r="C7" i="3"/>
  <c r="E23" i="3"/>
  <c r="D23" i="3"/>
  <c r="C23" i="3"/>
  <c r="E16" i="3"/>
  <c r="D16" i="3"/>
  <c r="C16" i="3"/>
  <c r="E37" i="3"/>
  <c r="D37" i="3"/>
  <c r="C37" i="3"/>
  <c r="O10" i="3"/>
  <c r="E10" i="3"/>
  <c r="D10" i="3"/>
  <c r="C10" i="3"/>
  <c r="N9" i="3"/>
  <c r="E4" i="3"/>
  <c r="D4" i="3"/>
  <c r="C4" i="3"/>
  <c r="M8" i="3"/>
  <c r="E21" i="3"/>
  <c r="D21" i="3"/>
  <c r="C21" i="3"/>
  <c r="O7" i="3"/>
  <c r="E6" i="3"/>
  <c r="D6" i="3"/>
  <c r="C6" i="3"/>
  <c r="N6" i="3"/>
  <c r="E13" i="3"/>
  <c r="D13" i="3"/>
  <c r="C13" i="3"/>
  <c r="M5" i="3"/>
  <c r="E5" i="3"/>
  <c r="D5" i="3"/>
  <c r="C5" i="3"/>
  <c r="E16" i="10" l="1"/>
  <c r="C18" i="10" l="1"/>
  <c r="C19" i="10" s="1"/>
  <c r="H19" i="10" s="1"/>
  <c r="E43" i="5"/>
  <c r="H20" i="10" l="1"/>
  <c r="DE19" i="10"/>
  <c r="H52" i="10" l="1"/>
  <c r="H22" i="10"/>
  <c r="H26" i="10"/>
  <c r="H25" i="10"/>
  <c r="H69" i="10" l="1"/>
  <c r="F13" i="2"/>
  <c r="C23" i="10" l="1"/>
  <c r="C20" i="10" s="1"/>
  <c r="E64" i="10"/>
  <c r="C64" i="10"/>
  <c r="C58" i="10" s="1"/>
  <c r="F24" i="2"/>
  <c r="G13" i="2"/>
  <c r="G24" i="2" s="1"/>
  <c r="E24" i="2"/>
  <c r="J6" i="10" l="1"/>
  <c r="I6" i="10"/>
  <c r="V6" i="10"/>
  <c r="AW6" i="10"/>
  <c r="CQ6" i="10"/>
  <c r="CA6" i="10"/>
  <c r="BU6" i="10"/>
  <c r="CV6" i="10"/>
  <c r="BK6" i="10"/>
  <c r="CY6" i="10"/>
  <c r="C68" i="10"/>
  <c r="Q6" i="10"/>
  <c r="CB6" i="10"/>
  <c r="CM6" i="10"/>
  <c r="BB6" i="10"/>
  <c r="BQ6" i="10"/>
  <c r="AG6" i="10"/>
  <c r="BG6" i="10"/>
  <c r="CZ6" i="10"/>
  <c r="O6" i="10"/>
  <c r="H20" i="5"/>
  <c r="X2" i="18" s="1"/>
  <c r="H25" i="5" l="1"/>
  <c r="BC6" i="10"/>
  <c r="CR6" i="10"/>
  <c r="CS6" i="10"/>
  <c r="CD6" i="10"/>
  <c r="M6" i="10"/>
  <c r="CK6" i="10"/>
  <c r="AP6" i="10"/>
  <c r="BN6" i="10"/>
  <c r="CH6" i="10"/>
  <c r="L6" i="10"/>
  <c r="W6" i="10"/>
  <c r="BJ6" i="10"/>
  <c r="CJ6" i="10"/>
  <c r="U6" i="10"/>
  <c r="BS6" i="10"/>
  <c r="AX6" i="10"/>
  <c r="DB6" i="10"/>
  <c r="BA6" i="10"/>
  <c r="BX6" i="10"/>
  <c r="AV6" i="10"/>
  <c r="N6" i="10"/>
  <c r="DC6" i="10"/>
  <c r="Z6" i="10"/>
  <c r="BL6" i="10"/>
  <c r="AS6" i="10"/>
  <c r="CN6" i="10"/>
  <c r="T6" i="10"/>
  <c r="CP6" i="10"/>
  <c r="BO6" i="10"/>
  <c r="DD6" i="10"/>
  <c r="AQ6" i="10"/>
  <c r="CI6" i="10"/>
  <c r="AC6" i="10"/>
  <c r="CF6" i="10"/>
  <c r="BT6" i="10"/>
  <c r="AI6" i="10"/>
  <c r="AB6" i="10"/>
  <c r="AR6" i="10"/>
  <c r="BD6" i="10"/>
  <c r="AF6" i="10"/>
  <c r="BR6" i="10"/>
  <c r="CX6" i="10"/>
  <c r="P6" i="10"/>
  <c r="R6" i="10"/>
  <c r="BM6" i="10"/>
  <c r="CO6" i="10"/>
  <c r="CG6" i="10"/>
  <c r="AY6" i="10"/>
  <c r="K6" i="10"/>
  <c r="CC6" i="10"/>
  <c r="CL6" i="10"/>
  <c r="CW6" i="10"/>
  <c r="BW6" i="10"/>
  <c r="Y6" i="10"/>
  <c r="BY6" i="10"/>
  <c r="BF6" i="10"/>
  <c r="AN6" i="10"/>
  <c r="BE6" i="10"/>
  <c r="AH6" i="10"/>
  <c r="DA6" i="10"/>
  <c r="AL6" i="10"/>
  <c r="BP6" i="10"/>
  <c r="AZ6" i="10"/>
  <c r="AM6" i="10"/>
  <c r="AJ6" i="10"/>
  <c r="BV6" i="10"/>
  <c r="BH6" i="10"/>
  <c r="BZ6" i="10"/>
  <c r="AO6" i="10"/>
  <c r="AE6" i="10"/>
  <c r="CE6" i="10"/>
  <c r="CT6" i="10"/>
  <c r="S6" i="10"/>
  <c r="AT6" i="10"/>
  <c r="AK6" i="10"/>
  <c r="CU6" i="10"/>
  <c r="BI6" i="10"/>
  <c r="AD6" i="10"/>
  <c r="AU6" i="10"/>
  <c r="X6" i="10"/>
  <c r="AA6" i="10"/>
  <c r="H15" i="5"/>
  <c r="DE5" i="10" l="1"/>
  <c r="H38" i="5" s="1"/>
  <c r="AA2" i="18" s="1"/>
  <c r="DE54" i="10"/>
  <c r="DE21" i="10"/>
  <c r="D44" i="2" l="1"/>
  <c r="E21" i="5"/>
  <c r="E22" i="5"/>
  <c r="AG35" i="10"/>
  <c r="AG7" i="10"/>
  <c r="BU17" i="10"/>
  <c r="AQ8" i="10"/>
  <c r="Z17" i="10" l="1"/>
  <c r="Z51" i="10" s="1"/>
  <c r="BW8" i="10"/>
  <c r="P7" i="10"/>
  <c r="DA17" i="10"/>
  <c r="DA51" i="10" s="1"/>
  <c r="DC8" i="10"/>
  <c r="BL8" i="10"/>
  <c r="CL17" i="10"/>
  <c r="CL34" i="10" s="1"/>
  <c r="BC17" i="10"/>
  <c r="BC34" i="10" s="1"/>
  <c r="BF17" i="10"/>
  <c r="BF34" i="10" s="1"/>
  <c r="AO17" i="10"/>
  <c r="AO34" i="10" s="1"/>
  <c r="CR8" i="10"/>
  <c r="AB8" i="10"/>
  <c r="BJ7" i="10"/>
  <c r="AD7" i="10"/>
  <c r="AH8" i="10"/>
  <c r="CI7" i="10"/>
  <c r="AT8" i="10"/>
  <c r="CL35" i="10"/>
  <c r="CS7" i="10"/>
  <c r="CZ7" i="10"/>
  <c r="W7" i="10"/>
  <c r="L17" i="10"/>
  <c r="L34" i="10" s="1"/>
  <c r="CP7" i="10"/>
  <c r="BM7" i="10"/>
  <c r="BT7" i="10"/>
  <c r="CK8" i="10"/>
  <c r="BX17" i="10"/>
  <c r="BX34" i="10" s="1"/>
  <c r="AK53" i="10"/>
  <c r="BQ35" i="10"/>
  <c r="AC35" i="10"/>
  <c r="AV35" i="10"/>
  <c r="DC35" i="10"/>
  <c r="CS35" i="10"/>
  <c r="AU35" i="10"/>
  <c r="R35" i="10"/>
  <c r="CX35" i="10"/>
  <c r="CN35" i="10"/>
  <c r="U35" i="10"/>
  <c r="BL35" i="10"/>
  <c r="W35" i="10"/>
  <c r="AR35" i="10"/>
  <c r="CF35" i="10"/>
  <c r="BH35" i="10"/>
  <c r="BK35" i="10"/>
  <c r="BT35" i="10"/>
  <c r="CR35" i="10"/>
  <c r="AE35" i="10"/>
  <c r="CQ35" i="10"/>
  <c r="BD35" i="10"/>
  <c r="CA35" i="10"/>
  <c r="AI35" i="10"/>
  <c r="BE35" i="10"/>
  <c r="O35" i="10"/>
  <c r="CM35" i="10"/>
  <c r="CG35" i="10"/>
  <c r="I17" i="10"/>
  <c r="DD17" i="10"/>
  <c r="DD51" i="10" s="1"/>
  <c r="CZ17" i="10"/>
  <c r="CZ51" i="10" s="1"/>
  <c r="CJ17" i="10"/>
  <c r="CJ34" i="10" s="1"/>
  <c r="BT17" i="10"/>
  <c r="BT51" i="10" s="1"/>
  <c r="BD17" i="10"/>
  <c r="BD34" i="10" s="1"/>
  <c r="AN17" i="10"/>
  <c r="AN51" i="10" s="1"/>
  <c r="X17" i="10"/>
  <c r="X34" i="10" s="1"/>
  <c r="DB8" i="10"/>
  <c r="CL8" i="10"/>
  <c r="BV8" i="10"/>
  <c r="BF8" i="10"/>
  <c r="AP8" i="10"/>
  <c r="CU17" i="10"/>
  <c r="CU34" i="10" s="1"/>
  <c r="CE17" i="10"/>
  <c r="CE34" i="10" s="1"/>
  <c r="BO17" i="10"/>
  <c r="BO34" i="10" s="1"/>
  <c r="AY17" i="10"/>
  <c r="AY34" i="10" s="1"/>
  <c r="AI17" i="10"/>
  <c r="AI34" i="10" s="1"/>
  <c r="S17" i="10"/>
  <c r="S34" i="10" s="1"/>
  <c r="CW8" i="10"/>
  <c r="CG8" i="10"/>
  <c r="BQ8" i="10"/>
  <c r="BA8" i="10"/>
  <c r="K7" i="10"/>
  <c r="AA7" i="10"/>
  <c r="AQ7" i="10"/>
  <c r="AQ9" i="10" s="1"/>
  <c r="AQ14" i="10" s="1"/>
  <c r="BG7" i="10"/>
  <c r="BW7" i="10"/>
  <c r="CM7" i="10"/>
  <c r="DC7" i="10"/>
  <c r="U8" i="10"/>
  <c r="AK8" i="10"/>
  <c r="T7" i="10"/>
  <c r="AJ7" i="10"/>
  <c r="AZ7" i="10"/>
  <c r="BN35" i="10"/>
  <c r="M35" i="10"/>
  <c r="BY35" i="10"/>
  <c r="AK35" i="10"/>
  <c r="DD35" i="10"/>
  <c r="Z35" i="10"/>
  <c r="CW35" i="10"/>
  <c r="CI35" i="10"/>
  <c r="BR35" i="10"/>
  <c r="BG35" i="10"/>
  <c r="Q35" i="10"/>
  <c r="AW35" i="10"/>
  <c r="AS35" i="10"/>
  <c r="AM35" i="10"/>
  <c r="AH35" i="10"/>
  <c r="CP35" i="10"/>
  <c r="CC35" i="10"/>
  <c r="AA35" i="10"/>
  <c r="AY35" i="10"/>
  <c r="CY35" i="10"/>
  <c r="V35" i="10"/>
  <c r="DA35" i="10"/>
  <c r="BZ35" i="10"/>
  <c r="AN35" i="10"/>
  <c r="CV17" i="10"/>
  <c r="CV51" i="10" s="1"/>
  <c r="CF17" i="10"/>
  <c r="CF51" i="10" s="1"/>
  <c r="BP17" i="10"/>
  <c r="BP34" i="10" s="1"/>
  <c r="AZ17" i="10"/>
  <c r="AZ51" i="10" s="1"/>
  <c r="AJ17" i="10"/>
  <c r="AJ34" i="10" s="1"/>
  <c r="T17" i="10"/>
  <c r="T51" i="10" s="1"/>
  <c r="CX8" i="10"/>
  <c r="CH8" i="10"/>
  <c r="BR8" i="10"/>
  <c r="BB8" i="10"/>
  <c r="AA8" i="10"/>
  <c r="CQ17" i="10"/>
  <c r="CQ51" i="10" s="1"/>
  <c r="CA17" i="10"/>
  <c r="CA51" i="10" s="1"/>
  <c r="BK17" i="10"/>
  <c r="BK51" i="10" s="1"/>
  <c r="AU17" i="10"/>
  <c r="AU34" i="10" s="1"/>
  <c r="AE17" i="10"/>
  <c r="AE51" i="10" s="1"/>
  <c r="O17" i="10"/>
  <c r="O34" i="10" s="1"/>
  <c r="CS8" i="10"/>
  <c r="CC8" i="10"/>
  <c r="BM8" i="10"/>
  <c r="AW8" i="10"/>
  <c r="O7" i="10"/>
  <c r="AE7" i="10"/>
  <c r="AU7" i="10"/>
  <c r="BK7" i="10"/>
  <c r="CA7" i="10"/>
  <c r="CQ7" i="10"/>
  <c r="Y8" i="10"/>
  <c r="AO8" i="10"/>
  <c r="X7" i="10"/>
  <c r="AN7" i="10"/>
  <c r="BD7" i="10"/>
  <c r="DB35" i="10"/>
  <c r="AZ35" i="10"/>
  <c r="P35" i="10"/>
  <c r="CV35" i="10"/>
  <c r="CH35" i="10"/>
  <c r="BJ35" i="10"/>
  <c r="CD35" i="10"/>
  <c r="CE35" i="10"/>
  <c r="AB35" i="10"/>
  <c r="CJ35" i="10"/>
  <c r="AX35" i="10"/>
  <c r="L35" i="10"/>
  <c r="CZ35" i="10"/>
  <c r="T35" i="10"/>
  <c r="J35" i="10"/>
  <c r="AP35" i="10"/>
  <c r="CO35" i="10"/>
  <c r="AF35" i="10"/>
  <c r="BS35" i="10"/>
  <c r="X35" i="10"/>
  <c r="BU35" i="10"/>
  <c r="BI35" i="10"/>
  <c r="BA35" i="10"/>
  <c r="Y35" i="10"/>
  <c r="BF35" i="10"/>
  <c r="BW35" i="10"/>
  <c r="AO35" i="10"/>
  <c r="CN17" i="10"/>
  <c r="CN51" i="10" s="1"/>
  <c r="BH17" i="10"/>
  <c r="BH34" i="10" s="1"/>
  <c r="AB17" i="10"/>
  <c r="AB34" i="10" s="1"/>
  <c r="CP8" i="10"/>
  <c r="BJ8" i="10"/>
  <c r="CY17" i="10"/>
  <c r="CY34" i="10" s="1"/>
  <c r="BS17" i="10"/>
  <c r="BS34" i="10" s="1"/>
  <c r="AM17" i="10"/>
  <c r="AM51" i="10" s="1"/>
  <c r="DA8" i="10"/>
  <c r="BU8" i="10"/>
  <c r="AM8" i="10"/>
  <c r="AM7" i="10"/>
  <c r="BS7" i="10"/>
  <c r="CY7" i="10"/>
  <c r="AG8" i="10"/>
  <c r="AG9" i="10" s="1"/>
  <c r="AG14" i="10" s="1"/>
  <c r="AF7" i="10"/>
  <c r="BL7" i="10"/>
  <c r="CB7" i="10"/>
  <c r="CR7" i="10"/>
  <c r="J8" i="10"/>
  <c r="Z8" i="10"/>
  <c r="I7" i="10"/>
  <c r="Y7" i="10"/>
  <c r="AO7" i="10"/>
  <c r="BE7" i="10"/>
  <c r="BU7" i="10"/>
  <c r="CK7" i="10"/>
  <c r="DA7" i="10"/>
  <c r="V7" i="10"/>
  <c r="AL7" i="10"/>
  <c r="BB7" i="10"/>
  <c r="BR7" i="10"/>
  <c r="CH7" i="10"/>
  <c r="CX7" i="10"/>
  <c r="T8" i="10"/>
  <c r="AJ8" i="10"/>
  <c r="CT17" i="10"/>
  <c r="CT51" i="10" s="1"/>
  <c r="CD17" i="10"/>
  <c r="CD34" i="10" s="1"/>
  <c r="BN17" i="10"/>
  <c r="BN34" i="10" s="1"/>
  <c r="AX17" i="10"/>
  <c r="AX34" i="10" s="1"/>
  <c r="AH17" i="10"/>
  <c r="AH51" i="10" s="1"/>
  <c r="R17" i="10"/>
  <c r="R34" i="10" s="1"/>
  <c r="CZ8" i="10"/>
  <c r="CJ8" i="10"/>
  <c r="BT8" i="10"/>
  <c r="BD8" i="10"/>
  <c r="AI8" i="10"/>
  <c r="CS17" i="10"/>
  <c r="CS34" i="10" s="1"/>
  <c r="CC17" i="10"/>
  <c r="CC34" i="10" s="1"/>
  <c r="BM17" i="10"/>
  <c r="BM34" i="10" s="1"/>
  <c r="AW17" i="10"/>
  <c r="AW51" i="10" s="1"/>
  <c r="AG17" i="10"/>
  <c r="AG51" i="10" s="1"/>
  <c r="Q17" i="10"/>
  <c r="Q34" i="10" s="1"/>
  <c r="CU8" i="10"/>
  <c r="CE8" i="10"/>
  <c r="BO8" i="10"/>
  <c r="AY8" i="10"/>
  <c r="O8" i="10"/>
  <c r="BO35" i="10"/>
  <c r="BX35" i="10"/>
  <c r="CK35" i="10"/>
  <c r="BB35" i="10"/>
  <c r="CB35" i="10"/>
  <c r="CU35" i="10"/>
  <c r="W8" i="10"/>
  <c r="CB17" i="10"/>
  <c r="CB34" i="10" s="1"/>
  <c r="AV17" i="10"/>
  <c r="AV51" i="10" s="1"/>
  <c r="P17" i="10"/>
  <c r="P51" i="10" s="1"/>
  <c r="CD8" i="10"/>
  <c r="AX8" i="10"/>
  <c r="CM17" i="10"/>
  <c r="CM51" i="10" s="1"/>
  <c r="BG17" i="10"/>
  <c r="BG34" i="10" s="1"/>
  <c r="AA17" i="10"/>
  <c r="AA51" i="10" s="1"/>
  <c r="CO8" i="10"/>
  <c r="BI8" i="10"/>
  <c r="S7" i="10"/>
  <c r="AY7" i="10"/>
  <c r="CE7" i="10"/>
  <c r="M8" i="10"/>
  <c r="L7" i="10"/>
  <c r="AR7" i="10"/>
  <c r="BP7" i="10"/>
  <c r="CF7" i="10"/>
  <c r="CV7" i="10"/>
  <c r="N8" i="10"/>
  <c r="AD8" i="10"/>
  <c r="M7" i="10"/>
  <c r="AC7" i="10"/>
  <c r="AS7" i="10"/>
  <c r="BI7" i="10"/>
  <c r="BY7" i="10"/>
  <c r="CO7" i="10"/>
  <c r="J7" i="10"/>
  <c r="Z7" i="10"/>
  <c r="AP7" i="10"/>
  <c r="BF7" i="10"/>
  <c r="BV7" i="10"/>
  <c r="CL7" i="10"/>
  <c r="DB7" i="10"/>
  <c r="X8" i="10"/>
  <c r="AN8" i="10"/>
  <c r="CP17" i="10"/>
  <c r="CP51" i="10" s="1"/>
  <c r="BZ17" i="10"/>
  <c r="BZ34" i="10" s="1"/>
  <c r="BJ17" i="10"/>
  <c r="BJ34" i="10" s="1"/>
  <c r="AT17" i="10"/>
  <c r="AT34" i="10" s="1"/>
  <c r="AD17" i="10"/>
  <c r="AD34" i="10" s="1"/>
  <c r="N17" i="10"/>
  <c r="N51" i="10" s="1"/>
  <c r="CV8" i="10"/>
  <c r="CF8" i="10"/>
  <c r="BP8" i="10"/>
  <c r="AZ8" i="10"/>
  <c r="S8" i="10"/>
  <c r="CO17" i="10"/>
  <c r="CO51" i="10" s="1"/>
  <c r="BY17" i="10"/>
  <c r="BY34" i="10" s="1"/>
  <c r="BI17" i="10"/>
  <c r="BI51" i="10" s="1"/>
  <c r="AS17" i="10"/>
  <c r="AS34" i="10" s="1"/>
  <c r="AC17" i="10"/>
  <c r="AC51" i="10" s="1"/>
  <c r="M17" i="10"/>
  <c r="M34" i="10" s="1"/>
  <c r="CQ8" i="10"/>
  <c r="CA8" i="10"/>
  <c r="BK8" i="10"/>
  <c r="AU8" i="10"/>
  <c r="BP35" i="10"/>
  <c r="CT35" i="10"/>
  <c r="AD35" i="10"/>
  <c r="BV35" i="10"/>
  <c r="AT35" i="10"/>
  <c r="CI8" i="10"/>
  <c r="BA17" i="10"/>
  <c r="BA34" i="10" s="1"/>
  <c r="AR8" i="10"/>
  <c r="DD8" i="10"/>
  <c r="CX17" i="10"/>
  <c r="CX51" i="10" s="1"/>
  <c r="CD7" i="10"/>
  <c r="R7" i="10"/>
  <c r="BA7" i="10"/>
  <c r="V8" i="10"/>
  <c r="AC8" i="10"/>
  <c r="BN8" i="10"/>
  <c r="DB17" i="10"/>
  <c r="DB51" i="10" s="1"/>
  <c r="L8" i="10"/>
  <c r="BZ7" i="10"/>
  <c r="AT7" i="10"/>
  <c r="N7" i="10"/>
  <c r="CC7" i="10"/>
  <c r="AW7" i="10"/>
  <c r="Q7" i="10"/>
  <c r="R8" i="10"/>
  <c r="CJ7" i="10"/>
  <c r="AV7" i="10"/>
  <c r="Q8" i="10"/>
  <c r="BC7" i="10"/>
  <c r="BE8" i="10"/>
  <c r="W17" i="10"/>
  <c r="W34" i="10" s="1"/>
  <c r="CI17" i="10"/>
  <c r="CI51" i="10" s="1"/>
  <c r="BZ8" i="10"/>
  <c r="AR17" i="10"/>
  <c r="AR34" i="10" s="1"/>
  <c r="DC17" i="10"/>
  <c r="DC34" i="10" s="1"/>
  <c r="N35" i="10"/>
  <c r="K35" i="10"/>
  <c r="AQ35" i="10"/>
  <c r="BM35" i="10"/>
  <c r="BC8" i="10"/>
  <c r="U17" i="10"/>
  <c r="U34" i="10" s="1"/>
  <c r="CG17" i="10"/>
  <c r="CG51" i="10" s="1"/>
  <c r="BX8" i="10"/>
  <c r="AL17" i="10"/>
  <c r="AL34" i="10" s="1"/>
  <c r="BR17" i="10"/>
  <c r="BR34" i="10" s="1"/>
  <c r="P8" i="10"/>
  <c r="AX7" i="10"/>
  <c r="CG7" i="10"/>
  <c r="U7" i="10"/>
  <c r="CN7" i="10"/>
  <c r="BH7" i="10"/>
  <c r="BO7" i="10"/>
  <c r="AS8" i="10"/>
  <c r="K17" i="10"/>
  <c r="K51" i="10" s="1"/>
  <c r="BW17" i="10"/>
  <c r="BW34" i="10" s="1"/>
  <c r="AF17" i="10"/>
  <c r="AF51" i="10" s="1"/>
  <c r="CR17" i="10"/>
  <c r="CR34" i="10" s="1"/>
  <c r="BG8" i="10"/>
  <c r="CM8" i="10"/>
  <c r="Y17" i="10"/>
  <c r="Y34" i="10" s="1"/>
  <c r="BE17" i="10"/>
  <c r="BE34" i="10" s="1"/>
  <c r="CK17" i="10"/>
  <c r="CK51" i="10" s="1"/>
  <c r="AV8" i="10"/>
  <c r="CB8" i="10"/>
  <c r="J17" i="10"/>
  <c r="J34" i="10" s="1"/>
  <c r="AP17" i="10"/>
  <c r="AP51" i="10" s="1"/>
  <c r="BV17" i="10"/>
  <c r="BV51" i="10" s="1"/>
  <c r="AE8" i="10"/>
  <c r="BS8" i="10"/>
  <c r="CY8" i="10"/>
  <c r="AK17" i="10"/>
  <c r="AK34" i="10" s="1"/>
  <c r="BQ17" i="10"/>
  <c r="BQ51" i="10" s="1"/>
  <c r="CW17" i="10"/>
  <c r="CW34" i="10" s="1"/>
  <c r="BH8" i="10"/>
  <c r="CN8" i="10"/>
  <c r="V17" i="10"/>
  <c r="V34" i="10" s="1"/>
  <c r="BB17" i="10"/>
  <c r="BB51" i="10" s="1"/>
  <c r="CH17" i="10"/>
  <c r="CH51" i="10" s="1"/>
  <c r="AF8" i="10"/>
  <c r="CT7" i="10"/>
  <c r="BN7" i="10"/>
  <c r="AH7" i="10"/>
  <c r="CW7" i="10"/>
  <c r="BQ7" i="10"/>
  <c r="AK7" i="10"/>
  <c r="AL8" i="10"/>
  <c r="DD7" i="10"/>
  <c r="BX7" i="10"/>
  <c r="AB7" i="10"/>
  <c r="CU7" i="10"/>
  <c r="AI7" i="10"/>
  <c r="BY8" i="10"/>
  <c r="AQ17" i="10"/>
  <c r="AQ51" i="10" s="1"/>
  <c r="K8" i="10"/>
  <c r="CT8" i="10"/>
  <c r="BL17" i="10"/>
  <c r="BL51" i="10" s="1"/>
  <c r="S35" i="10"/>
  <c r="BC35" i="10"/>
  <c r="AJ35" i="10"/>
  <c r="AL35" i="10"/>
  <c r="E44" i="5"/>
  <c r="H57" i="5" s="1"/>
  <c r="BU34" i="10"/>
  <c r="BU51" i="10"/>
  <c r="E18" i="10" l="1"/>
  <c r="E19" i="10" s="1"/>
  <c r="M9" i="10"/>
  <c r="BU9" i="10"/>
  <c r="BU14" i="10" s="1"/>
  <c r="BL9" i="10"/>
  <c r="BL14" i="10" s="1"/>
  <c r="Z34" i="10"/>
  <c r="AB9" i="10"/>
  <c r="AB14" i="10" s="1"/>
  <c r="CZ9" i="10"/>
  <c r="W53" i="10"/>
  <c r="AA34" i="10"/>
  <c r="CO34" i="10"/>
  <c r="AC34" i="10"/>
  <c r="CD51" i="10"/>
  <c r="AT51" i="10"/>
  <c r="AG47" i="10"/>
  <c r="AM53" i="10"/>
  <c r="AY47" i="10"/>
  <c r="X47" i="10"/>
  <c r="AZ53" i="10"/>
  <c r="AV47" i="10"/>
  <c r="BM9" i="10"/>
  <c r="BM14" i="10" s="1"/>
  <c r="BC53" i="10"/>
  <c r="BO47" i="10"/>
  <c r="AQ47" i="10"/>
  <c r="BD53" i="10"/>
  <c r="BN53" i="10"/>
  <c r="DA47" i="10"/>
  <c r="AC53" i="10"/>
  <c r="BT53" i="10"/>
  <c r="BF53" i="10"/>
  <c r="CG47" i="10"/>
  <c r="AU53" i="10"/>
  <c r="AW53" i="10"/>
  <c r="BV53" i="10"/>
  <c r="BI47" i="10"/>
  <c r="U47" i="10"/>
  <c r="DB47" i="10"/>
  <c r="T53" i="10"/>
  <c r="BG47" i="10"/>
  <c r="BV47" i="10"/>
  <c r="AT53" i="10"/>
  <c r="CD47" i="10"/>
  <c r="AA53" i="10"/>
  <c r="AW47" i="10"/>
  <c r="CS47" i="10"/>
  <c r="CZ53" i="10"/>
  <c r="Q47" i="10"/>
  <c r="CJ47" i="10"/>
  <c r="Y47" i="10"/>
  <c r="CN53" i="10"/>
  <c r="O47" i="10"/>
  <c r="AD53" i="10"/>
  <c r="AX47" i="10"/>
  <c r="K53" i="10"/>
  <c r="CR47" i="10"/>
  <c r="BE47" i="10"/>
  <c r="P53" i="10"/>
  <c r="W47" i="10"/>
  <c r="AL53" i="10"/>
  <c r="BR53" i="10"/>
  <c r="BW53" i="10"/>
  <c r="CI47" i="10"/>
  <c r="CH47" i="10"/>
  <c r="S53" i="10"/>
  <c r="CZ47" i="10"/>
  <c r="AS47" i="10"/>
  <c r="AR53" i="10"/>
  <c r="BK47" i="10"/>
  <c r="BZ53" i="10"/>
  <c r="AB47" i="10"/>
  <c r="BG53" i="10"/>
  <c r="AM47" i="10"/>
  <c r="BB53" i="10"/>
  <c r="CT47" i="10"/>
  <c r="AI53" i="10"/>
  <c r="U53" i="10"/>
  <c r="BA47" i="10"/>
  <c r="L53" i="10"/>
  <c r="AU47" i="10"/>
  <c r="BJ53" i="10"/>
  <c r="L47" i="10"/>
  <c r="AQ53" i="10"/>
  <c r="DC53" i="10"/>
  <c r="M47" i="10"/>
  <c r="AC47" i="10"/>
  <c r="CE47" i="10"/>
  <c r="BH53" i="10"/>
  <c r="BX47" i="10"/>
  <c r="CK47" i="10"/>
  <c r="AV53" i="10"/>
  <c r="DD47" i="10"/>
  <c r="BX53" i="10"/>
  <c r="AI47" i="10"/>
  <c r="AX53" i="10"/>
  <c r="CL47" i="10"/>
  <c r="AE53" i="10"/>
  <c r="K47" i="10"/>
  <c r="Z53" i="10"/>
  <c r="AP47" i="10"/>
  <c r="CC47" i="10"/>
  <c r="CN47" i="10"/>
  <c r="AO47" i="10"/>
  <c r="DD53" i="10"/>
  <c r="S47" i="10"/>
  <c r="AH53" i="10"/>
  <c r="BF47" i="10"/>
  <c r="O53" i="10"/>
  <c r="CV47" i="10"/>
  <c r="AB53" i="10"/>
  <c r="AY53" i="10"/>
  <c r="AD47" i="10"/>
  <c r="CY53" i="10"/>
  <c r="N47" i="10"/>
  <c r="AA47" i="10"/>
  <c r="H59" i="10"/>
  <c r="CU9" i="10"/>
  <c r="CU14" i="10" s="1"/>
  <c r="AL9" i="10"/>
  <c r="AL14" i="10" s="1"/>
  <c r="AH9" i="10"/>
  <c r="AH14" i="10" s="1"/>
  <c r="CY9" i="10"/>
  <c r="P9" i="10"/>
  <c r="P14" i="10" s="1"/>
  <c r="BF9" i="10"/>
  <c r="BF14" i="10" s="1"/>
  <c r="CP9" i="10"/>
  <c r="CP14" i="10" s="1"/>
  <c r="BH51" i="10"/>
  <c r="X51" i="10"/>
  <c r="CP34" i="10"/>
  <c r="CL51" i="10"/>
  <c r="DA34" i="10"/>
  <c r="AE34" i="10"/>
  <c r="BN51" i="10"/>
  <c r="BS51" i="10"/>
  <c r="AL47" i="10"/>
  <c r="AZ47" i="10"/>
  <c r="BU53" i="10"/>
  <c r="CE53" i="10"/>
  <c r="CM47" i="10"/>
  <c r="CJ53" i="10"/>
  <c r="DB53" i="10"/>
  <c r="AT47" i="10"/>
  <c r="BD47" i="10"/>
  <c r="CG53" i="10"/>
  <c r="CI53" i="10"/>
  <c r="CQ47" i="10"/>
  <c r="H35" i="10"/>
  <c r="H41" i="10" s="1"/>
  <c r="CF53" i="10"/>
  <c r="CD53" i="10"/>
  <c r="BY47" i="10"/>
  <c r="AF47" i="10"/>
  <c r="BP53" i="10"/>
  <c r="BK53" i="10"/>
  <c r="BS47" i="10"/>
  <c r="CV53" i="10"/>
  <c r="CH53" i="10"/>
  <c r="J47" i="10"/>
  <c r="AJ47" i="10"/>
  <c r="CB53" i="10"/>
  <c r="BO53" i="10"/>
  <c r="BW47" i="10"/>
  <c r="CO47" i="10"/>
  <c r="CL53" i="10"/>
  <c r="R47" i="10"/>
  <c r="AN47" i="10"/>
  <c r="CR53" i="10"/>
  <c r="BS53" i="10"/>
  <c r="CA47" i="10"/>
  <c r="X53" i="10"/>
  <c r="CP53" i="10"/>
  <c r="V47" i="10"/>
  <c r="AR47" i="10"/>
  <c r="BC47" i="10"/>
  <c r="T47" i="10"/>
  <c r="AS53" i="10"/>
  <c r="AN53" i="10"/>
  <c r="BM53" i="10"/>
  <c r="CX53" i="10"/>
  <c r="AO53" i="10"/>
  <c r="N53" i="10"/>
  <c r="CS53" i="10"/>
  <c r="AE47" i="10"/>
  <c r="I47" i="10"/>
  <c r="AF53" i="10"/>
  <c r="AY51" i="10"/>
  <c r="CB47" i="10"/>
  <c r="R53" i="10"/>
  <c r="BQ47" i="10"/>
  <c r="Z47" i="10"/>
  <c r="BL53" i="10"/>
  <c r="CW53" i="10"/>
  <c r="CX47" i="10"/>
  <c r="CF47" i="10"/>
  <c r="V53" i="10"/>
  <c r="CW47" i="10"/>
  <c r="AH47" i="10"/>
  <c r="BY53" i="10"/>
  <c r="I53" i="10"/>
  <c r="BA53" i="10"/>
  <c r="BB47" i="10"/>
  <c r="BH47" i="10"/>
  <c r="CO53" i="10"/>
  <c r="CM53" i="10"/>
  <c r="CU47" i="10"/>
  <c r="Q53" i="10"/>
  <c r="BI53" i="10"/>
  <c r="BJ47" i="10"/>
  <c r="BL47" i="10"/>
  <c r="DA53" i="10"/>
  <c r="CQ53" i="10"/>
  <c r="CY47" i="10"/>
  <c r="Y53" i="10"/>
  <c r="BQ53" i="10"/>
  <c r="BR47" i="10"/>
  <c r="BP47" i="10"/>
  <c r="BM47" i="10"/>
  <c r="CU53" i="10"/>
  <c r="DC47" i="10"/>
  <c r="AG53" i="10"/>
  <c r="CC53" i="10"/>
  <c r="BZ47" i="10"/>
  <c r="BT47" i="10"/>
  <c r="P47" i="10"/>
  <c r="M53" i="10"/>
  <c r="AJ53" i="10"/>
  <c r="BE53" i="10"/>
  <c r="CT53" i="10"/>
  <c r="CA53" i="10"/>
  <c r="J53" i="10"/>
  <c r="CK53" i="10"/>
  <c r="AK47" i="10"/>
  <c r="CP47" i="10"/>
  <c r="BU47" i="10"/>
  <c r="BN47" i="10"/>
  <c r="AP53" i="10"/>
  <c r="AB51" i="10"/>
  <c r="BC51" i="10"/>
  <c r="AZ34" i="10"/>
  <c r="BT34" i="10"/>
  <c r="CQ34" i="10"/>
  <c r="AK9" i="10"/>
  <c r="AK14" i="10" s="1"/>
  <c r="AX9" i="10"/>
  <c r="AX14" i="10" s="1"/>
  <c r="AZ9" i="10"/>
  <c r="AZ14" i="10" s="1"/>
  <c r="AW34" i="10"/>
  <c r="CI9" i="10"/>
  <c r="CI14" i="10" s="1"/>
  <c r="CH9" i="10"/>
  <c r="CH14" i="10" s="1"/>
  <c r="CG34" i="10"/>
  <c r="CI34" i="10"/>
  <c r="R51" i="10"/>
  <c r="CB51" i="10"/>
  <c r="CS9" i="10"/>
  <c r="CS14" i="10" s="1"/>
  <c r="AI51" i="10"/>
  <c r="BY9" i="10"/>
  <c r="BY14" i="10" s="1"/>
  <c r="AI9" i="10"/>
  <c r="AI14" i="10" s="1"/>
  <c r="BW51" i="10"/>
  <c r="BX51" i="10"/>
  <c r="AD51" i="10"/>
  <c r="CY51" i="10"/>
  <c r="BM51" i="10"/>
  <c r="AN9" i="10"/>
  <c r="AN14" i="10" s="1"/>
  <c r="AC9" i="10"/>
  <c r="AC14" i="10" s="1"/>
  <c r="BO9" i="10"/>
  <c r="BO14" i="10" s="1"/>
  <c r="Y9" i="10"/>
  <c r="Y14" i="10" s="1"/>
  <c r="DD9" i="10"/>
  <c r="CL9" i="10"/>
  <c r="CL14" i="10" s="1"/>
  <c r="CJ9" i="10"/>
  <c r="CJ14" i="10" s="1"/>
  <c r="DB34" i="10"/>
  <c r="AJ51" i="10"/>
  <c r="CU51" i="10"/>
  <c r="CA34" i="10"/>
  <c r="BD51" i="10"/>
  <c r="CV34" i="10"/>
  <c r="O51" i="10"/>
  <c r="DD34" i="10"/>
  <c r="AS9" i="10"/>
  <c r="AS14" i="10" s="1"/>
  <c r="AO9" i="10"/>
  <c r="AO14" i="10" s="1"/>
  <c r="CE9" i="10"/>
  <c r="CE14" i="10" s="1"/>
  <c r="BW9" i="10"/>
  <c r="BW14" i="10" s="1"/>
  <c r="CM34" i="10"/>
  <c r="V51" i="10"/>
  <c r="AM34" i="10"/>
  <c r="AX51" i="10"/>
  <c r="BV34" i="10"/>
  <c r="AK51" i="10"/>
  <c r="AP34" i="10"/>
  <c r="K34" i="10"/>
  <c r="N34" i="10"/>
  <c r="BL34" i="10"/>
  <c r="AG34" i="10"/>
  <c r="BZ51" i="10"/>
  <c r="AV34" i="10"/>
  <c r="CX34" i="10"/>
  <c r="BQ34" i="10"/>
  <c r="CS51" i="10"/>
  <c r="CZ34" i="10"/>
  <c r="AN34" i="10"/>
  <c r="CE51" i="10"/>
  <c r="S51" i="10"/>
  <c r="AF34" i="10"/>
  <c r="AL51" i="10"/>
  <c r="AR51" i="10"/>
  <c r="BI34" i="10"/>
  <c r="CF34" i="10"/>
  <c r="T34" i="10"/>
  <c r="BK34" i="10"/>
  <c r="BF51" i="10"/>
  <c r="CF9" i="10"/>
  <c r="CF14" i="10" s="1"/>
  <c r="BG9" i="10"/>
  <c r="BG14" i="10" s="1"/>
  <c r="BA9" i="10"/>
  <c r="BA14" i="10" s="1"/>
  <c r="BB9" i="10"/>
  <c r="BB14" i="10" s="1"/>
  <c r="DC9" i="10"/>
  <c r="AT9" i="10"/>
  <c r="AT14" i="10" s="1"/>
  <c r="BV9" i="10"/>
  <c r="BV14" i="10" s="1"/>
  <c r="J9" i="10"/>
  <c r="J14" i="10" s="1"/>
  <c r="U9" i="10"/>
  <c r="U14" i="10" s="1"/>
  <c r="CA9" i="10"/>
  <c r="CA14" i="10" s="1"/>
  <c r="BJ9" i="10"/>
  <c r="BJ14" i="10" s="1"/>
  <c r="AF9" i="10"/>
  <c r="AF14" i="10" s="1"/>
  <c r="W9" i="10"/>
  <c r="W14" i="10" s="1"/>
  <c r="O9" i="10"/>
  <c r="O14" i="10" s="1"/>
  <c r="CB9" i="10"/>
  <c r="CB14" i="10" s="1"/>
  <c r="CG9" i="10"/>
  <c r="CG14" i="10" s="1"/>
  <c r="N9" i="10"/>
  <c r="N14" i="10" s="1"/>
  <c r="CK9" i="10"/>
  <c r="CK14" i="10" s="1"/>
  <c r="CR9" i="10"/>
  <c r="CR14" i="10" s="1"/>
  <c r="BI9" i="10"/>
  <c r="BI14" i="10" s="1"/>
  <c r="L9" i="10"/>
  <c r="L14" i="10" s="1"/>
  <c r="AY9" i="10"/>
  <c r="AY14" i="10" s="1"/>
  <c r="DA9" i="10"/>
  <c r="AE9" i="10"/>
  <c r="AE14" i="10" s="1"/>
  <c r="CC9" i="10"/>
  <c r="CC14" i="10" s="1"/>
  <c r="CH34" i="10"/>
  <c r="CK34" i="10"/>
  <c r="AH34" i="10"/>
  <c r="P34" i="10"/>
  <c r="W51" i="10"/>
  <c r="CT34" i="10"/>
  <c r="CJ51" i="10"/>
  <c r="BP51" i="10"/>
  <c r="AQ34" i="10"/>
  <c r="BB34" i="10"/>
  <c r="Q51" i="10"/>
  <c r="AS51" i="10"/>
  <c r="CN34" i="10"/>
  <c r="BE51" i="10"/>
  <c r="DC51" i="10"/>
  <c r="BT9" i="10"/>
  <c r="BT14" i="10" s="1"/>
  <c r="CR51" i="10"/>
  <c r="BG51" i="10"/>
  <c r="BR51" i="10"/>
  <c r="CW51" i="10"/>
  <c r="U51" i="10"/>
  <c r="L51" i="10"/>
  <c r="CC51" i="10"/>
  <c r="BJ51" i="10"/>
  <c r="J51" i="10"/>
  <c r="BO51" i="10"/>
  <c r="AU51" i="10"/>
  <c r="AO51" i="10"/>
  <c r="BA51" i="10"/>
  <c r="AA9" i="10"/>
  <c r="AA14" i="10" s="1"/>
  <c r="Y51" i="10"/>
  <c r="CV9" i="10"/>
  <c r="CV14" i="10" s="1"/>
  <c r="S9" i="10"/>
  <c r="S14" i="10" s="1"/>
  <c r="V9" i="10"/>
  <c r="V14" i="10" s="1"/>
  <c r="BE9" i="10"/>
  <c r="BE14" i="10" s="1"/>
  <c r="BS9" i="10"/>
  <c r="BS14" i="10" s="1"/>
  <c r="X9" i="10"/>
  <c r="X14" i="10" s="1"/>
  <c r="CQ9" i="10"/>
  <c r="CQ14" i="10" s="1"/>
  <c r="CX9" i="10"/>
  <c r="CX14" i="10" s="1"/>
  <c r="BC9" i="10"/>
  <c r="BC14" i="10" s="1"/>
  <c r="CW9" i="10"/>
  <c r="CW14" i="10" s="1"/>
  <c r="BZ9" i="10"/>
  <c r="BZ14" i="10" s="1"/>
  <c r="Z9" i="10"/>
  <c r="Z14" i="10" s="1"/>
  <c r="AD9" i="10"/>
  <c r="AD14" i="10" s="1"/>
  <c r="K9" i="10"/>
  <c r="K14" i="10" s="1"/>
  <c r="Q9" i="10"/>
  <c r="Q14" i="10" s="1"/>
  <c r="CM9" i="10"/>
  <c r="CM14" i="10" s="1"/>
  <c r="AU9" i="10"/>
  <c r="AU14" i="10" s="1"/>
  <c r="T9" i="10"/>
  <c r="T14" i="10" s="1"/>
  <c r="BH9" i="10"/>
  <c r="BH14" i="10" s="1"/>
  <c r="BQ9" i="10"/>
  <c r="BQ14" i="10" s="1"/>
  <c r="AQ31" i="10"/>
  <c r="BX9" i="10"/>
  <c r="BX14" i="10" s="1"/>
  <c r="DE8" i="10"/>
  <c r="H41" i="5" s="1"/>
  <c r="O2" i="18" s="1"/>
  <c r="BP9" i="10"/>
  <c r="BP14" i="10" s="1"/>
  <c r="BD9" i="10"/>
  <c r="BD14" i="10" s="1"/>
  <c r="BK9" i="10"/>
  <c r="BK14" i="10" s="1"/>
  <c r="AW9" i="10"/>
  <c r="AW14" i="10" s="1"/>
  <c r="BR9" i="10"/>
  <c r="BR14" i="10" s="1"/>
  <c r="AJ9" i="10"/>
  <c r="AJ14" i="10" s="1"/>
  <c r="AG31" i="10"/>
  <c r="DE6" i="10"/>
  <c r="H39" i="5" s="1"/>
  <c r="K2" i="18" s="1"/>
  <c r="AV9" i="10"/>
  <c r="AV14" i="10" s="1"/>
  <c r="AM9" i="10"/>
  <c r="AM14" i="10" s="1"/>
  <c r="CO9" i="10"/>
  <c r="CO14" i="10" s="1"/>
  <c r="CN9" i="10"/>
  <c r="CN14" i="10" s="1"/>
  <c r="R9" i="10"/>
  <c r="R14" i="10" s="1"/>
  <c r="AR9" i="10"/>
  <c r="AR14" i="10" s="1"/>
  <c r="DE13" i="10"/>
  <c r="H43" i="5" s="1"/>
  <c r="BN9" i="10"/>
  <c r="BN14" i="10" s="1"/>
  <c r="CD9" i="10"/>
  <c r="CD14" i="10" s="1"/>
  <c r="BY51" i="10"/>
  <c r="M51" i="10"/>
  <c r="CT9" i="10"/>
  <c r="CT14" i="10" s="1"/>
  <c r="DB9" i="10"/>
  <c r="AP9" i="10"/>
  <c r="AP14" i="10" s="1"/>
  <c r="DE7" i="10"/>
  <c r="I9" i="10"/>
  <c r="I14" i="10" s="1"/>
  <c r="I64" i="10" s="1"/>
  <c r="DE17" i="10"/>
  <c r="I34" i="10"/>
  <c r="I51" i="10"/>
  <c r="H40" i="5" l="1"/>
  <c r="H42" i="5" s="1"/>
  <c r="DA14" i="10"/>
  <c r="DA46" i="10" s="1"/>
  <c r="DA48" i="10" s="1"/>
  <c r="DD14" i="10"/>
  <c r="DD31" i="10" s="1"/>
  <c r="CZ14" i="10"/>
  <c r="CZ31" i="10" s="1"/>
  <c r="DC14" i="10"/>
  <c r="DC31" i="10" s="1"/>
  <c r="CY14" i="10"/>
  <c r="CY31" i="10" s="1"/>
  <c r="M14" i="10"/>
  <c r="M46" i="10" s="1"/>
  <c r="M48" i="10" s="1"/>
  <c r="DB14" i="10"/>
  <c r="DB46" i="10" s="1"/>
  <c r="DB48" i="10" s="1"/>
  <c r="T31" i="10"/>
  <c r="X46" i="10"/>
  <c r="X48" i="10" s="1"/>
  <c r="AP46" i="10"/>
  <c r="AP48" i="10" s="1"/>
  <c r="AR31" i="10"/>
  <c r="AM31" i="10"/>
  <c r="AJ46" i="10"/>
  <c r="AJ48" i="10" s="1"/>
  <c r="BD31" i="10"/>
  <c r="AU31" i="10"/>
  <c r="AD31" i="10"/>
  <c r="BC46" i="10"/>
  <c r="BC48" i="10" s="1"/>
  <c r="BS46" i="10"/>
  <c r="BS48" i="10" s="1"/>
  <c r="CV31" i="10"/>
  <c r="BT31" i="10"/>
  <c r="AY31" i="10"/>
  <c r="CR46" i="10"/>
  <c r="CR48" i="10" s="1"/>
  <c r="CB31" i="10"/>
  <c r="BJ31" i="10"/>
  <c r="BV46" i="10"/>
  <c r="BV48" i="10" s="1"/>
  <c r="BA31" i="10"/>
  <c r="BW46" i="10"/>
  <c r="BW48" i="10" s="1"/>
  <c r="CJ31" i="10"/>
  <c r="BO31" i="10"/>
  <c r="AI31" i="10"/>
  <c r="CH31" i="10"/>
  <c r="AX31" i="10"/>
  <c r="CP46" i="10"/>
  <c r="CP48" i="10" s="1"/>
  <c r="AH46" i="10"/>
  <c r="AH48" i="10" s="1"/>
  <c r="BN31" i="10"/>
  <c r="CD31" i="10"/>
  <c r="R31" i="10"/>
  <c r="AV31" i="10"/>
  <c r="BR46" i="10"/>
  <c r="BR48" i="10" s="1"/>
  <c r="BP31" i="10"/>
  <c r="BQ31" i="10"/>
  <c r="CM31" i="10"/>
  <c r="CX31" i="10"/>
  <c r="BE31" i="10"/>
  <c r="CC46" i="10"/>
  <c r="CC48" i="10" s="1"/>
  <c r="L31" i="10"/>
  <c r="CK31" i="10"/>
  <c r="O31" i="10"/>
  <c r="CA31" i="10"/>
  <c r="AT31" i="10"/>
  <c r="BG46" i="10"/>
  <c r="BG48" i="10" s="1"/>
  <c r="CE46" i="10"/>
  <c r="CE48" i="10" s="1"/>
  <c r="CL46" i="10"/>
  <c r="CL48" i="10" s="1"/>
  <c r="AC31" i="10"/>
  <c r="BY31" i="10"/>
  <c r="CI31" i="10"/>
  <c r="AK31" i="10"/>
  <c r="BF31" i="10"/>
  <c r="AL31" i="10"/>
  <c r="BM46" i="10"/>
  <c r="BM48" i="10" s="1"/>
  <c r="AW46" i="10"/>
  <c r="AW48" i="10" s="1"/>
  <c r="BH31" i="10"/>
  <c r="Q31" i="10"/>
  <c r="BZ46" i="10"/>
  <c r="BZ48" i="10" s="1"/>
  <c r="CQ46" i="10"/>
  <c r="CQ48" i="10" s="1"/>
  <c r="V31" i="10"/>
  <c r="AA46" i="10"/>
  <c r="AA48" i="10" s="1"/>
  <c r="AE31" i="10"/>
  <c r="BI31" i="10"/>
  <c r="N46" i="10"/>
  <c r="N48" i="10" s="1"/>
  <c r="W46" i="10"/>
  <c r="W48" i="10" s="1"/>
  <c r="U46" i="10"/>
  <c r="U48" i="10" s="1"/>
  <c r="CF31" i="10"/>
  <c r="AO46" i="10"/>
  <c r="AO48" i="10" s="1"/>
  <c r="AN31" i="10"/>
  <c r="P31" i="10"/>
  <c r="CU31" i="10"/>
  <c r="BL31" i="10"/>
  <c r="CT46" i="10"/>
  <c r="CT48" i="10" s="1"/>
  <c r="CN31" i="10"/>
  <c r="CO31" i="10"/>
  <c r="BK31" i="10"/>
  <c r="BX31" i="10"/>
  <c r="K46" i="10"/>
  <c r="K48" i="10" s="1"/>
  <c r="CW31" i="10"/>
  <c r="S31" i="10"/>
  <c r="CG31" i="10"/>
  <c r="AF46" i="10"/>
  <c r="AF48" i="10" s="1"/>
  <c r="J31" i="10"/>
  <c r="BB31" i="10"/>
  <c r="AS46" i="10"/>
  <c r="AS48" i="10" s="1"/>
  <c r="Y31" i="10"/>
  <c r="CS46" i="10"/>
  <c r="CS48" i="10" s="1"/>
  <c r="AZ46" i="10"/>
  <c r="AZ48" i="10" s="1"/>
  <c r="AB46" i="10"/>
  <c r="AB48" i="10" s="1"/>
  <c r="BU46" i="10"/>
  <c r="BU48" i="10" s="1"/>
  <c r="H37" i="10"/>
  <c r="H55" i="10"/>
  <c r="H58" i="10"/>
  <c r="DE20" i="10"/>
  <c r="DE52" i="10"/>
  <c r="Z46" i="10"/>
  <c r="Z48" i="10" s="1"/>
  <c r="DE47" i="10"/>
  <c r="H44" i="5" s="1"/>
  <c r="DE53" i="10"/>
  <c r="H40" i="10"/>
  <c r="H70" i="10" s="1"/>
  <c r="DE35" i="10"/>
  <c r="DE34" i="10"/>
  <c r="AG46" i="10"/>
  <c r="AG48" i="10" s="1"/>
  <c r="AQ46" i="10"/>
  <c r="AQ48" i="10" s="1"/>
  <c r="DE51" i="10"/>
  <c r="DE9" i="10"/>
  <c r="H71" i="10" l="1"/>
  <c r="DA31" i="10"/>
  <c r="CY46" i="10"/>
  <c r="CY48" i="10" s="1"/>
  <c r="CZ46" i="10"/>
  <c r="CZ48" i="10" s="1"/>
  <c r="DB31" i="10"/>
  <c r="M31" i="10"/>
  <c r="DC46" i="10"/>
  <c r="DC48" i="10" s="1"/>
  <c r="DD46" i="10"/>
  <c r="DD48" i="10" s="1"/>
  <c r="CB46" i="10"/>
  <c r="CB48" i="10" s="1"/>
  <c r="BW31" i="10"/>
  <c r="BR31" i="10"/>
  <c r="AU46" i="10"/>
  <c r="AU48" i="10" s="1"/>
  <c r="BN46" i="10"/>
  <c r="BN48" i="10" s="1"/>
  <c r="CK46" i="10"/>
  <c r="CK48" i="10" s="1"/>
  <c r="BS31" i="10"/>
  <c r="CM46" i="10"/>
  <c r="CM48" i="10" s="1"/>
  <c r="AP31" i="10"/>
  <c r="BJ46" i="10"/>
  <c r="BJ48" i="10" s="1"/>
  <c r="BA46" i="10"/>
  <c r="BA48" i="10" s="1"/>
  <c r="AR46" i="10"/>
  <c r="AR48" i="10" s="1"/>
  <c r="CV46" i="10"/>
  <c r="CV48" i="10" s="1"/>
  <c r="Q46" i="10"/>
  <c r="Q48" i="10" s="1"/>
  <c r="CH46" i="10"/>
  <c r="CH48" i="10" s="1"/>
  <c r="CI46" i="10"/>
  <c r="CI48" i="10" s="1"/>
  <c r="BI46" i="10"/>
  <c r="BI48" i="10" s="1"/>
  <c r="BQ46" i="10"/>
  <c r="BQ48" i="10" s="1"/>
  <c r="AD46" i="10"/>
  <c r="AD48" i="10" s="1"/>
  <c r="BC31" i="10"/>
  <c r="X31" i="10"/>
  <c r="AJ31" i="10"/>
  <c r="BV31" i="10"/>
  <c r="AY46" i="10"/>
  <c r="AY48" i="10" s="1"/>
  <c r="CO46" i="10"/>
  <c r="CO48" i="10" s="1"/>
  <c r="AW31" i="10"/>
  <c r="BO46" i="10"/>
  <c r="BO48" i="10" s="1"/>
  <c r="BD46" i="10"/>
  <c r="BD48" i="10" s="1"/>
  <c r="BH46" i="10"/>
  <c r="BH48" i="10" s="1"/>
  <c r="BF46" i="10"/>
  <c r="BF48" i="10" s="1"/>
  <c r="R46" i="10"/>
  <c r="R48" i="10" s="1"/>
  <c r="BG31" i="10"/>
  <c r="AE46" i="10"/>
  <c r="AE48" i="10" s="1"/>
  <c r="CD46" i="10"/>
  <c r="CD48" i="10" s="1"/>
  <c r="V46" i="10"/>
  <c r="V48" i="10" s="1"/>
  <c r="T46" i="10"/>
  <c r="T48" i="10" s="1"/>
  <c r="BZ31" i="10"/>
  <c r="BT46" i="10"/>
  <c r="BT48" i="10" s="1"/>
  <c r="AH31" i="10"/>
  <c r="L46" i="10"/>
  <c r="L48" i="10" s="1"/>
  <c r="AV46" i="10"/>
  <c r="AV48" i="10" s="1"/>
  <c r="AM46" i="10"/>
  <c r="AM48" i="10" s="1"/>
  <c r="CJ46" i="10"/>
  <c r="CJ48" i="10" s="1"/>
  <c r="AX46" i="10"/>
  <c r="AX48" i="10" s="1"/>
  <c r="AC46" i="10"/>
  <c r="AC48" i="10" s="1"/>
  <c r="CR31" i="10"/>
  <c r="AT46" i="10"/>
  <c r="AT48" i="10" s="1"/>
  <c r="U31" i="10"/>
  <c r="BK46" i="10"/>
  <c r="BK48" i="10" s="1"/>
  <c r="CL31" i="10"/>
  <c r="CN46" i="10"/>
  <c r="CN48" i="10" s="1"/>
  <c r="Y46" i="10"/>
  <c r="Y48" i="10" s="1"/>
  <c r="BM31" i="10"/>
  <c r="CE31" i="10"/>
  <c r="BB46" i="10"/>
  <c r="BB48" i="10" s="1"/>
  <c r="BP46" i="10"/>
  <c r="BP48" i="10" s="1"/>
  <c r="N31" i="10"/>
  <c r="CT31" i="10"/>
  <c r="AO31" i="10"/>
  <c r="BE46" i="10"/>
  <c r="BE48" i="10" s="1"/>
  <c r="O46" i="10"/>
  <c r="O48" i="10" s="1"/>
  <c r="AI46" i="10"/>
  <c r="AI48" i="10" s="1"/>
  <c r="S46" i="10"/>
  <c r="S48" i="10" s="1"/>
  <c r="P46" i="10"/>
  <c r="P48" i="10" s="1"/>
  <c r="BU31" i="10"/>
  <c r="AF31" i="10"/>
  <c r="K31" i="10"/>
  <c r="BL46" i="10"/>
  <c r="BL48" i="10" s="1"/>
  <c r="CG46" i="10"/>
  <c r="CG48" i="10" s="1"/>
  <c r="CS31" i="10"/>
  <c r="AA31" i="10"/>
  <c r="J46" i="10"/>
  <c r="J48" i="10" s="1"/>
  <c r="W31" i="10"/>
  <c r="CW46" i="10"/>
  <c r="CW48" i="10" s="1"/>
  <c r="CF46" i="10"/>
  <c r="CF48" i="10" s="1"/>
  <c r="BY46" i="10"/>
  <c r="BY48" i="10" s="1"/>
  <c r="CQ31" i="10"/>
  <c r="CP31" i="10"/>
  <c r="AS31" i="10"/>
  <c r="BX46" i="10"/>
  <c r="BX48" i="10" s="1"/>
  <c r="AL46" i="10"/>
  <c r="AL48" i="10" s="1"/>
  <c r="CC31" i="10"/>
  <c r="CX46" i="10"/>
  <c r="CX48" i="10" s="1"/>
  <c r="AK46" i="10"/>
  <c r="AK48" i="10" s="1"/>
  <c r="CA46" i="10"/>
  <c r="CA48" i="10" s="1"/>
  <c r="AN46" i="10"/>
  <c r="AN48" i="10" s="1"/>
  <c r="CU46" i="10"/>
  <c r="CU48" i="10" s="1"/>
  <c r="AZ31" i="10"/>
  <c r="AB31" i="10"/>
  <c r="Z31" i="10"/>
  <c r="H45" i="5"/>
  <c r="DE14" i="10"/>
  <c r="I31" i="10"/>
  <c r="I65" i="10" s="1"/>
  <c r="I46" i="10"/>
  <c r="DE46" i="10" l="1"/>
  <c r="I48" i="10"/>
  <c r="I66" i="10" s="1"/>
  <c r="DE31" i="10"/>
  <c r="I15" i="10"/>
  <c r="J64" i="10"/>
  <c r="K64" i="10" s="1"/>
  <c r="L64" i="10" s="1"/>
  <c r="M64" i="10" s="1"/>
  <c r="N64" i="10" s="1"/>
  <c r="O64" i="10" s="1"/>
  <c r="P64" i="10" s="1"/>
  <c r="Q64" i="10" s="1"/>
  <c r="R64" i="10" s="1"/>
  <c r="S64" i="10" s="1"/>
  <c r="T64" i="10" s="1"/>
  <c r="U64" i="10" s="1"/>
  <c r="V64" i="10" s="1"/>
  <c r="W64" i="10" s="1"/>
  <c r="X64" i="10" s="1"/>
  <c r="Y64" i="10" s="1"/>
  <c r="Z64" i="10" s="1"/>
  <c r="AA64" i="10" s="1"/>
  <c r="AB64" i="10" s="1"/>
  <c r="AC64" i="10" s="1"/>
  <c r="AD64" i="10" s="1"/>
  <c r="AE64" i="10" s="1"/>
  <c r="AF64" i="10" s="1"/>
  <c r="AG64" i="10" s="1"/>
  <c r="AH64" i="10" s="1"/>
  <c r="AI64" i="10" s="1"/>
  <c r="AJ64" i="10" s="1"/>
  <c r="AK64" i="10" s="1"/>
  <c r="AL64" i="10" s="1"/>
  <c r="AM64" i="10" s="1"/>
  <c r="AN64" i="10" s="1"/>
  <c r="AO64" i="10" s="1"/>
  <c r="AP64" i="10" s="1"/>
  <c r="AQ64" i="10" s="1"/>
  <c r="AR64" i="10" s="1"/>
  <c r="AS64" i="10" s="1"/>
  <c r="AT64" i="10" s="1"/>
  <c r="AU64" i="10" s="1"/>
  <c r="AV64" i="10" s="1"/>
  <c r="AW64" i="10" s="1"/>
  <c r="AX64" i="10" s="1"/>
  <c r="AY64" i="10" s="1"/>
  <c r="AZ64" i="10" s="1"/>
  <c r="BA64" i="10" s="1"/>
  <c r="BB64" i="10" s="1"/>
  <c r="BC64" i="10" s="1"/>
  <c r="BD64" i="10" s="1"/>
  <c r="BE64" i="10" s="1"/>
  <c r="BF64" i="10" s="1"/>
  <c r="BG64" i="10" s="1"/>
  <c r="BH64" i="10" s="1"/>
  <c r="BI64" i="10" s="1"/>
  <c r="BJ64" i="10" s="1"/>
  <c r="BK64" i="10" s="1"/>
  <c r="BL64" i="10" s="1"/>
  <c r="BM64" i="10" s="1"/>
  <c r="BN64" i="10" s="1"/>
  <c r="BO64" i="10" s="1"/>
  <c r="BP64" i="10" s="1"/>
  <c r="BQ64" i="10" s="1"/>
  <c r="BR64" i="10" s="1"/>
  <c r="BS64" i="10" s="1"/>
  <c r="BT64" i="10" s="1"/>
  <c r="BU64" i="10" s="1"/>
  <c r="BV64" i="10" s="1"/>
  <c r="BW64" i="10" s="1"/>
  <c r="BX64" i="10" s="1"/>
  <c r="BY64" i="10" s="1"/>
  <c r="BZ64" i="10" s="1"/>
  <c r="CA64" i="10" s="1"/>
  <c r="CB64" i="10" s="1"/>
  <c r="CC64" i="10" s="1"/>
  <c r="CD64" i="10" s="1"/>
  <c r="CE64" i="10" s="1"/>
  <c r="CF64" i="10" s="1"/>
  <c r="CG64" i="10" s="1"/>
  <c r="CH64" i="10" s="1"/>
  <c r="CI64" i="10" s="1"/>
  <c r="CJ64" i="10" s="1"/>
  <c r="CK64" i="10" s="1"/>
  <c r="CL64" i="10" s="1"/>
  <c r="CM64" i="10" s="1"/>
  <c r="CN64" i="10" s="1"/>
  <c r="CO64" i="10" s="1"/>
  <c r="CP64" i="10" s="1"/>
  <c r="CQ64" i="10" s="1"/>
  <c r="CR64" i="10" s="1"/>
  <c r="CS64" i="10" s="1"/>
  <c r="CT64" i="10" s="1"/>
  <c r="CU64" i="10" s="1"/>
  <c r="CV64" i="10" s="1"/>
  <c r="CW64" i="10" s="1"/>
  <c r="CX64" i="10" s="1"/>
  <c r="CY64" i="10" s="1"/>
  <c r="CZ64" i="10" s="1"/>
  <c r="DA64" i="10" s="1"/>
  <c r="DB64" i="10" s="1"/>
  <c r="DC64" i="10" s="1"/>
  <c r="DD64" i="10" s="1"/>
  <c r="I16" i="10" l="1"/>
  <c r="DE48" i="10"/>
  <c r="J15" i="10"/>
  <c r="I32" i="10"/>
  <c r="J65" i="10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W65" i="10" s="1"/>
  <c r="X65" i="10" s="1"/>
  <c r="Y65" i="10" s="1"/>
  <c r="Z65" i="10" s="1"/>
  <c r="AA65" i="10" s="1"/>
  <c r="AB65" i="10" s="1"/>
  <c r="AC65" i="10" s="1"/>
  <c r="AD65" i="10" s="1"/>
  <c r="AE65" i="10" s="1"/>
  <c r="AF65" i="10" s="1"/>
  <c r="AG65" i="10" s="1"/>
  <c r="AH65" i="10" s="1"/>
  <c r="AI65" i="10" s="1"/>
  <c r="AJ65" i="10" s="1"/>
  <c r="AK65" i="10" s="1"/>
  <c r="AL65" i="10" s="1"/>
  <c r="AM65" i="10" s="1"/>
  <c r="AN65" i="10" s="1"/>
  <c r="AO65" i="10" s="1"/>
  <c r="AP65" i="10" s="1"/>
  <c r="AQ65" i="10" s="1"/>
  <c r="AR65" i="10" s="1"/>
  <c r="AS65" i="10" s="1"/>
  <c r="AT65" i="10" s="1"/>
  <c r="AU65" i="10" s="1"/>
  <c r="AV65" i="10" s="1"/>
  <c r="AW65" i="10" s="1"/>
  <c r="AX65" i="10" s="1"/>
  <c r="AY65" i="10" s="1"/>
  <c r="AZ65" i="10" s="1"/>
  <c r="BA65" i="10" s="1"/>
  <c r="BB65" i="10" s="1"/>
  <c r="BC65" i="10" s="1"/>
  <c r="BD65" i="10" s="1"/>
  <c r="BE65" i="10" s="1"/>
  <c r="BF65" i="10" s="1"/>
  <c r="BG65" i="10" s="1"/>
  <c r="BH65" i="10" s="1"/>
  <c r="BI65" i="10" s="1"/>
  <c r="BJ65" i="10" s="1"/>
  <c r="BK65" i="10" s="1"/>
  <c r="BL65" i="10" s="1"/>
  <c r="BM65" i="10" s="1"/>
  <c r="BN65" i="10" s="1"/>
  <c r="BO65" i="10" s="1"/>
  <c r="BP65" i="10" s="1"/>
  <c r="BQ65" i="10" s="1"/>
  <c r="BR65" i="10" s="1"/>
  <c r="BS65" i="10" s="1"/>
  <c r="BT65" i="10" s="1"/>
  <c r="BU65" i="10" s="1"/>
  <c r="BV65" i="10" s="1"/>
  <c r="BW65" i="10" s="1"/>
  <c r="BX65" i="10" s="1"/>
  <c r="BY65" i="10" s="1"/>
  <c r="BZ65" i="10" s="1"/>
  <c r="CA65" i="10" s="1"/>
  <c r="CB65" i="10" s="1"/>
  <c r="CC65" i="10" s="1"/>
  <c r="CD65" i="10" s="1"/>
  <c r="CE65" i="10" s="1"/>
  <c r="CF65" i="10" s="1"/>
  <c r="CG65" i="10" s="1"/>
  <c r="CH65" i="10" s="1"/>
  <c r="CI65" i="10" s="1"/>
  <c r="CJ65" i="10" s="1"/>
  <c r="CK65" i="10" s="1"/>
  <c r="CL65" i="10" s="1"/>
  <c r="CM65" i="10" s="1"/>
  <c r="CN65" i="10" s="1"/>
  <c r="CO65" i="10" s="1"/>
  <c r="CP65" i="10" s="1"/>
  <c r="CQ65" i="10" s="1"/>
  <c r="CR65" i="10" s="1"/>
  <c r="CS65" i="10" s="1"/>
  <c r="CT65" i="10" s="1"/>
  <c r="CU65" i="10" s="1"/>
  <c r="CV65" i="10" s="1"/>
  <c r="CW65" i="10" s="1"/>
  <c r="CX65" i="10" s="1"/>
  <c r="CY65" i="10" s="1"/>
  <c r="CZ65" i="10" s="1"/>
  <c r="DA65" i="10" s="1"/>
  <c r="DB65" i="10" s="1"/>
  <c r="DC65" i="10" s="1"/>
  <c r="DD65" i="10" s="1"/>
  <c r="I25" i="10" l="1"/>
  <c r="I22" i="10"/>
  <c r="J16" i="10"/>
  <c r="K15" i="10"/>
  <c r="I33" i="10"/>
  <c r="J32" i="10"/>
  <c r="I49" i="10"/>
  <c r="J66" i="10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W66" i="10" s="1"/>
  <c r="X66" i="10" s="1"/>
  <c r="Y66" i="10" s="1"/>
  <c r="Z66" i="10" s="1"/>
  <c r="AA66" i="10" s="1"/>
  <c r="AB66" i="10" s="1"/>
  <c r="AC66" i="10" s="1"/>
  <c r="AD66" i="10" s="1"/>
  <c r="AE66" i="10" s="1"/>
  <c r="AF66" i="10" s="1"/>
  <c r="AG66" i="10" s="1"/>
  <c r="AH66" i="10" s="1"/>
  <c r="AI66" i="10" s="1"/>
  <c r="AJ66" i="10" s="1"/>
  <c r="AK66" i="10" s="1"/>
  <c r="AL66" i="10" s="1"/>
  <c r="AM66" i="10" s="1"/>
  <c r="AN66" i="10" s="1"/>
  <c r="AO66" i="10" s="1"/>
  <c r="AP66" i="10" s="1"/>
  <c r="AQ66" i="10" s="1"/>
  <c r="AR66" i="10" s="1"/>
  <c r="AS66" i="10" s="1"/>
  <c r="AT66" i="10" s="1"/>
  <c r="AU66" i="10" s="1"/>
  <c r="AV66" i="10" s="1"/>
  <c r="AW66" i="10" s="1"/>
  <c r="AX66" i="10" s="1"/>
  <c r="AY66" i="10" s="1"/>
  <c r="AZ66" i="10" s="1"/>
  <c r="BA66" i="10" s="1"/>
  <c r="BB66" i="10" s="1"/>
  <c r="BC66" i="10" s="1"/>
  <c r="BD66" i="10" s="1"/>
  <c r="BE66" i="10" s="1"/>
  <c r="BF66" i="10" s="1"/>
  <c r="BG66" i="10" s="1"/>
  <c r="BH66" i="10" s="1"/>
  <c r="BI66" i="10" s="1"/>
  <c r="BJ66" i="10" s="1"/>
  <c r="BK66" i="10" s="1"/>
  <c r="BL66" i="10" s="1"/>
  <c r="BM66" i="10" s="1"/>
  <c r="BN66" i="10" s="1"/>
  <c r="BO66" i="10" s="1"/>
  <c r="BP66" i="10" s="1"/>
  <c r="BQ66" i="10" s="1"/>
  <c r="BR66" i="10" s="1"/>
  <c r="BS66" i="10" s="1"/>
  <c r="BT66" i="10" s="1"/>
  <c r="BU66" i="10" s="1"/>
  <c r="BV66" i="10" s="1"/>
  <c r="BW66" i="10" s="1"/>
  <c r="BX66" i="10" s="1"/>
  <c r="BY66" i="10" s="1"/>
  <c r="BZ66" i="10" s="1"/>
  <c r="CA66" i="10" s="1"/>
  <c r="CB66" i="10" s="1"/>
  <c r="CC66" i="10" s="1"/>
  <c r="CD66" i="10" s="1"/>
  <c r="CE66" i="10" s="1"/>
  <c r="CF66" i="10" s="1"/>
  <c r="CG66" i="10" s="1"/>
  <c r="CH66" i="10" s="1"/>
  <c r="CI66" i="10" s="1"/>
  <c r="CJ66" i="10" s="1"/>
  <c r="CK66" i="10" s="1"/>
  <c r="CL66" i="10" s="1"/>
  <c r="CM66" i="10" s="1"/>
  <c r="CN66" i="10" s="1"/>
  <c r="CO66" i="10" s="1"/>
  <c r="CP66" i="10" s="1"/>
  <c r="CQ66" i="10" s="1"/>
  <c r="CR66" i="10" s="1"/>
  <c r="CS66" i="10" s="1"/>
  <c r="CT66" i="10" s="1"/>
  <c r="CU66" i="10" s="1"/>
  <c r="CV66" i="10" s="1"/>
  <c r="CW66" i="10" s="1"/>
  <c r="CX66" i="10" s="1"/>
  <c r="CY66" i="10" s="1"/>
  <c r="CZ66" i="10" s="1"/>
  <c r="DA66" i="10" s="1"/>
  <c r="DB66" i="10" s="1"/>
  <c r="DC66" i="10" s="1"/>
  <c r="DD66" i="10" s="1"/>
  <c r="I69" i="10" l="1"/>
  <c r="I26" i="10" s="1"/>
  <c r="J25" i="10"/>
  <c r="J22" i="10"/>
  <c r="I37" i="10"/>
  <c r="I40" i="10"/>
  <c r="J33" i="10"/>
  <c r="J37" i="10" s="1"/>
  <c r="K16" i="10"/>
  <c r="K32" i="10"/>
  <c r="L15" i="10"/>
  <c r="J49" i="10"/>
  <c r="I50" i="10"/>
  <c r="I70" i="10" l="1"/>
  <c r="I41" i="10" s="1"/>
  <c r="K25" i="10"/>
  <c r="K22" i="10"/>
  <c r="J69" i="10"/>
  <c r="J26" i="10" s="1"/>
  <c r="I55" i="10"/>
  <c r="I58" i="10"/>
  <c r="J40" i="10"/>
  <c r="J50" i="10"/>
  <c r="K33" i="10"/>
  <c r="K37" i="10" s="1"/>
  <c r="L16" i="10"/>
  <c r="L32" i="10"/>
  <c r="M15" i="10"/>
  <c r="K49" i="10"/>
  <c r="I71" i="10" l="1"/>
  <c r="L25" i="10"/>
  <c r="L22" i="10"/>
  <c r="J55" i="10"/>
  <c r="K69" i="10"/>
  <c r="K26" i="10" s="1"/>
  <c r="J70" i="10"/>
  <c r="J41" i="10" s="1"/>
  <c r="J58" i="10"/>
  <c r="K40" i="10"/>
  <c r="M16" i="10"/>
  <c r="K50" i="10"/>
  <c r="L49" i="10"/>
  <c r="N15" i="10"/>
  <c r="M32" i="10"/>
  <c r="L33" i="10"/>
  <c r="L37" i="10" s="1"/>
  <c r="M25" i="10" l="1"/>
  <c r="M22" i="10"/>
  <c r="I59" i="10"/>
  <c r="K55" i="10"/>
  <c r="L69" i="10"/>
  <c r="L26" i="10" s="1"/>
  <c r="K70" i="10"/>
  <c r="K41" i="10" s="1"/>
  <c r="J71" i="10"/>
  <c r="J59" i="10" s="1"/>
  <c r="K58" i="10"/>
  <c r="L40" i="10"/>
  <c r="L50" i="10"/>
  <c r="M33" i="10"/>
  <c r="M37" i="10" s="1"/>
  <c r="N16" i="10"/>
  <c r="M49" i="10"/>
  <c r="O15" i="10"/>
  <c r="N32" i="10"/>
  <c r="N22" i="10" l="1"/>
  <c r="N25" i="10"/>
  <c r="L55" i="10"/>
  <c r="M69" i="10"/>
  <c r="M26" i="10" s="1"/>
  <c r="L70" i="10"/>
  <c r="L41" i="10" s="1"/>
  <c r="K71" i="10"/>
  <c r="K59" i="10" s="1"/>
  <c r="L58" i="10"/>
  <c r="M40" i="10"/>
  <c r="M50" i="10"/>
  <c r="P15" i="10"/>
  <c r="N49" i="10"/>
  <c r="N33" i="10"/>
  <c r="N37" i="10" s="1"/>
  <c r="O32" i="10"/>
  <c r="O16" i="10"/>
  <c r="O25" i="10" l="1"/>
  <c r="O22" i="10"/>
  <c r="M55" i="10"/>
  <c r="N69" i="10"/>
  <c r="N26" i="10" s="1"/>
  <c r="M70" i="10"/>
  <c r="M41" i="10" s="1"/>
  <c r="L71" i="10"/>
  <c r="L59" i="10" s="1"/>
  <c r="M58" i="10"/>
  <c r="N40" i="10"/>
  <c r="O33" i="10"/>
  <c r="O37" i="10" s="1"/>
  <c r="P16" i="10"/>
  <c r="O49" i="10"/>
  <c r="N50" i="10"/>
  <c r="P32" i="10"/>
  <c r="Q15" i="10"/>
  <c r="P25" i="10" l="1"/>
  <c r="P22" i="10"/>
  <c r="N55" i="10"/>
  <c r="O69" i="10"/>
  <c r="O26" i="10" s="1"/>
  <c r="N70" i="10"/>
  <c r="N41" i="10" s="1"/>
  <c r="M71" i="10"/>
  <c r="M59" i="10" s="1"/>
  <c r="N58" i="10"/>
  <c r="O40" i="10"/>
  <c r="O50" i="10"/>
  <c r="P33" i="10"/>
  <c r="P37" i="10" s="1"/>
  <c r="Q16" i="10"/>
  <c r="Q32" i="10"/>
  <c r="P49" i="10"/>
  <c r="R15" i="10"/>
  <c r="Q25" i="10" l="1"/>
  <c r="Q22" i="10"/>
  <c r="O55" i="10"/>
  <c r="P69" i="10"/>
  <c r="P26" i="10" s="1"/>
  <c r="O70" i="10"/>
  <c r="O41" i="10" s="1"/>
  <c r="N71" i="10"/>
  <c r="N59" i="10" s="1"/>
  <c r="O58" i="10"/>
  <c r="P40" i="10"/>
  <c r="P50" i="10"/>
  <c r="Q33" i="10"/>
  <c r="Q37" i="10" s="1"/>
  <c r="R16" i="10"/>
  <c r="Q49" i="10"/>
  <c r="S15" i="10"/>
  <c r="R32" i="10"/>
  <c r="R25" i="10" l="1"/>
  <c r="R22" i="10"/>
  <c r="P55" i="10"/>
  <c r="Q69" i="10"/>
  <c r="Q26" i="10" s="1"/>
  <c r="P70" i="10"/>
  <c r="P41" i="10" s="1"/>
  <c r="O71" i="10"/>
  <c r="O59" i="10" s="1"/>
  <c r="P58" i="10"/>
  <c r="Q40" i="10"/>
  <c r="Q50" i="10"/>
  <c r="R33" i="10"/>
  <c r="R37" i="10" s="1"/>
  <c r="S16" i="10"/>
  <c r="S32" i="10"/>
  <c r="R49" i="10"/>
  <c r="T15" i="10"/>
  <c r="S25" i="10" l="1"/>
  <c r="S22" i="10"/>
  <c r="Q55" i="10"/>
  <c r="R69" i="10"/>
  <c r="R26" i="10" s="1"/>
  <c r="Q70" i="10"/>
  <c r="Q41" i="10" s="1"/>
  <c r="P71" i="10"/>
  <c r="P59" i="10" s="1"/>
  <c r="Q58" i="10"/>
  <c r="R40" i="10"/>
  <c r="R50" i="10"/>
  <c r="S33" i="10"/>
  <c r="S37" i="10" s="1"/>
  <c r="T16" i="10"/>
  <c r="S49" i="10"/>
  <c r="T32" i="10"/>
  <c r="U15" i="10"/>
  <c r="T25" i="10" l="1"/>
  <c r="T22" i="10"/>
  <c r="R55" i="10"/>
  <c r="S69" i="10"/>
  <c r="S26" i="10" s="1"/>
  <c r="R70" i="10"/>
  <c r="R41" i="10" s="1"/>
  <c r="Q71" i="10"/>
  <c r="Q59" i="10" s="1"/>
  <c r="R58" i="10"/>
  <c r="S40" i="10"/>
  <c r="S50" i="10"/>
  <c r="T33" i="10"/>
  <c r="T37" i="10" s="1"/>
  <c r="U16" i="10"/>
  <c r="T49" i="10"/>
  <c r="V15" i="10"/>
  <c r="U32" i="10"/>
  <c r="U25" i="10" l="1"/>
  <c r="U22" i="10"/>
  <c r="S55" i="10"/>
  <c r="T69" i="10"/>
  <c r="T26" i="10" s="1"/>
  <c r="S70" i="10"/>
  <c r="S41" i="10" s="1"/>
  <c r="R71" i="10"/>
  <c r="R59" i="10" s="1"/>
  <c r="S58" i="10"/>
  <c r="T40" i="10"/>
  <c r="T50" i="10"/>
  <c r="U33" i="10"/>
  <c r="U37" i="10" s="1"/>
  <c r="V16" i="10"/>
  <c r="W15" i="10"/>
  <c r="V32" i="10"/>
  <c r="U49" i="10"/>
  <c r="V25" i="10" l="1"/>
  <c r="V22" i="10"/>
  <c r="T55" i="10"/>
  <c r="U69" i="10"/>
  <c r="U26" i="10" s="1"/>
  <c r="T70" i="10"/>
  <c r="T41" i="10" s="1"/>
  <c r="S71" i="10"/>
  <c r="S59" i="10" s="1"/>
  <c r="T58" i="10"/>
  <c r="U40" i="10"/>
  <c r="U50" i="10"/>
  <c r="V33" i="10"/>
  <c r="V37" i="10" s="1"/>
  <c r="W16" i="10"/>
  <c r="W32" i="10"/>
  <c r="X15" i="10"/>
  <c r="V49" i="10"/>
  <c r="W25" i="10" l="1"/>
  <c r="W22" i="10"/>
  <c r="U55" i="10"/>
  <c r="V69" i="10"/>
  <c r="V26" i="10" s="1"/>
  <c r="U70" i="10"/>
  <c r="U41" i="10" s="1"/>
  <c r="T71" i="10"/>
  <c r="T59" i="10" s="1"/>
  <c r="U58" i="10"/>
  <c r="V40" i="10"/>
  <c r="V50" i="10"/>
  <c r="W33" i="10"/>
  <c r="W37" i="10" s="1"/>
  <c r="X16" i="10"/>
  <c r="Y15" i="10"/>
  <c r="W49" i="10"/>
  <c r="X32" i="10"/>
  <c r="X25" i="10" l="1"/>
  <c r="X22" i="10"/>
  <c r="V55" i="10"/>
  <c r="W69" i="10"/>
  <c r="W26" i="10" s="1"/>
  <c r="V70" i="10"/>
  <c r="V41" i="10" s="1"/>
  <c r="U71" i="10"/>
  <c r="U59" i="10" s="1"/>
  <c r="V58" i="10"/>
  <c r="W40" i="10"/>
  <c r="W50" i="10"/>
  <c r="X33" i="10"/>
  <c r="X37" i="10" s="1"/>
  <c r="Y16" i="10"/>
  <c r="X49" i="10"/>
  <c r="Y32" i="10"/>
  <c r="Z15" i="10"/>
  <c r="Y25" i="10" l="1"/>
  <c r="Y22" i="10"/>
  <c r="W55" i="10"/>
  <c r="X69" i="10"/>
  <c r="X26" i="10" s="1"/>
  <c r="W70" i="10"/>
  <c r="W41" i="10" s="1"/>
  <c r="V71" i="10"/>
  <c r="V59" i="10" s="1"/>
  <c r="W58" i="10"/>
  <c r="X40" i="10"/>
  <c r="X50" i="10"/>
  <c r="Y33" i="10"/>
  <c r="Y37" i="10" s="1"/>
  <c r="Z16" i="10"/>
  <c r="Z32" i="10"/>
  <c r="AA15" i="10"/>
  <c r="Y49" i="10"/>
  <c r="Z25" i="10" l="1"/>
  <c r="Z22" i="10"/>
  <c r="X55" i="10"/>
  <c r="Y69" i="10"/>
  <c r="Y26" i="10" s="1"/>
  <c r="X70" i="10"/>
  <c r="X41" i="10" s="1"/>
  <c r="W71" i="10"/>
  <c r="W59" i="10" s="1"/>
  <c r="X58" i="10"/>
  <c r="Y40" i="10"/>
  <c r="Y50" i="10"/>
  <c r="Z33" i="10"/>
  <c r="Z37" i="10" s="1"/>
  <c r="AA16" i="10"/>
  <c r="AB15" i="10"/>
  <c r="Z49" i="10"/>
  <c r="AA32" i="10"/>
  <c r="AA25" i="10" l="1"/>
  <c r="AA22" i="10"/>
  <c r="Y55" i="10"/>
  <c r="Z69" i="10"/>
  <c r="Z26" i="10" s="1"/>
  <c r="Y70" i="10"/>
  <c r="Y41" i="10" s="1"/>
  <c r="X71" i="10"/>
  <c r="X59" i="10" s="1"/>
  <c r="Y58" i="10"/>
  <c r="Z40" i="10"/>
  <c r="Z50" i="10"/>
  <c r="AA33" i="10"/>
  <c r="AA37" i="10" s="1"/>
  <c r="AB16" i="10"/>
  <c r="AA49" i="10"/>
  <c r="AB32" i="10"/>
  <c r="AC15" i="10"/>
  <c r="AB25" i="10" l="1"/>
  <c r="AB22" i="10"/>
  <c r="Z55" i="10"/>
  <c r="AA69" i="10"/>
  <c r="AA26" i="10" s="1"/>
  <c r="Z70" i="10"/>
  <c r="Z41" i="10" s="1"/>
  <c r="Y71" i="10"/>
  <c r="Y59" i="10" s="1"/>
  <c r="Z58" i="10"/>
  <c r="AA40" i="10"/>
  <c r="AA50" i="10"/>
  <c r="AB33" i="10"/>
  <c r="AB37" i="10" s="1"/>
  <c r="AC16" i="10"/>
  <c r="AC32" i="10"/>
  <c r="AD15" i="10"/>
  <c r="AB49" i="10"/>
  <c r="AC25" i="10" l="1"/>
  <c r="AC22" i="10"/>
  <c r="AA55" i="10"/>
  <c r="AB69" i="10"/>
  <c r="AB26" i="10" s="1"/>
  <c r="AA70" i="10"/>
  <c r="AA41" i="10" s="1"/>
  <c r="Z71" i="10"/>
  <c r="Z59" i="10" s="1"/>
  <c r="AA58" i="10"/>
  <c r="AB40" i="10"/>
  <c r="AB50" i="10"/>
  <c r="AC33" i="10"/>
  <c r="AC37" i="10" s="1"/>
  <c r="AD16" i="10"/>
  <c r="AC49" i="10"/>
  <c r="AE15" i="10"/>
  <c r="AD32" i="10"/>
  <c r="AD22" i="10" l="1"/>
  <c r="AD25" i="10"/>
  <c r="AB55" i="10"/>
  <c r="AC69" i="10"/>
  <c r="AC26" i="10" s="1"/>
  <c r="AB70" i="10"/>
  <c r="AB41" i="10" s="1"/>
  <c r="AA71" i="10"/>
  <c r="AA59" i="10" s="1"/>
  <c r="AB58" i="10"/>
  <c r="AC40" i="10"/>
  <c r="AC50" i="10"/>
  <c r="AD33" i="10"/>
  <c r="AD37" i="10" s="1"/>
  <c r="AE16" i="10"/>
  <c r="AF15" i="10"/>
  <c r="AE32" i="10"/>
  <c r="AD49" i="10"/>
  <c r="AE25" i="10" l="1"/>
  <c r="AE22" i="10"/>
  <c r="AC55" i="10"/>
  <c r="AD69" i="10"/>
  <c r="AD26" i="10" s="1"/>
  <c r="AC70" i="10"/>
  <c r="AC41" i="10" s="1"/>
  <c r="AB71" i="10"/>
  <c r="AB59" i="10" s="1"/>
  <c r="AC58" i="10"/>
  <c r="AD40" i="10"/>
  <c r="AD50" i="10"/>
  <c r="AE33" i="10"/>
  <c r="AE37" i="10" s="1"/>
  <c r="AF16" i="10"/>
  <c r="AG15" i="10"/>
  <c r="AF32" i="10"/>
  <c r="AE49" i="10"/>
  <c r="AF25" i="10" l="1"/>
  <c r="AF22" i="10"/>
  <c r="AD55" i="10"/>
  <c r="AE69" i="10"/>
  <c r="AE26" i="10" s="1"/>
  <c r="AD70" i="10"/>
  <c r="AD41" i="10" s="1"/>
  <c r="AC71" i="10"/>
  <c r="AC59" i="10" s="1"/>
  <c r="AD58" i="10"/>
  <c r="AE40" i="10"/>
  <c r="AE50" i="10"/>
  <c r="AF33" i="10"/>
  <c r="AF37" i="10" s="1"/>
  <c r="AG16" i="10"/>
  <c r="AH15" i="10"/>
  <c r="AG32" i="10"/>
  <c r="AF49" i="10"/>
  <c r="AG25" i="10" l="1"/>
  <c r="AG22" i="10"/>
  <c r="AE55" i="10"/>
  <c r="AF69" i="10"/>
  <c r="AF26" i="10" s="1"/>
  <c r="AE70" i="10"/>
  <c r="AE41" i="10" s="1"/>
  <c r="AD71" i="10"/>
  <c r="AD59" i="10" s="1"/>
  <c r="AE58" i="10"/>
  <c r="AF40" i="10"/>
  <c r="AF50" i="10"/>
  <c r="AG33" i="10"/>
  <c r="AG37" i="10" s="1"/>
  <c r="AH16" i="10"/>
  <c r="AG49" i="10"/>
  <c r="AH32" i="10"/>
  <c r="AI15" i="10"/>
  <c r="AH22" i="10" l="1"/>
  <c r="AH25" i="10"/>
  <c r="AF58" i="10"/>
  <c r="AF55" i="10"/>
  <c r="AG69" i="10"/>
  <c r="AG26" i="10" s="1"/>
  <c r="AF70" i="10"/>
  <c r="AF41" i="10" s="1"/>
  <c r="AE71" i="10"/>
  <c r="AE59" i="10" s="1"/>
  <c r="AG40" i="10"/>
  <c r="AG50" i="10"/>
  <c r="AH33" i="10"/>
  <c r="AH37" i="10" s="1"/>
  <c r="AI16" i="10"/>
  <c r="AJ15" i="10"/>
  <c r="AI32" i="10"/>
  <c r="AH49" i="10"/>
  <c r="AI25" i="10" l="1"/>
  <c r="AI22" i="10"/>
  <c r="AH69" i="10"/>
  <c r="AH26" i="10" s="1"/>
  <c r="AG55" i="10"/>
  <c r="AG58" i="10"/>
  <c r="AG70" i="10"/>
  <c r="AG41" i="10" s="1"/>
  <c r="AH40" i="10"/>
  <c r="AH50" i="10"/>
  <c r="AI33" i="10"/>
  <c r="AI37" i="10" s="1"/>
  <c r="AJ16" i="10"/>
  <c r="AK15" i="10"/>
  <c r="AJ32" i="10"/>
  <c r="AI49" i="10"/>
  <c r="AJ25" i="10" l="1"/>
  <c r="AJ22" i="10"/>
  <c r="AI69" i="10"/>
  <c r="AI26" i="10" s="1"/>
  <c r="AH55" i="10"/>
  <c r="AH58" i="10"/>
  <c r="AH70" i="10"/>
  <c r="AH41" i="10" s="1"/>
  <c r="AI40" i="10"/>
  <c r="AI50" i="10"/>
  <c r="AJ33" i="10"/>
  <c r="AJ37" i="10" s="1"/>
  <c r="AK16" i="10"/>
  <c r="AJ49" i="10"/>
  <c r="AK32" i="10"/>
  <c r="AL15" i="10"/>
  <c r="AK25" i="10" l="1"/>
  <c r="AK22" i="10"/>
  <c r="AJ69" i="10"/>
  <c r="AJ26" i="10" s="1"/>
  <c r="AI55" i="10"/>
  <c r="AI70" i="10"/>
  <c r="AI41" i="10" s="1"/>
  <c r="AI58" i="10"/>
  <c r="AJ40" i="10"/>
  <c r="AJ50" i="10"/>
  <c r="AK33" i="10"/>
  <c r="AK37" i="10" s="1"/>
  <c r="AL16" i="10"/>
  <c r="AM15" i="10"/>
  <c r="AL32" i="10"/>
  <c r="AK49" i="10"/>
  <c r="AL25" i="10" l="1"/>
  <c r="AL22" i="10"/>
  <c r="AK69" i="10"/>
  <c r="AK26" i="10" s="1"/>
  <c r="AJ55" i="10"/>
  <c r="AJ70" i="10"/>
  <c r="AJ41" i="10" s="1"/>
  <c r="AJ58" i="10"/>
  <c r="AK40" i="10"/>
  <c r="AK50" i="10"/>
  <c r="AL33" i="10"/>
  <c r="AL37" i="10" s="1"/>
  <c r="AM16" i="10"/>
  <c r="AN15" i="10"/>
  <c r="AM32" i="10"/>
  <c r="AL49" i="10"/>
  <c r="AM25" i="10" l="1"/>
  <c r="AM22" i="10"/>
  <c r="AL69" i="10"/>
  <c r="AL26" i="10" s="1"/>
  <c r="AK55" i="10"/>
  <c r="AK70" i="10"/>
  <c r="AK41" i="10" s="1"/>
  <c r="AK58" i="10"/>
  <c r="AL40" i="10"/>
  <c r="AL50" i="10"/>
  <c r="AM33" i="10"/>
  <c r="AM37" i="10" s="1"/>
  <c r="AN16" i="10"/>
  <c r="AM49" i="10"/>
  <c r="AN32" i="10"/>
  <c r="AO15" i="10"/>
  <c r="AN25" i="10" l="1"/>
  <c r="AN22" i="10"/>
  <c r="AM69" i="10"/>
  <c r="AM26" i="10" s="1"/>
  <c r="AL55" i="10"/>
  <c r="AL70" i="10"/>
  <c r="AL41" i="10" s="1"/>
  <c r="AL58" i="10"/>
  <c r="AM40" i="10"/>
  <c r="AM50" i="10"/>
  <c r="AN33" i="10"/>
  <c r="AN37" i="10" s="1"/>
  <c r="AO16" i="10"/>
  <c r="AN49" i="10"/>
  <c r="AO32" i="10"/>
  <c r="AP15" i="10"/>
  <c r="AO25" i="10" l="1"/>
  <c r="AO22" i="10"/>
  <c r="AN69" i="10"/>
  <c r="AN26" i="10" s="1"/>
  <c r="AM55" i="10"/>
  <c r="AM70" i="10"/>
  <c r="AM41" i="10" s="1"/>
  <c r="AM58" i="10"/>
  <c r="AN40" i="10"/>
  <c r="AN50" i="10"/>
  <c r="AO33" i="10"/>
  <c r="AO37" i="10" s="1"/>
  <c r="AP16" i="10"/>
  <c r="AO49" i="10"/>
  <c r="AP32" i="10"/>
  <c r="AQ15" i="10"/>
  <c r="AP25" i="10" l="1"/>
  <c r="AP22" i="10"/>
  <c r="AO69" i="10"/>
  <c r="AO26" i="10" s="1"/>
  <c r="AN55" i="10"/>
  <c r="AN70" i="10"/>
  <c r="AN41" i="10" s="1"/>
  <c r="AN58" i="10"/>
  <c r="AO40" i="10"/>
  <c r="AO50" i="10"/>
  <c r="AP33" i="10"/>
  <c r="AP37" i="10" s="1"/>
  <c r="AQ16" i="10"/>
  <c r="AR15" i="10"/>
  <c r="AQ32" i="10"/>
  <c r="AP49" i="10"/>
  <c r="AQ25" i="10" l="1"/>
  <c r="AQ22" i="10"/>
  <c r="AP69" i="10"/>
  <c r="AP26" i="10" s="1"/>
  <c r="AO55" i="10"/>
  <c r="AO70" i="10"/>
  <c r="AO41" i="10" s="1"/>
  <c r="AO58" i="10"/>
  <c r="AP40" i="10"/>
  <c r="AP50" i="10"/>
  <c r="AQ33" i="10"/>
  <c r="AQ37" i="10" s="1"/>
  <c r="AR16" i="10"/>
  <c r="AQ49" i="10"/>
  <c r="AR32" i="10"/>
  <c r="AS15" i="10"/>
  <c r="AR25" i="10" l="1"/>
  <c r="AR22" i="10"/>
  <c r="AQ69" i="10"/>
  <c r="AQ26" i="10" s="1"/>
  <c r="AP55" i="10"/>
  <c r="AP70" i="10"/>
  <c r="AP41" i="10" s="1"/>
  <c r="AP58" i="10"/>
  <c r="AQ40" i="10"/>
  <c r="AQ50" i="10"/>
  <c r="AR33" i="10"/>
  <c r="AR37" i="10" s="1"/>
  <c r="AS16" i="10"/>
  <c r="AT15" i="10"/>
  <c r="AS32" i="10"/>
  <c r="AR49" i="10"/>
  <c r="AS25" i="10" l="1"/>
  <c r="AS22" i="10"/>
  <c r="AR69" i="10"/>
  <c r="AR26" i="10" s="1"/>
  <c r="AQ55" i="10"/>
  <c r="AQ70" i="10"/>
  <c r="AQ41" i="10" s="1"/>
  <c r="AQ58" i="10"/>
  <c r="AR40" i="10"/>
  <c r="AR50" i="10"/>
  <c r="AS33" i="10"/>
  <c r="AS37" i="10" s="1"/>
  <c r="AT16" i="10"/>
  <c r="AS49" i="10"/>
  <c r="AT32" i="10"/>
  <c r="AU15" i="10"/>
  <c r="AT22" i="10" l="1"/>
  <c r="AT25" i="10"/>
  <c r="AS69" i="10"/>
  <c r="AS26" i="10" s="1"/>
  <c r="AR55" i="10"/>
  <c r="AR70" i="10"/>
  <c r="AR41" i="10" s="1"/>
  <c r="AR58" i="10"/>
  <c r="AS40" i="10"/>
  <c r="AS50" i="10"/>
  <c r="AT33" i="10"/>
  <c r="AT37" i="10" s="1"/>
  <c r="AU16" i="10"/>
  <c r="AV15" i="10"/>
  <c r="AU32" i="10"/>
  <c r="AT49" i="10"/>
  <c r="AU25" i="10" l="1"/>
  <c r="AU22" i="10"/>
  <c r="AT69" i="10"/>
  <c r="AT26" i="10" s="1"/>
  <c r="AS55" i="10"/>
  <c r="AS70" i="10"/>
  <c r="AS41" i="10" s="1"/>
  <c r="AS58" i="10"/>
  <c r="AT40" i="10"/>
  <c r="AT50" i="10"/>
  <c r="AU33" i="10"/>
  <c r="AU37" i="10" s="1"/>
  <c r="AV16" i="10"/>
  <c r="AU49" i="10"/>
  <c r="AV32" i="10"/>
  <c r="AW15" i="10"/>
  <c r="AV25" i="10" l="1"/>
  <c r="AV22" i="10"/>
  <c r="AU69" i="10"/>
  <c r="AU26" i="10" s="1"/>
  <c r="AT55" i="10"/>
  <c r="AT70" i="10"/>
  <c r="AT41" i="10" s="1"/>
  <c r="AT58" i="10"/>
  <c r="AU40" i="10"/>
  <c r="AU50" i="10"/>
  <c r="AV33" i="10"/>
  <c r="AV37" i="10" s="1"/>
  <c r="AW16" i="10"/>
  <c r="AX15" i="10"/>
  <c r="AW32" i="10"/>
  <c r="AV49" i="10"/>
  <c r="AW25" i="10" l="1"/>
  <c r="AW22" i="10"/>
  <c r="AV69" i="10"/>
  <c r="AV26" i="10" s="1"/>
  <c r="AU55" i="10"/>
  <c r="AU70" i="10"/>
  <c r="AU41" i="10" s="1"/>
  <c r="AU58" i="10"/>
  <c r="AV40" i="10"/>
  <c r="AV50" i="10"/>
  <c r="AW33" i="10"/>
  <c r="AW37" i="10" s="1"/>
  <c r="AX16" i="10"/>
  <c r="AX32" i="10"/>
  <c r="AY15" i="10"/>
  <c r="AW49" i="10"/>
  <c r="AX22" i="10" l="1"/>
  <c r="AX25" i="10"/>
  <c r="AW69" i="10"/>
  <c r="AW26" i="10" s="1"/>
  <c r="AV55" i="10"/>
  <c r="AV70" i="10"/>
  <c r="AV41" i="10" s="1"/>
  <c r="AV58" i="10"/>
  <c r="AW40" i="10"/>
  <c r="AW50" i="10"/>
  <c r="AX33" i="10"/>
  <c r="AX37" i="10" s="1"/>
  <c r="AY16" i="10"/>
  <c r="AZ15" i="10"/>
  <c r="AX49" i="10"/>
  <c r="AY32" i="10"/>
  <c r="AY25" i="10" l="1"/>
  <c r="AY22" i="10"/>
  <c r="AX69" i="10"/>
  <c r="AX26" i="10" s="1"/>
  <c r="AW55" i="10"/>
  <c r="AW70" i="10"/>
  <c r="AW41" i="10" s="1"/>
  <c r="AW58" i="10"/>
  <c r="AX40" i="10"/>
  <c r="AX50" i="10"/>
  <c r="AY33" i="10"/>
  <c r="AY37" i="10" s="1"/>
  <c r="AZ16" i="10"/>
  <c r="AY49" i="10"/>
  <c r="AZ32" i="10"/>
  <c r="BA15" i="10"/>
  <c r="AZ25" i="10" l="1"/>
  <c r="AZ22" i="10"/>
  <c r="AY69" i="10"/>
  <c r="AY26" i="10" s="1"/>
  <c r="AX55" i="10"/>
  <c r="AX70" i="10"/>
  <c r="AX41" i="10" s="1"/>
  <c r="AX58" i="10"/>
  <c r="AY40" i="10"/>
  <c r="AY50" i="10"/>
  <c r="AZ33" i="10"/>
  <c r="AZ37" i="10" s="1"/>
  <c r="BA16" i="10"/>
  <c r="BA32" i="10"/>
  <c r="BB15" i="10"/>
  <c r="AZ49" i="10"/>
  <c r="BA25" i="10" l="1"/>
  <c r="BA22" i="10"/>
  <c r="AZ69" i="10"/>
  <c r="AZ26" i="10" s="1"/>
  <c r="AY55" i="10"/>
  <c r="AY70" i="10"/>
  <c r="AY41" i="10" s="1"/>
  <c r="AY58" i="10"/>
  <c r="AZ40" i="10"/>
  <c r="AZ50" i="10"/>
  <c r="BA33" i="10"/>
  <c r="BA37" i="10" s="1"/>
  <c r="BB16" i="10"/>
  <c r="BC15" i="10"/>
  <c r="BA49" i="10"/>
  <c r="BB32" i="10"/>
  <c r="BB25" i="10" l="1"/>
  <c r="BB22" i="10"/>
  <c r="BA69" i="10"/>
  <c r="BA26" i="10" s="1"/>
  <c r="AZ55" i="10"/>
  <c r="AZ70" i="10"/>
  <c r="AZ41" i="10" s="1"/>
  <c r="AZ58" i="10"/>
  <c r="BA40" i="10"/>
  <c r="BA50" i="10"/>
  <c r="BB33" i="10"/>
  <c r="BB37" i="10" s="1"/>
  <c r="BC16" i="10"/>
  <c r="BB49" i="10"/>
  <c r="BC32" i="10"/>
  <c r="BD15" i="10"/>
  <c r="BC25" i="10" l="1"/>
  <c r="BC22" i="10"/>
  <c r="BB69" i="10"/>
  <c r="BB26" i="10" s="1"/>
  <c r="BA55" i="10"/>
  <c r="BA70" i="10"/>
  <c r="BA41" i="10" s="1"/>
  <c r="BA58" i="10"/>
  <c r="BB40" i="10"/>
  <c r="BB50" i="10"/>
  <c r="BC33" i="10"/>
  <c r="BC37" i="10" s="1"/>
  <c r="BD16" i="10"/>
  <c r="BD32" i="10"/>
  <c r="BE15" i="10"/>
  <c r="BC49" i="10"/>
  <c r="BD25" i="10" l="1"/>
  <c r="BD22" i="10"/>
  <c r="BC69" i="10"/>
  <c r="BC26" i="10" s="1"/>
  <c r="BB55" i="10"/>
  <c r="BB70" i="10"/>
  <c r="BB41" i="10" s="1"/>
  <c r="BB58" i="10"/>
  <c r="BC40" i="10"/>
  <c r="BC50" i="10"/>
  <c r="BD33" i="10"/>
  <c r="BD37" i="10" s="1"/>
  <c r="BE16" i="10"/>
  <c r="BF15" i="10"/>
  <c r="BD49" i="10"/>
  <c r="BE32" i="10"/>
  <c r="BE25" i="10" l="1"/>
  <c r="BE22" i="10"/>
  <c r="BD69" i="10"/>
  <c r="BD26" i="10" s="1"/>
  <c r="BC55" i="10"/>
  <c r="BC70" i="10"/>
  <c r="BC41" i="10" s="1"/>
  <c r="BC58" i="10"/>
  <c r="BD40" i="10"/>
  <c r="BD50" i="10"/>
  <c r="BE33" i="10"/>
  <c r="BE37" i="10" s="1"/>
  <c r="BF16" i="10"/>
  <c r="BE49" i="10"/>
  <c r="BF32" i="10"/>
  <c r="BG15" i="10"/>
  <c r="BF25" i="10" l="1"/>
  <c r="BF22" i="10"/>
  <c r="BE69" i="10"/>
  <c r="BE26" i="10" s="1"/>
  <c r="BD55" i="10"/>
  <c r="BD70" i="10"/>
  <c r="BD41" i="10" s="1"/>
  <c r="BD58" i="10"/>
  <c r="BE40" i="10"/>
  <c r="BE50" i="10"/>
  <c r="BF33" i="10"/>
  <c r="BF37" i="10" s="1"/>
  <c r="BG16" i="10"/>
  <c r="BG32" i="10"/>
  <c r="BH15" i="10"/>
  <c r="BF49" i="10"/>
  <c r="BG25" i="10" l="1"/>
  <c r="BG22" i="10"/>
  <c r="BF69" i="10"/>
  <c r="BF26" i="10" s="1"/>
  <c r="BE55" i="10"/>
  <c r="BE70" i="10"/>
  <c r="BE41" i="10" s="1"/>
  <c r="BE58" i="10"/>
  <c r="BF40" i="10"/>
  <c r="BF50" i="10"/>
  <c r="BG33" i="10"/>
  <c r="BG37" i="10" s="1"/>
  <c r="BH16" i="10"/>
  <c r="BI15" i="10"/>
  <c r="BG49" i="10"/>
  <c r="BH32" i="10"/>
  <c r="BH25" i="10" l="1"/>
  <c r="BH22" i="10"/>
  <c r="BG69" i="10"/>
  <c r="BG26" i="10" s="1"/>
  <c r="BF55" i="10"/>
  <c r="BF70" i="10"/>
  <c r="BF41" i="10" s="1"/>
  <c r="BF58" i="10"/>
  <c r="BG40" i="10"/>
  <c r="BG50" i="10"/>
  <c r="BH33" i="10"/>
  <c r="BH37" i="10" s="1"/>
  <c r="BI16" i="10"/>
  <c r="BH49" i="10"/>
  <c r="BI32" i="10"/>
  <c r="BJ15" i="10"/>
  <c r="BI25" i="10" l="1"/>
  <c r="BI22" i="10"/>
  <c r="BH69" i="10"/>
  <c r="BH26" i="10" s="1"/>
  <c r="BG55" i="10"/>
  <c r="BG70" i="10"/>
  <c r="BG41" i="10" s="1"/>
  <c r="BG58" i="10"/>
  <c r="BH40" i="10"/>
  <c r="BH50" i="10"/>
  <c r="BI33" i="10"/>
  <c r="BI37" i="10" s="1"/>
  <c r="BJ16" i="10"/>
  <c r="BJ32" i="10"/>
  <c r="BK15" i="10"/>
  <c r="BI49" i="10"/>
  <c r="BJ22" i="10" l="1"/>
  <c r="BJ25" i="10"/>
  <c r="BI69" i="10"/>
  <c r="BI26" i="10" s="1"/>
  <c r="BH55" i="10"/>
  <c r="BH70" i="10"/>
  <c r="BH41" i="10" s="1"/>
  <c r="BH58" i="10"/>
  <c r="BI40" i="10"/>
  <c r="BI50" i="10"/>
  <c r="BJ33" i="10"/>
  <c r="BJ37" i="10" s="1"/>
  <c r="BK16" i="10"/>
  <c r="BL15" i="10"/>
  <c r="BJ49" i="10"/>
  <c r="BK32" i="10"/>
  <c r="BK25" i="10" l="1"/>
  <c r="BK22" i="10"/>
  <c r="BJ69" i="10"/>
  <c r="BJ26" i="10" s="1"/>
  <c r="BI55" i="10"/>
  <c r="BI70" i="10"/>
  <c r="BI41" i="10" s="1"/>
  <c r="BI58" i="10"/>
  <c r="BJ40" i="10"/>
  <c r="BJ50" i="10"/>
  <c r="BK33" i="10"/>
  <c r="BK37" i="10" s="1"/>
  <c r="BL16" i="10"/>
  <c r="BK49" i="10"/>
  <c r="BM15" i="10"/>
  <c r="BL32" i="10"/>
  <c r="BL25" i="10" l="1"/>
  <c r="BL22" i="10"/>
  <c r="BK69" i="10"/>
  <c r="BK26" i="10" s="1"/>
  <c r="BJ55" i="10"/>
  <c r="BJ70" i="10"/>
  <c r="BJ41" i="10" s="1"/>
  <c r="BJ58" i="10"/>
  <c r="BK40" i="10"/>
  <c r="BK50" i="10"/>
  <c r="BL33" i="10"/>
  <c r="BL37" i="10" s="1"/>
  <c r="BM16" i="10"/>
  <c r="BN15" i="10"/>
  <c r="BM32" i="10"/>
  <c r="BL49" i="10"/>
  <c r="BM25" i="10" l="1"/>
  <c r="BM22" i="10"/>
  <c r="BL69" i="10"/>
  <c r="BL26" i="10" s="1"/>
  <c r="BK55" i="10"/>
  <c r="BK70" i="10"/>
  <c r="BK41" i="10" s="1"/>
  <c r="BK58" i="10"/>
  <c r="BL40" i="10"/>
  <c r="BL50" i="10"/>
  <c r="BM33" i="10"/>
  <c r="BM37" i="10" s="1"/>
  <c r="BN16" i="10"/>
  <c r="BM49" i="10"/>
  <c r="BN32" i="10"/>
  <c r="BO15" i="10"/>
  <c r="BN25" i="10" l="1"/>
  <c r="BN22" i="10"/>
  <c r="BM69" i="10"/>
  <c r="BM26" i="10" s="1"/>
  <c r="BL55" i="10"/>
  <c r="BL70" i="10"/>
  <c r="BL41" i="10" s="1"/>
  <c r="BL58" i="10"/>
  <c r="BM40" i="10"/>
  <c r="BM50" i="10"/>
  <c r="BN33" i="10"/>
  <c r="BN37" i="10" s="1"/>
  <c r="BO16" i="10"/>
  <c r="BP15" i="10"/>
  <c r="BO32" i="10"/>
  <c r="BN49" i="10"/>
  <c r="BO25" i="10" l="1"/>
  <c r="BO22" i="10"/>
  <c r="BN69" i="10"/>
  <c r="BN26" i="10" s="1"/>
  <c r="BM55" i="10"/>
  <c r="BM70" i="10"/>
  <c r="BM41" i="10" s="1"/>
  <c r="BM58" i="10"/>
  <c r="BN40" i="10"/>
  <c r="BN50" i="10"/>
  <c r="BO33" i="10"/>
  <c r="BO37" i="10" s="1"/>
  <c r="BP16" i="10"/>
  <c r="BQ15" i="10"/>
  <c r="BP32" i="10"/>
  <c r="BO49" i="10"/>
  <c r="BP25" i="10" l="1"/>
  <c r="BP22" i="10"/>
  <c r="BO69" i="10"/>
  <c r="BO26" i="10" s="1"/>
  <c r="BN55" i="10"/>
  <c r="BN70" i="10"/>
  <c r="BN41" i="10" s="1"/>
  <c r="BN58" i="10"/>
  <c r="BO40" i="10"/>
  <c r="BO50" i="10"/>
  <c r="BP33" i="10"/>
  <c r="BP37" i="10" s="1"/>
  <c r="BQ16" i="10"/>
  <c r="BR15" i="10"/>
  <c r="BQ32" i="10"/>
  <c r="BP49" i="10"/>
  <c r="BQ25" i="10" l="1"/>
  <c r="BQ22" i="10"/>
  <c r="BP69" i="10"/>
  <c r="BP26" i="10" s="1"/>
  <c r="BO55" i="10"/>
  <c r="BO70" i="10"/>
  <c r="BO41" i="10" s="1"/>
  <c r="BO58" i="10"/>
  <c r="BP40" i="10"/>
  <c r="BP50" i="10"/>
  <c r="BQ33" i="10"/>
  <c r="BQ37" i="10" s="1"/>
  <c r="BR16" i="10"/>
  <c r="BQ49" i="10"/>
  <c r="BR32" i="10"/>
  <c r="BS15" i="10"/>
  <c r="BR25" i="10" l="1"/>
  <c r="BR22" i="10"/>
  <c r="BQ69" i="10"/>
  <c r="BQ26" i="10" s="1"/>
  <c r="BP55" i="10"/>
  <c r="BP70" i="10"/>
  <c r="BP41" i="10" s="1"/>
  <c r="BP58" i="10"/>
  <c r="BQ40" i="10"/>
  <c r="BQ50" i="10"/>
  <c r="BR33" i="10"/>
  <c r="BR37" i="10" s="1"/>
  <c r="BS16" i="10"/>
  <c r="BT15" i="10"/>
  <c r="BS32" i="10"/>
  <c r="BR49" i="10"/>
  <c r="BS25" i="10" l="1"/>
  <c r="BS22" i="10"/>
  <c r="BR69" i="10"/>
  <c r="BR26" i="10" s="1"/>
  <c r="BQ55" i="10"/>
  <c r="BQ70" i="10"/>
  <c r="BQ41" i="10" s="1"/>
  <c r="BQ58" i="10"/>
  <c r="BR40" i="10"/>
  <c r="BR50" i="10"/>
  <c r="BS33" i="10"/>
  <c r="BS37" i="10" s="1"/>
  <c r="BT16" i="10"/>
  <c r="BU15" i="10"/>
  <c r="BT32" i="10"/>
  <c r="BS49" i="10"/>
  <c r="BT25" i="10" l="1"/>
  <c r="BT22" i="10"/>
  <c r="BS69" i="10"/>
  <c r="BS26" i="10" s="1"/>
  <c r="BR55" i="10"/>
  <c r="BR70" i="10"/>
  <c r="BR41" i="10" s="1"/>
  <c r="BR58" i="10"/>
  <c r="BS40" i="10"/>
  <c r="BS50" i="10"/>
  <c r="BT33" i="10"/>
  <c r="BT37" i="10" s="1"/>
  <c r="BU16" i="10"/>
  <c r="BT49" i="10"/>
  <c r="BU32" i="10"/>
  <c r="BV15" i="10"/>
  <c r="BU25" i="10" l="1"/>
  <c r="BU22" i="10"/>
  <c r="BT69" i="10"/>
  <c r="BT26" i="10" s="1"/>
  <c r="BS55" i="10"/>
  <c r="BS70" i="10"/>
  <c r="BS41" i="10" s="1"/>
  <c r="BS58" i="10"/>
  <c r="BT40" i="10"/>
  <c r="BT50" i="10"/>
  <c r="BU33" i="10"/>
  <c r="BU37" i="10" s="1"/>
  <c r="BV16" i="10"/>
  <c r="BV32" i="10"/>
  <c r="BW15" i="10"/>
  <c r="BU49" i="10"/>
  <c r="BV25" i="10" l="1"/>
  <c r="BV22" i="10"/>
  <c r="BU69" i="10"/>
  <c r="BU26" i="10" s="1"/>
  <c r="BT55" i="10"/>
  <c r="BT70" i="10"/>
  <c r="BT41" i="10" s="1"/>
  <c r="BT58" i="10"/>
  <c r="BU40" i="10"/>
  <c r="BU50" i="10"/>
  <c r="BV33" i="10"/>
  <c r="BV37" i="10" s="1"/>
  <c r="BW16" i="10"/>
  <c r="BX15" i="10"/>
  <c r="BV49" i="10"/>
  <c r="BW32" i="10"/>
  <c r="BW25" i="10" l="1"/>
  <c r="BW22" i="10"/>
  <c r="BV69" i="10"/>
  <c r="BV26" i="10" s="1"/>
  <c r="BU55" i="10"/>
  <c r="BU70" i="10"/>
  <c r="BU41" i="10" s="1"/>
  <c r="BU58" i="10"/>
  <c r="BV40" i="10"/>
  <c r="BV50" i="10"/>
  <c r="BW33" i="10"/>
  <c r="BW37" i="10" s="1"/>
  <c r="BX16" i="10"/>
  <c r="BX32" i="10"/>
  <c r="BW49" i="10"/>
  <c r="BY15" i="10"/>
  <c r="BX25" i="10" l="1"/>
  <c r="BX22" i="10"/>
  <c r="BW69" i="10"/>
  <c r="BW26" i="10" s="1"/>
  <c r="BV55" i="10"/>
  <c r="BV70" i="10"/>
  <c r="BV41" i="10" s="1"/>
  <c r="BV58" i="10"/>
  <c r="BW40" i="10"/>
  <c r="BW50" i="10"/>
  <c r="BX33" i="10"/>
  <c r="BX37" i="10" s="1"/>
  <c r="BY16" i="10"/>
  <c r="BZ15" i="10"/>
  <c r="BX49" i="10"/>
  <c r="BY32" i="10"/>
  <c r="BY25" i="10" l="1"/>
  <c r="BY22" i="10"/>
  <c r="BX69" i="10"/>
  <c r="BX26" i="10" s="1"/>
  <c r="BW55" i="10"/>
  <c r="BW70" i="10"/>
  <c r="BW41" i="10" s="1"/>
  <c r="BW58" i="10"/>
  <c r="BX40" i="10"/>
  <c r="BX50" i="10"/>
  <c r="BY33" i="10"/>
  <c r="BY37" i="10" s="1"/>
  <c r="BZ16" i="10"/>
  <c r="BZ32" i="10"/>
  <c r="BY49" i="10"/>
  <c r="CA15" i="10"/>
  <c r="BZ22" i="10" l="1"/>
  <c r="BZ25" i="10"/>
  <c r="BY69" i="10"/>
  <c r="BY26" i="10" s="1"/>
  <c r="BX55" i="10"/>
  <c r="BX70" i="10"/>
  <c r="BX41" i="10" s="1"/>
  <c r="BX58" i="10"/>
  <c r="BY40" i="10"/>
  <c r="BY50" i="10"/>
  <c r="BZ33" i="10"/>
  <c r="BZ37" i="10" s="1"/>
  <c r="CA16" i="10"/>
  <c r="BZ49" i="10"/>
  <c r="CB15" i="10"/>
  <c r="CA32" i="10"/>
  <c r="CA25" i="10" l="1"/>
  <c r="CA22" i="10"/>
  <c r="BZ69" i="10"/>
  <c r="BZ26" i="10" s="1"/>
  <c r="BY55" i="10"/>
  <c r="BY70" i="10"/>
  <c r="BY41" i="10" s="1"/>
  <c r="BY58" i="10"/>
  <c r="BZ40" i="10"/>
  <c r="BZ50" i="10"/>
  <c r="CA33" i="10"/>
  <c r="CA37" i="10" s="1"/>
  <c r="CB16" i="10"/>
  <c r="CC15" i="10"/>
  <c r="CB32" i="10"/>
  <c r="CA49" i="10"/>
  <c r="CB25" i="10" l="1"/>
  <c r="CB22" i="10"/>
  <c r="CA69" i="10"/>
  <c r="CA26" i="10" s="1"/>
  <c r="BZ55" i="10"/>
  <c r="BZ70" i="10"/>
  <c r="BZ41" i="10" s="1"/>
  <c r="BZ58" i="10"/>
  <c r="CA40" i="10"/>
  <c r="CA50" i="10"/>
  <c r="CB33" i="10"/>
  <c r="CB37" i="10" s="1"/>
  <c r="CC16" i="10"/>
  <c r="CC32" i="10"/>
  <c r="CB49" i="10"/>
  <c r="CD15" i="10"/>
  <c r="CC25" i="10" l="1"/>
  <c r="CC22" i="10"/>
  <c r="CB69" i="10"/>
  <c r="CB26" i="10" s="1"/>
  <c r="CA55" i="10"/>
  <c r="CA70" i="10"/>
  <c r="CA41" i="10" s="1"/>
  <c r="CA58" i="10"/>
  <c r="CB40" i="10"/>
  <c r="CB50" i="10"/>
  <c r="CC33" i="10"/>
  <c r="CC37" i="10" s="1"/>
  <c r="CD16" i="10"/>
  <c r="CC49" i="10"/>
  <c r="CE15" i="10"/>
  <c r="CD32" i="10"/>
  <c r="CD22" i="10" l="1"/>
  <c r="CD25" i="10"/>
  <c r="CC69" i="10"/>
  <c r="CC26" i="10" s="1"/>
  <c r="CB55" i="10"/>
  <c r="CB70" i="10"/>
  <c r="CB41" i="10" s="1"/>
  <c r="CB58" i="10"/>
  <c r="CC40" i="10"/>
  <c r="CC50" i="10"/>
  <c r="CD33" i="10"/>
  <c r="CD37" i="10" s="1"/>
  <c r="CE16" i="10"/>
  <c r="CF15" i="10"/>
  <c r="CE32" i="10"/>
  <c r="CD49" i="10"/>
  <c r="CE25" i="10" l="1"/>
  <c r="CE22" i="10"/>
  <c r="CD69" i="10"/>
  <c r="CD26" i="10" s="1"/>
  <c r="CC55" i="10"/>
  <c r="CC70" i="10"/>
  <c r="CC41" i="10" s="1"/>
  <c r="CC58" i="10"/>
  <c r="CD40" i="10"/>
  <c r="CD50" i="10"/>
  <c r="CE33" i="10"/>
  <c r="CE37" i="10" s="1"/>
  <c r="CF16" i="10"/>
  <c r="CF32" i="10"/>
  <c r="CE49" i="10"/>
  <c r="CG15" i="10"/>
  <c r="CF25" i="10" l="1"/>
  <c r="CF22" i="10"/>
  <c r="CE69" i="10"/>
  <c r="CE26" i="10" s="1"/>
  <c r="CD55" i="10"/>
  <c r="CD70" i="10"/>
  <c r="CD41" i="10" s="1"/>
  <c r="CD58" i="10"/>
  <c r="CE40" i="10"/>
  <c r="CE50" i="10"/>
  <c r="CF33" i="10"/>
  <c r="CF37" i="10" s="1"/>
  <c r="CG16" i="10"/>
  <c r="CF49" i="10"/>
  <c r="CH15" i="10"/>
  <c r="CG32" i="10"/>
  <c r="CG25" i="10" l="1"/>
  <c r="CG22" i="10"/>
  <c r="CF69" i="10"/>
  <c r="CF26" i="10" s="1"/>
  <c r="CE55" i="10"/>
  <c r="CE70" i="10"/>
  <c r="CE41" i="10" s="1"/>
  <c r="CE58" i="10"/>
  <c r="CF40" i="10"/>
  <c r="CF50" i="10"/>
  <c r="CG33" i="10"/>
  <c r="CG37" i="10" s="1"/>
  <c r="CH16" i="10"/>
  <c r="CI15" i="10"/>
  <c r="CH32" i="10"/>
  <c r="CG49" i="10"/>
  <c r="CH25" i="10" l="1"/>
  <c r="CH22" i="10"/>
  <c r="CG69" i="10"/>
  <c r="CG26" i="10" s="1"/>
  <c r="CF55" i="10"/>
  <c r="CF70" i="10"/>
  <c r="CF41" i="10" s="1"/>
  <c r="CF58" i="10"/>
  <c r="CG40" i="10"/>
  <c r="CG50" i="10"/>
  <c r="CH33" i="10"/>
  <c r="CH37" i="10" s="1"/>
  <c r="CI16" i="10"/>
  <c r="CI32" i="10"/>
  <c r="CH49" i="10"/>
  <c r="CJ15" i="10"/>
  <c r="CI25" i="10" l="1"/>
  <c r="CI22" i="10"/>
  <c r="CH69" i="10"/>
  <c r="CH26" i="10" s="1"/>
  <c r="CG55" i="10"/>
  <c r="CG70" i="10"/>
  <c r="CG41" i="10" s="1"/>
  <c r="CG58" i="10"/>
  <c r="CH40" i="10"/>
  <c r="CH50" i="10"/>
  <c r="CI33" i="10"/>
  <c r="CI37" i="10" s="1"/>
  <c r="CJ16" i="10"/>
  <c r="CI49" i="10"/>
  <c r="CK15" i="10"/>
  <c r="CJ32" i="10"/>
  <c r="CJ25" i="10" l="1"/>
  <c r="CJ22" i="10"/>
  <c r="CI69" i="10"/>
  <c r="CI26" i="10" s="1"/>
  <c r="CH55" i="10"/>
  <c r="CH70" i="10"/>
  <c r="CH41" i="10" s="1"/>
  <c r="CH58" i="10"/>
  <c r="CI40" i="10"/>
  <c r="CI50" i="10"/>
  <c r="CJ33" i="10"/>
  <c r="CJ37" i="10" s="1"/>
  <c r="CK16" i="10"/>
  <c r="CK32" i="10"/>
  <c r="CJ49" i="10"/>
  <c r="CL15" i="10"/>
  <c r="CK25" i="10" l="1"/>
  <c r="CK22" i="10"/>
  <c r="CJ69" i="10"/>
  <c r="CJ26" i="10" s="1"/>
  <c r="CI55" i="10"/>
  <c r="CI70" i="10"/>
  <c r="CI41" i="10" s="1"/>
  <c r="CI58" i="10"/>
  <c r="CJ40" i="10"/>
  <c r="CJ50" i="10"/>
  <c r="CK33" i="10"/>
  <c r="CK37" i="10" s="1"/>
  <c r="CL16" i="10"/>
  <c r="CK49" i="10"/>
  <c r="CM15" i="10"/>
  <c r="CL32" i="10"/>
  <c r="CL25" i="10" l="1"/>
  <c r="CL22" i="10"/>
  <c r="CK69" i="10"/>
  <c r="CK26" i="10" s="1"/>
  <c r="CJ55" i="10"/>
  <c r="CJ70" i="10"/>
  <c r="CJ41" i="10" s="1"/>
  <c r="CJ58" i="10"/>
  <c r="CK40" i="10"/>
  <c r="CK50" i="10"/>
  <c r="CL33" i="10"/>
  <c r="CL37" i="10" s="1"/>
  <c r="CM16" i="10"/>
  <c r="CN15" i="10"/>
  <c r="CM32" i="10"/>
  <c r="CL49" i="10"/>
  <c r="CM25" i="10" l="1"/>
  <c r="CM22" i="10"/>
  <c r="CL69" i="10"/>
  <c r="CL26" i="10" s="1"/>
  <c r="CK55" i="10"/>
  <c r="CK70" i="10"/>
  <c r="CK41" i="10" s="1"/>
  <c r="CK58" i="10"/>
  <c r="CL40" i="10"/>
  <c r="CL50" i="10"/>
  <c r="CM33" i="10"/>
  <c r="CM37" i="10" s="1"/>
  <c r="CN16" i="10"/>
  <c r="CM49" i="10"/>
  <c r="CN32" i="10"/>
  <c r="CO15" i="10"/>
  <c r="CN25" i="10" l="1"/>
  <c r="CN22" i="10"/>
  <c r="CM69" i="10"/>
  <c r="CM26" i="10" s="1"/>
  <c r="CL55" i="10"/>
  <c r="CL70" i="10"/>
  <c r="CL41" i="10" s="1"/>
  <c r="CL58" i="10"/>
  <c r="CM40" i="10"/>
  <c r="CM50" i="10"/>
  <c r="CN33" i="10"/>
  <c r="CN37" i="10" s="1"/>
  <c r="CO16" i="10"/>
  <c r="CN49" i="10"/>
  <c r="CO32" i="10"/>
  <c r="CP15" i="10"/>
  <c r="CO25" i="10" l="1"/>
  <c r="CO22" i="10"/>
  <c r="CN69" i="10"/>
  <c r="CN26" i="10" s="1"/>
  <c r="CM55" i="10"/>
  <c r="CM70" i="10"/>
  <c r="CM41" i="10" s="1"/>
  <c r="CM58" i="10"/>
  <c r="CN40" i="10"/>
  <c r="CN50" i="10"/>
  <c r="CO33" i="10"/>
  <c r="CO37" i="10" s="1"/>
  <c r="CP16" i="10"/>
  <c r="CO49" i="10"/>
  <c r="CP32" i="10"/>
  <c r="CQ15" i="10"/>
  <c r="CP22" i="10" l="1"/>
  <c r="CP25" i="10"/>
  <c r="CO69" i="10"/>
  <c r="CO26" i="10" s="1"/>
  <c r="CN55" i="10"/>
  <c r="CN70" i="10"/>
  <c r="CN41" i="10" s="1"/>
  <c r="CN58" i="10"/>
  <c r="CO40" i="10"/>
  <c r="CO50" i="10"/>
  <c r="CP33" i="10"/>
  <c r="CP37" i="10" s="1"/>
  <c r="CQ16" i="10"/>
  <c r="CR15" i="10"/>
  <c r="CQ32" i="10"/>
  <c r="CP49" i="10"/>
  <c r="CQ25" i="10" l="1"/>
  <c r="CQ22" i="10"/>
  <c r="CP69" i="10"/>
  <c r="CP26" i="10" s="1"/>
  <c r="CO55" i="10"/>
  <c r="CO70" i="10"/>
  <c r="CO41" i="10" s="1"/>
  <c r="CO58" i="10"/>
  <c r="CP40" i="10"/>
  <c r="CP50" i="10"/>
  <c r="CQ33" i="10"/>
  <c r="CQ37" i="10" s="1"/>
  <c r="CR16" i="10"/>
  <c r="CQ49" i="10"/>
  <c r="CR32" i="10"/>
  <c r="CS15" i="10"/>
  <c r="CR25" i="10" l="1"/>
  <c r="CR22" i="10"/>
  <c r="CQ69" i="10"/>
  <c r="CQ26" i="10" s="1"/>
  <c r="CP55" i="10"/>
  <c r="CP70" i="10"/>
  <c r="CP41" i="10" s="1"/>
  <c r="CP58" i="10"/>
  <c r="CQ40" i="10"/>
  <c r="CQ50" i="10"/>
  <c r="CR33" i="10"/>
  <c r="CR37" i="10" s="1"/>
  <c r="CS16" i="10"/>
  <c r="CR49" i="10"/>
  <c r="CS32" i="10"/>
  <c r="CT15" i="10"/>
  <c r="CS25" i="10" l="1"/>
  <c r="CS22" i="10"/>
  <c r="CR69" i="10"/>
  <c r="CR26" i="10" s="1"/>
  <c r="CQ55" i="10"/>
  <c r="CQ70" i="10"/>
  <c r="CQ41" i="10" s="1"/>
  <c r="CQ58" i="10"/>
  <c r="CR40" i="10"/>
  <c r="CR50" i="10"/>
  <c r="CS33" i="10"/>
  <c r="CS37" i="10" s="1"/>
  <c r="CT16" i="10"/>
  <c r="CU15" i="10"/>
  <c r="CS49" i="10"/>
  <c r="CT32" i="10"/>
  <c r="CT22" i="10" l="1"/>
  <c r="CT25" i="10"/>
  <c r="CS69" i="10"/>
  <c r="CS26" i="10" s="1"/>
  <c r="CR55" i="10"/>
  <c r="CR70" i="10"/>
  <c r="CR41" i="10" s="1"/>
  <c r="CR58" i="10"/>
  <c r="CS40" i="10"/>
  <c r="CS50" i="10"/>
  <c r="CT33" i="10"/>
  <c r="CT37" i="10" s="1"/>
  <c r="CU16" i="10"/>
  <c r="CV15" i="10"/>
  <c r="CT49" i="10"/>
  <c r="CU32" i="10"/>
  <c r="CU25" i="10" l="1"/>
  <c r="CU22" i="10"/>
  <c r="CT69" i="10"/>
  <c r="CT26" i="10" s="1"/>
  <c r="CS55" i="10"/>
  <c r="CS70" i="10"/>
  <c r="CS41" i="10" s="1"/>
  <c r="CS58" i="10"/>
  <c r="CT40" i="10"/>
  <c r="CT50" i="10"/>
  <c r="CU33" i="10"/>
  <c r="CU37" i="10" s="1"/>
  <c r="CV16" i="10"/>
  <c r="CW15" i="10"/>
  <c r="CU49" i="10"/>
  <c r="CV32" i="10"/>
  <c r="CV25" i="10" l="1"/>
  <c r="CV22" i="10"/>
  <c r="CU69" i="10"/>
  <c r="CU26" i="10" s="1"/>
  <c r="CT55" i="10"/>
  <c r="CT70" i="10"/>
  <c r="CT41" i="10" s="1"/>
  <c r="CT58" i="10"/>
  <c r="CU40" i="10"/>
  <c r="CU50" i="10"/>
  <c r="CV33" i="10"/>
  <c r="CV37" i="10" s="1"/>
  <c r="CW16" i="10"/>
  <c r="CX15" i="10"/>
  <c r="CV49" i="10"/>
  <c r="CW32" i="10"/>
  <c r="CW25" i="10" l="1"/>
  <c r="CW22" i="10"/>
  <c r="CV69" i="10"/>
  <c r="CV26" i="10" s="1"/>
  <c r="CU55" i="10"/>
  <c r="CU70" i="10"/>
  <c r="CU41" i="10" s="1"/>
  <c r="CU58" i="10"/>
  <c r="CV40" i="10"/>
  <c r="CV50" i="10"/>
  <c r="CW33" i="10"/>
  <c r="CW37" i="10" s="1"/>
  <c r="CX16" i="10"/>
  <c r="CX32" i="10"/>
  <c r="CW49" i="10"/>
  <c r="CY15" i="10"/>
  <c r="CX25" i="10" l="1"/>
  <c r="CX22" i="10"/>
  <c r="CW69" i="10"/>
  <c r="CW26" i="10" s="1"/>
  <c r="CV55" i="10"/>
  <c r="CV70" i="10"/>
  <c r="CV41" i="10" s="1"/>
  <c r="CV58" i="10"/>
  <c r="CW40" i="10"/>
  <c r="CW50" i="10"/>
  <c r="CX33" i="10"/>
  <c r="CX37" i="10" s="1"/>
  <c r="CY16" i="10"/>
  <c r="CZ15" i="10"/>
  <c r="CX49" i="10"/>
  <c r="CY32" i="10"/>
  <c r="CY25" i="10" l="1"/>
  <c r="CY22" i="10"/>
  <c r="CX69" i="10"/>
  <c r="CX26" i="10" s="1"/>
  <c r="CW55" i="10"/>
  <c r="CW70" i="10"/>
  <c r="CW41" i="10" s="1"/>
  <c r="CW58" i="10"/>
  <c r="CX40" i="10"/>
  <c r="CX50" i="10"/>
  <c r="CY33" i="10"/>
  <c r="CY37" i="10" s="1"/>
  <c r="CZ16" i="10"/>
  <c r="CZ32" i="10"/>
  <c r="CY49" i="10"/>
  <c r="DA15" i="10"/>
  <c r="CZ25" i="10" l="1"/>
  <c r="CZ22" i="10"/>
  <c r="CY69" i="10"/>
  <c r="CY26" i="10" s="1"/>
  <c r="CX55" i="10"/>
  <c r="CX70" i="10"/>
  <c r="CX41" i="10" s="1"/>
  <c r="CX58" i="10"/>
  <c r="CY40" i="10"/>
  <c r="CY50" i="10"/>
  <c r="CZ33" i="10"/>
  <c r="CZ37" i="10" s="1"/>
  <c r="DA16" i="10"/>
  <c r="DB15" i="10"/>
  <c r="CZ49" i="10"/>
  <c r="DA32" i="10"/>
  <c r="DA25" i="10" l="1"/>
  <c r="DA22" i="10"/>
  <c r="CZ69" i="10"/>
  <c r="CZ26" i="10" s="1"/>
  <c r="CY55" i="10"/>
  <c r="CY70" i="10"/>
  <c r="CY41" i="10" s="1"/>
  <c r="CY58" i="10"/>
  <c r="CZ40" i="10"/>
  <c r="CZ50" i="10"/>
  <c r="DA33" i="10"/>
  <c r="DA37" i="10" s="1"/>
  <c r="DB16" i="10"/>
  <c r="DA49" i="10"/>
  <c r="DB32" i="10"/>
  <c r="DC15" i="10"/>
  <c r="DD15" i="10"/>
  <c r="DB25" i="10" l="1"/>
  <c r="DB22" i="10"/>
  <c r="DA69" i="10"/>
  <c r="DA26" i="10" s="1"/>
  <c r="CZ55" i="10"/>
  <c r="CZ70" i="10"/>
  <c r="CZ41" i="10" s="1"/>
  <c r="CZ58" i="10"/>
  <c r="DA40" i="10"/>
  <c r="DA50" i="10"/>
  <c r="DB33" i="10"/>
  <c r="DB37" i="10" s="1"/>
  <c r="DC16" i="10"/>
  <c r="DB49" i="10"/>
  <c r="DC32" i="10"/>
  <c r="DD16" i="10"/>
  <c r="DE15" i="10"/>
  <c r="DC25" i="10" l="1"/>
  <c r="DC22" i="10"/>
  <c r="DD25" i="10"/>
  <c r="DD22" i="10"/>
  <c r="DB69" i="10"/>
  <c r="DB26" i="10" s="1"/>
  <c r="DA55" i="10"/>
  <c r="DA70" i="10"/>
  <c r="DA41" i="10" s="1"/>
  <c r="DA58" i="10"/>
  <c r="DB40" i="10"/>
  <c r="DD32" i="10"/>
  <c r="DB50" i="10"/>
  <c r="DC33" i="10"/>
  <c r="DC37" i="10" s="1"/>
  <c r="DC49" i="10"/>
  <c r="DD49" i="10"/>
  <c r="DE16" i="10"/>
  <c r="H23" i="10" l="1"/>
  <c r="H24" i="10" s="1"/>
  <c r="C41" i="10" s="1"/>
  <c r="G101" i="1" s="1"/>
  <c r="DC69" i="10"/>
  <c r="DC26" i="10" s="1"/>
  <c r="DD33" i="10"/>
  <c r="DD37" i="10" s="1"/>
  <c r="DB55" i="10"/>
  <c r="DB70" i="10"/>
  <c r="DB41" i="10" s="1"/>
  <c r="DB58" i="10"/>
  <c r="DC40" i="10"/>
  <c r="DE32" i="10"/>
  <c r="DC50" i="10"/>
  <c r="DE22" i="10"/>
  <c r="DD50" i="10"/>
  <c r="DE49" i="10"/>
  <c r="H46" i="5" s="1"/>
  <c r="DE25" i="10"/>
  <c r="DD69" i="10" l="1"/>
  <c r="DE33" i="10"/>
  <c r="DD40" i="10"/>
  <c r="DE40" i="10" s="1"/>
  <c r="DD55" i="10"/>
  <c r="DC55" i="10"/>
  <c r="DC70" i="10"/>
  <c r="DD58" i="10"/>
  <c r="DC58" i="10"/>
  <c r="DE37" i="10"/>
  <c r="H38" i="10"/>
  <c r="H39" i="10" s="1"/>
  <c r="H58" i="5"/>
  <c r="AF2" i="18" s="1"/>
  <c r="H47" i="5"/>
  <c r="L47" i="5" s="1"/>
  <c r="DE50" i="10"/>
  <c r="AK2" i="18" l="1"/>
  <c r="G83" i="1"/>
  <c r="DD26" i="10"/>
  <c r="H27" i="10" s="1"/>
  <c r="H28" i="10" s="1"/>
  <c r="C42" i="10"/>
  <c r="G102" i="1" s="1"/>
  <c r="DD70" i="10"/>
  <c r="DD41" i="10" s="1"/>
  <c r="DC41" i="10"/>
  <c r="DE55" i="10"/>
  <c r="H53" i="5" s="1"/>
  <c r="H56" i="10"/>
  <c r="H57" i="10" s="1"/>
  <c r="DE26" i="10" l="1"/>
  <c r="I101" i="1"/>
  <c r="E41" i="10"/>
  <c r="H59" i="5"/>
  <c r="Y2" i="18" s="1"/>
  <c r="H42" i="10"/>
  <c r="H43" i="10" s="1"/>
  <c r="E42" i="10" s="1"/>
  <c r="DE41" i="10"/>
  <c r="C43" i="10"/>
  <c r="G84" i="1" l="1"/>
  <c r="C10" i="19" s="1"/>
  <c r="G103" i="1"/>
  <c r="H60" i="5"/>
  <c r="AD2" i="18" s="1"/>
  <c r="I102" i="1"/>
  <c r="C47" i="10"/>
  <c r="DE58" i="10"/>
  <c r="AF71" i="10"/>
  <c r="AF59" i="10" s="1"/>
  <c r="AG71" i="10" l="1"/>
  <c r="AG59" i="10" s="1"/>
  <c r="AH71" i="10" l="1"/>
  <c r="AH59" i="10" s="1"/>
  <c r="AI71" i="10" l="1"/>
  <c r="AI59" i="10" s="1"/>
  <c r="AJ71" i="10" l="1"/>
  <c r="AJ59" i="10" s="1"/>
  <c r="AK71" i="10" l="1"/>
  <c r="AK59" i="10" s="1"/>
  <c r="AL71" i="10" l="1"/>
  <c r="AL59" i="10" s="1"/>
  <c r="AM71" i="10" l="1"/>
  <c r="AM59" i="10" s="1"/>
  <c r="AN71" i="10" l="1"/>
  <c r="AN59" i="10" s="1"/>
  <c r="AO71" i="10" l="1"/>
  <c r="AO59" i="10" s="1"/>
  <c r="AP71" i="10" l="1"/>
  <c r="AP59" i="10" s="1"/>
  <c r="AQ71" i="10" l="1"/>
  <c r="AQ59" i="10" s="1"/>
  <c r="AR71" i="10" l="1"/>
  <c r="AR59" i="10" s="1"/>
  <c r="AS71" i="10" l="1"/>
  <c r="AS59" i="10" s="1"/>
  <c r="AT71" i="10" l="1"/>
  <c r="AT59" i="10" s="1"/>
  <c r="AU71" i="10" l="1"/>
  <c r="AU59" i="10" s="1"/>
  <c r="AV71" i="10" l="1"/>
  <c r="AV59" i="10" s="1"/>
  <c r="AW71" i="10" l="1"/>
  <c r="AW59" i="10" s="1"/>
  <c r="AX71" i="10" l="1"/>
  <c r="AX59" i="10" s="1"/>
  <c r="AY71" i="10" l="1"/>
  <c r="AY59" i="10" s="1"/>
  <c r="AZ71" i="10" l="1"/>
  <c r="AZ59" i="10" s="1"/>
  <c r="BA71" i="10" l="1"/>
  <c r="BA59" i="10" s="1"/>
  <c r="BB71" i="10" l="1"/>
  <c r="BB59" i="10" s="1"/>
  <c r="BC71" i="10" l="1"/>
  <c r="BC59" i="10" s="1"/>
  <c r="BD71" i="10" l="1"/>
  <c r="BD59" i="10" s="1"/>
  <c r="BE71" i="10" l="1"/>
  <c r="BE59" i="10" s="1"/>
  <c r="BF71" i="10" l="1"/>
  <c r="BF59" i="10" s="1"/>
  <c r="BG71" i="10" l="1"/>
  <c r="BG59" i="10" s="1"/>
  <c r="BH71" i="10" l="1"/>
  <c r="BH59" i="10" s="1"/>
  <c r="BI71" i="10" l="1"/>
  <c r="BI59" i="10" s="1"/>
  <c r="BJ71" i="10" l="1"/>
  <c r="BJ59" i="10" s="1"/>
  <c r="BK71" i="10" l="1"/>
  <c r="BK59" i="10" s="1"/>
  <c r="BL71" i="10" l="1"/>
  <c r="BL59" i="10" s="1"/>
  <c r="BM71" i="10" l="1"/>
  <c r="BM59" i="10" s="1"/>
  <c r="BN71" i="10" l="1"/>
  <c r="BN59" i="10" s="1"/>
  <c r="BO71" i="10" l="1"/>
  <c r="BO59" i="10" s="1"/>
  <c r="BP71" i="10" l="1"/>
  <c r="BP59" i="10" s="1"/>
  <c r="BQ71" i="10" l="1"/>
  <c r="BQ59" i="10" s="1"/>
  <c r="BR71" i="10" l="1"/>
  <c r="BR59" i="10" s="1"/>
  <c r="BS71" i="10" l="1"/>
  <c r="BS59" i="10" s="1"/>
  <c r="BT71" i="10" l="1"/>
  <c r="BT59" i="10" s="1"/>
  <c r="BU71" i="10" l="1"/>
  <c r="BU59" i="10" s="1"/>
  <c r="BV71" i="10" l="1"/>
  <c r="BV59" i="10" s="1"/>
  <c r="BW71" i="10" l="1"/>
  <c r="BW59" i="10" s="1"/>
  <c r="BX71" i="10" l="1"/>
  <c r="BX59" i="10" s="1"/>
  <c r="BY71" i="10" l="1"/>
  <c r="BY59" i="10" s="1"/>
  <c r="BZ71" i="10" l="1"/>
  <c r="BZ59" i="10" s="1"/>
  <c r="CA71" i="10" l="1"/>
  <c r="CA59" i="10" s="1"/>
  <c r="CB71" i="10" l="1"/>
  <c r="CB59" i="10" s="1"/>
  <c r="CC71" i="10" l="1"/>
  <c r="CC59" i="10" s="1"/>
  <c r="CD71" i="10" l="1"/>
  <c r="CD59" i="10" s="1"/>
  <c r="CE71" i="10" l="1"/>
  <c r="CE59" i="10" s="1"/>
  <c r="CF71" i="10" l="1"/>
  <c r="CF59" i="10" s="1"/>
  <c r="CG71" i="10" l="1"/>
  <c r="CG59" i="10" s="1"/>
  <c r="CH71" i="10" l="1"/>
  <c r="CH59" i="10" s="1"/>
  <c r="CI71" i="10" l="1"/>
  <c r="CI59" i="10" s="1"/>
  <c r="CJ71" i="10" l="1"/>
  <c r="CJ59" i="10" s="1"/>
  <c r="CK71" i="10" l="1"/>
  <c r="CK59" i="10" s="1"/>
  <c r="CL71" i="10" l="1"/>
  <c r="CL59" i="10" s="1"/>
  <c r="CM71" i="10" l="1"/>
  <c r="CM59" i="10" s="1"/>
  <c r="CN71" i="10" l="1"/>
  <c r="CN59" i="10" s="1"/>
  <c r="CO71" i="10" l="1"/>
  <c r="CO59" i="10" s="1"/>
  <c r="CP71" i="10" l="1"/>
  <c r="CP59" i="10" s="1"/>
  <c r="CQ71" i="10" l="1"/>
  <c r="CQ59" i="10" s="1"/>
  <c r="CR71" i="10" l="1"/>
  <c r="CR59" i="10" s="1"/>
  <c r="CS71" i="10" l="1"/>
  <c r="CS59" i="10" s="1"/>
  <c r="CT71" i="10" l="1"/>
  <c r="CT59" i="10" s="1"/>
  <c r="CU71" i="10" l="1"/>
  <c r="CU59" i="10" s="1"/>
  <c r="CV71" i="10" l="1"/>
  <c r="CV59" i="10" s="1"/>
  <c r="CW71" i="10" l="1"/>
  <c r="CW59" i="10" s="1"/>
  <c r="CX71" i="10" l="1"/>
  <c r="CX59" i="10" s="1"/>
  <c r="CY71" i="10" l="1"/>
  <c r="CY59" i="10" s="1"/>
  <c r="CZ71" i="10" l="1"/>
  <c r="CZ59" i="10" s="1"/>
  <c r="DA71" i="10" l="1"/>
  <c r="DA59" i="10" s="1"/>
  <c r="DB71" i="10" l="1"/>
  <c r="DB59" i="10" s="1"/>
  <c r="DC71" i="10" l="1"/>
  <c r="DC59" i="10" s="1"/>
  <c r="DD71" i="10" l="1"/>
  <c r="DD59" i="10" s="1"/>
  <c r="E61" i="5" l="1"/>
  <c r="AL2" i="18" s="1"/>
  <c r="J102" i="1"/>
  <c r="J103" i="1" s="1"/>
  <c r="C48" i="10"/>
  <c r="C49" i="10" s="1"/>
  <c r="DE59" i="10"/>
  <c r="H60" i="10"/>
  <c r="H61" i="10" s="1"/>
  <c r="E62" i="5" l="1"/>
  <c r="C50" i="10"/>
  <c r="I103" i="1"/>
  <c r="E43" i="10"/>
  <c r="H61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Christian Voisin Gonzalez</author>
  </authors>
  <commentList>
    <comment ref="Q4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el valor depende del tamaño de la caja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Alfonso Claudio Olivari Fernández</author>
  </authors>
  <commentList>
    <comment ref="D10" authorId="0" shapeId="0" xr:uid="{5C5D6765-E1AB-4AD4-A710-46B965387AD2}">
      <text>
        <r>
          <rPr>
            <sz val="9"/>
            <color indexed="81"/>
            <rFont val="Tahoma"/>
            <family val="2"/>
          </rPr>
          <t>incluye $5.500 por eventualidades</t>
        </r>
      </text>
    </comment>
    <comment ref="D12" authorId="0" shapeId="0" xr:uid="{6E1F86ED-4139-41E0-AC48-CE6CF5780F28}">
      <text>
        <r>
          <rPr>
            <sz val="9"/>
            <color indexed="81"/>
            <rFont val="Tahoma"/>
            <family val="2"/>
          </rPr>
          <t>incluye transporte Erazo
x 1,5 veces por repetir revisiones técnicas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Alfonso Claudio Olivari Fernández</author>
  </authors>
  <commentList>
    <comment ref="C39" authorId="0" shapeId="0" xr:uid="{00000000-0006-0000-0600-000001000000}">
      <text>
        <r>
          <rPr>
            <sz val="9"/>
            <color indexed="81"/>
            <rFont val="Tahoma"/>
            <family val="2"/>
          </rPr>
          <t>asignar promedio (comentario plantilla original)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Alfonso Claudio Olivari Fernández</author>
  </authors>
  <commentList>
    <comment ref="H2" authorId="0" shapeId="0" xr:uid="{6C1E8C97-657B-43F1-870E-B4FBBFCF90F3}">
      <text>
        <r>
          <rPr>
            <sz val="9"/>
            <color indexed="81"/>
            <rFont val="Tahoma"/>
            <family val="2"/>
          </rPr>
          <t>mayusculas</t>
        </r>
      </text>
    </comment>
  </commentList>
</comments>
</file>

<file path=xl/sharedStrings.xml><?xml version="1.0" encoding="utf-8"?>
<sst xmlns="http://schemas.openxmlformats.org/spreadsheetml/2006/main" count="1089" uniqueCount="704">
  <si>
    <t>INFORMACION GENERAL</t>
  </si>
  <si>
    <t>PREPARADO POR</t>
  </si>
  <si>
    <t>FECHA COTIZACION</t>
  </si>
  <si>
    <t>FECHA ESTIMADA CIERRE</t>
  </si>
  <si>
    <t xml:space="preserve">EJECUTIVO COMERCIAL </t>
  </si>
  <si>
    <t>INFORMACION CLIENTE</t>
  </si>
  <si>
    <t>INFORMACION VEHICULOS</t>
  </si>
  <si>
    <t>TIPO</t>
  </si>
  <si>
    <t>MARCA</t>
  </si>
  <si>
    <t>MODELO</t>
  </si>
  <si>
    <t>VERSION</t>
  </si>
  <si>
    <t>UNIDS.</t>
  </si>
  <si>
    <t>PLAZO</t>
  </si>
  <si>
    <t>MESES</t>
  </si>
  <si>
    <t>TIPO USO</t>
  </si>
  <si>
    <t>KMS</t>
  </si>
  <si>
    <t>PRECIO LISTA VN (+ IVA)</t>
  </si>
  <si>
    <t>CLP</t>
  </si>
  <si>
    <t>PRECIO FINAL VN (+ IVA)</t>
  </si>
  <si>
    <t>%</t>
  </si>
  <si>
    <t>Santiago</t>
  </si>
  <si>
    <t>TRASLADOS</t>
  </si>
  <si>
    <t>SEGURO AUTOMOTRIZ</t>
  </si>
  <si>
    <t>UF</t>
  </si>
  <si>
    <t>Deducible</t>
  </si>
  <si>
    <t>DIAS</t>
  </si>
  <si>
    <t>RACF</t>
  </si>
  <si>
    <t>FURGON PEQUEÑO</t>
  </si>
  <si>
    <t>TIPO REEMPLAZO</t>
  </si>
  <si>
    <t>LIVIANO</t>
  </si>
  <si>
    <t>Menor</t>
  </si>
  <si>
    <t>Mayor</t>
  </si>
  <si>
    <t>Factor</t>
  </si>
  <si>
    <t>ZONA NORTE - SUR</t>
  </si>
  <si>
    <t>ZONA CENTRO</t>
  </si>
  <si>
    <t>REGION METROPOLITANA</t>
  </si>
  <si>
    <t>Autos</t>
  </si>
  <si>
    <t>Camionetas</t>
  </si>
  <si>
    <t>Todo Terreno</t>
  </si>
  <si>
    <t>Clase B</t>
  </si>
  <si>
    <t>A1 - A2</t>
  </si>
  <si>
    <t>A3 - A4 - A5</t>
  </si>
  <si>
    <t>Arica</t>
  </si>
  <si>
    <t>Ida B</t>
  </si>
  <si>
    <t>Iquique</t>
  </si>
  <si>
    <t>Ida A1 - A2</t>
  </si>
  <si>
    <t>Calama</t>
  </si>
  <si>
    <t>Ida A3 -A4 - A5</t>
  </si>
  <si>
    <t>Ma. Elena</t>
  </si>
  <si>
    <t>Ida-regreso B</t>
  </si>
  <si>
    <t>Antofagasta</t>
  </si>
  <si>
    <t>Ida-regreso A1 - A2</t>
  </si>
  <si>
    <t>Copiapó</t>
  </si>
  <si>
    <t>Ida-regreso A3 - A4 - A5</t>
  </si>
  <si>
    <t>Vallenar</t>
  </si>
  <si>
    <t>La Serena</t>
  </si>
  <si>
    <t>LOCALES - INTER URBANOS</t>
  </si>
  <si>
    <t>Ovalle</t>
  </si>
  <si>
    <t>Chillán</t>
  </si>
  <si>
    <t>Concepción</t>
  </si>
  <si>
    <t>Malloco</t>
  </si>
  <si>
    <t>Los Angeles</t>
  </si>
  <si>
    <t>Peñaflor</t>
  </si>
  <si>
    <t>Temuco</t>
  </si>
  <si>
    <t>Central Carena</t>
  </si>
  <si>
    <t>Valdivia</t>
  </si>
  <si>
    <t>Paine</t>
  </si>
  <si>
    <t>Osorno</t>
  </si>
  <si>
    <t>Buin</t>
  </si>
  <si>
    <t>Pto. Varas</t>
  </si>
  <si>
    <t>Colina</t>
  </si>
  <si>
    <t>Pto. Montt</t>
  </si>
  <si>
    <t>Base Libertadores</t>
  </si>
  <si>
    <t>Salamanca</t>
  </si>
  <si>
    <t>Illapel</t>
  </si>
  <si>
    <t>Los vilos</t>
  </si>
  <si>
    <t>La Ligua</t>
  </si>
  <si>
    <t>La Calera</t>
  </si>
  <si>
    <t>Quillota</t>
  </si>
  <si>
    <t>Con - Con</t>
  </si>
  <si>
    <t>Viña - Valpo</t>
  </si>
  <si>
    <t>Los Andes</t>
  </si>
  <si>
    <t>San Felipe</t>
  </si>
  <si>
    <t>Rancagua</t>
  </si>
  <si>
    <t>San Fernando</t>
  </si>
  <si>
    <t>San Vicente</t>
  </si>
  <si>
    <t>Santa Cruz</t>
  </si>
  <si>
    <t>Curicó</t>
  </si>
  <si>
    <t>Talca</t>
  </si>
  <si>
    <t>Linares</t>
  </si>
  <si>
    <t>varias regiones</t>
  </si>
  <si>
    <r>
      <t xml:space="preserve">** Servicios locales denominados </t>
    </r>
    <r>
      <rPr>
        <b/>
        <sz val="11"/>
        <rFont val="Arial"/>
        <family val="2"/>
      </rPr>
      <t>IDA Y REGRESO</t>
    </r>
    <r>
      <rPr>
        <sz val="11"/>
        <rFont val="Arial"/>
        <family val="2"/>
      </rPr>
      <t>. Con un tiempo de espera NO superior a 60 min.</t>
    </r>
  </si>
  <si>
    <r>
      <t xml:space="preserve">** Servicios locales denominados </t>
    </r>
    <r>
      <rPr>
        <b/>
        <sz val="11"/>
        <rFont val="Arial"/>
        <family val="2"/>
      </rPr>
      <t>TRASLADO FALLIDO</t>
    </r>
    <r>
      <rPr>
        <sz val="11"/>
        <rFont val="Arial"/>
        <family val="2"/>
      </rPr>
      <t xml:space="preserve">. Aquellos NO efectivos por fallas mecánicas, ausencia de documentación del vehículo, o cualquier </t>
    </r>
  </si>
  <si>
    <t xml:space="preserve">   anomalía que impida el desplazamiento de este.</t>
  </si>
  <si>
    <r>
      <t xml:space="preserve">** Se considera </t>
    </r>
    <r>
      <rPr>
        <b/>
        <sz val="11"/>
        <rFont val="Arial"/>
        <family val="2"/>
      </rPr>
      <t>TRASLADO LOCAL</t>
    </r>
    <r>
      <rPr>
        <sz val="11"/>
        <rFont val="Arial"/>
        <family val="2"/>
      </rPr>
      <t>. Todo aquel que NO supera un radio de 25 kms. Como tope máximo.</t>
    </r>
  </si>
  <si>
    <t>** Vehículos de pasajeros desde 17 astos, vehículos doble rodado y similares, se aplicará un 25% de recargo en la tarifa neta</t>
  </si>
  <si>
    <t>** Vehículos pesados (camiones) cuyo peso bruto sea superior a 4.500 kilos, se aplicará un 50% de recargo en la tarifa neta</t>
  </si>
  <si>
    <t>TASA IMPUESTO</t>
  </si>
  <si>
    <t>foco faenero</t>
  </si>
  <si>
    <t>kit luz día</t>
  </si>
  <si>
    <t xml:space="preserve">turbo timer </t>
  </si>
  <si>
    <t>barra antivuelco exterior</t>
  </si>
  <si>
    <t>sirena de retroceso</t>
  </si>
  <si>
    <t>barra antivuelco interior</t>
  </si>
  <si>
    <t>baliza magnética</t>
  </si>
  <si>
    <t>malla cubre luneta</t>
  </si>
  <si>
    <t>baliza fija estroboscópica</t>
  </si>
  <si>
    <t>cuñas de poliuretano con porta cuñas</t>
  </si>
  <si>
    <t xml:space="preserve">pértiga 12 píes </t>
  </si>
  <si>
    <t>traba tuercas</t>
  </si>
  <si>
    <t>cintas reflectantes</t>
  </si>
  <si>
    <t>cuñas metálicas con porta cuña</t>
  </si>
  <si>
    <t>caja metálica</t>
  </si>
  <si>
    <t>parachoque minero</t>
  </si>
  <si>
    <t>soporte de rueda</t>
  </si>
  <si>
    <t>kit extintor de 10 kg con soporte</t>
  </si>
  <si>
    <t>caja plástica</t>
  </si>
  <si>
    <t>kit invierno: par de cadenas, estrobo de 1/2, botiquín minero, pala plegable, saco aspillera, frazada, kit destornillador alicate, linterna con pilas, tensores, tres cono retractiles.</t>
  </si>
  <si>
    <t xml:space="preserve">malla separadora de carga </t>
  </si>
  <si>
    <t>malla separadora de carga grande</t>
  </si>
  <si>
    <t xml:space="preserve">asientos traseros con cinturones </t>
  </si>
  <si>
    <t>ventanas laterales</t>
  </si>
  <si>
    <t>TOTAL</t>
  </si>
  <si>
    <t>laminas de seguridad</t>
  </si>
  <si>
    <t>alarma</t>
  </si>
  <si>
    <t>pintura</t>
  </si>
  <si>
    <t>cubre pick up</t>
  </si>
  <si>
    <t>neumático adicional con llanta y soporte</t>
  </si>
  <si>
    <t>porta escala</t>
  </si>
  <si>
    <t>Malla protección luneta trasera estandar</t>
  </si>
  <si>
    <t>corta corriente cable cero</t>
  </si>
  <si>
    <t>enganche americano</t>
  </si>
  <si>
    <t>soporte extintor universal</t>
  </si>
  <si>
    <t>sensor de retroceso</t>
  </si>
  <si>
    <t>malla de carga elastica</t>
  </si>
  <si>
    <t xml:space="preserve">Ventanas traseras </t>
  </si>
  <si>
    <t xml:space="preserve">juego de herramientas </t>
  </si>
  <si>
    <t>estrobo de 1/2 x 4mts</t>
  </si>
  <si>
    <t>frazada monoplaza</t>
  </si>
  <si>
    <t>pala plegable</t>
  </si>
  <si>
    <t>saco arpillera</t>
  </si>
  <si>
    <t>botiquin 3M</t>
  </si>
  <si>
    <t>N° Vehículos Contratados</t>
  </si>
  <si>
    <t>Gastos</t>
  </si>
  <si>
    <t>N°</t>
  </si>
  <si>
    <t xml:space="preserve">Preparado por : </t>
  </si>
  <si>
    <t>Fecha:</t>
  </si>
  <si>
    <t>Información Cliente</t>
  </si>
  <si>
    <t>Razon Social :</t>
  </si>
  <si>
    <t>RUT :</t>
  </si>
  <si>
    <t>Flota</t>
  </si>
  <si>
    <t>Tipo Vehículo</t>
  </si>
  <si>
    <t>Marca</t>
  </si>
  <si>
    <t>Gastos (Unitario/Mes)</t>
  </si>
  <si>
    <t>Modelo</t>
  </si>
  <si>
    <t>Mantención ($/unit/mes)</t>
  </si>
  <si>
    <t>Versión</t>
  </si>
  <si>
    <t>Tarifa Unitaria (UF)</t>
  </si>
  <si>
    <t>Seguro ($/unit/mes)</t>
  </si>
  <si>
    <t>Vehículos en Arriendo</t>
  </si>
  <si>
    <t>Seguro Automotriz(UF)</t>
  </si>
  <si>
    <t>Otros Gastos ($/unit/mes)</t>
  </si>
  <si>
    <t>Vehíc. Reemp. Propios</t>
  </si>
  <si>
    <t>Tipo de Uso</t>
  </si>
  <si>
    <t>Plazo (meses)</t>
  </si>
  <si>
    <t>Desfase pago (Dias)</t>
  </si>
  <si>
    <t>Desfase Meses</t>
  </si>
  <si>
    <t>Inversión &amp; VR</t>
  </si>
  <si>
    <t>Flujo</t>
  </si>
  <si>
    <t>P° Lista (Neto)</t>
  </si>
  <si>
    <t>Ingresos x Arriendo</t>
  </si>
  <si>
    <t>P° Compra (Neto)</t>
  </si>
  <si>
    <t>Costos Directos</t>
  </si>
  <si>
    <t>Descuento s/ P° Lista</t>
  </si>
  <si>
    <t>Margen Bruto</t>
  </si>
  <si>
    <t>Gastos Fijos</t>
  </si>
  <si>
    <t>EBITDA</t>
  </si>
  <si>
    <t>Inversión x Vehículo</t>
  </si>
  <si>
    <t>Depreciación</t>
  </si>
  <si>
    <t>Inversión Total</t>
  </si>
  <si>
    <t>Gastos Financiero</t>
  </si>
  <si>
    <t>UAI</t>
  </si>
  <si>
    <t>Dep. Real</t>
  </si>
  <si>
    <t>Impuesto</t>
  </si>
  <si>
    <t>Plazo Venta VO (meses)</t>
  </si>
  <si>
    <t>Utilidad/FC Final</t>
  </si>
  <si>
    <t>Tasa Reemplazo</t>
  </si>
  <si>
    <t>FC Activos</t>
  </si>
  <si>
    <t>Financiamiento</t>
  </si>
  <si>
    <t>Rentabilidad</t>
  </si>
  <si>
    <t>Tarifa / Inversión</t>
  </si>
  <si>
    <t>TIR PURA</t>
  </si>
  <si>
    <t>RFF</t>
  </si>
  <si>
    <t>V°B°  Gerente Comercial</t>
  </si>
  <si>
    <t>V°B° Gerente General</t>
  </si>
  <si>
    <t>Orlando Villalobos</t>
  </si>
  <si>
    <t>V°B° Gerente de Operaciones</t>
  </si>
  <si>
    <t>Mantenciones</t>
  </si>
  <si>
    <t>Valor Patente (1er año)</t>
  </si>
  <si>
    <t>Inscripción</t>
  </si>
  <si>
    <t>Seguro Obligatorio (anual)</t>
  </si>
  <si>
    <t>Revisión Técnica (anual)</t>
  </si>
  <si>
    <t>Seguro Gral</t>
  </si>
  <si>
    <t>Concepto de Gasto</t>
  </si>
  <si>
    <t>1er año</t>
  </si>
  <si>
    <t>Total Período</t>
  </si>
  <si>
    <t>Mensual</t>
  </si>
  <si>
    <t>$/KM</t>
  </si>
  <si>
    <t>1. Gastos del Vehículo</t>
  </si>
  <si>
    <t>UTM</t>
  </si>
  <si>
    <t>Valor VN Neto</t>
  </si>
  <si>
    <t>FactorXUTM</t>
  </si>
  <si>
    <t>V VN X %</t>
  </si>
  <si>
    <t>Patente</t>
  </si>
  <si>
    <t>N° Meses</t>
  </si>
  <si>
    <t>2. Estimación Valor Patente</t>
  </si>
  <si>
    <t>Cod_Vehiculo</t>
  </si>
  <si>
    <t>Tipo Vehiculo</t>
  </si>
  <si>
    <t>FURGON GRANDE</t>
  </si>
  <si>
    <t>EJECUTIVO GERENCIAL</t>
  </si>
  <si>
    <t>MINIBUS - COMERCIALES</t>
  </si>
  <si>
    <t>3. Tasa de Reemplazo (Cláusula Contrato)</t>
  </si>
  <si>
    <t>Tasa Reemplazo Aplicada</t>
  </si>
  <si>
    <t>4. Tipo de Uso</t>
  </si>
  <si>
    <t>MIXTO</t>
  </si>
  <si>
    <t>Tipo de Uso Aplicada</t>
  </si>
  <si>
    <t>Plazo</t>
  </si>
  <si>
    <t>Meses</t>
  </si>
  <si>
    <t xml:space="preserve"> MINIBUS - COMERCIALES</t>
  </si>
  <si>
    <t>Cantidad</t>
  </si>
  <si>
    <t>Ingresos</t>
  </si>
  <si>
    <t>UAI Acum Finan. Normal</t>
  </si>
  <si>
    <t>EBIT Acum K Propio sin/CF</t>
  </si>
  <si>
    <t>EBIT Acum K Propio</t>
  </si>
  <si>
    <t>TIR Anual Financiada</t>
  </si>
  <si>
    <t>TIR Mensual Financiada</t>
  </si>
  <si>
    <t>Inversión K/T</t>
  </si>
  <si>
    <t>Resultado despues Impto</t>
  </si>
  <si>
    <t>Resultado Antes Impuesto</t>
  </si>
  <si>
    <t>EBIT</t>
  </si>
  <si>
    <t>Financiamiento Normal</t>
  </si>
  <si>
    <t>TIR Pura Anual</t>
  </si>
  <si>
    <t>TIR Pura Mensual</t>
  </si>
  <si>
    <t>RO despues Impto</t>
  </si>
  <si>
    <t>Impuesto (EBIT)</t>
  </si>
  <si>
    <t>K Propio Sin Costo Fijo</t>
  </si>
  <si>
    <t>Costos Fijos</t>
  </si>
  <si>
    <t>Costos</t>
  </si>
  <si>
    <t>K Propio</t>
  </si>
  <si>
    <t>Total</t>
  </si>
  <si>
    <t>Detalle / Mes</t>
  </si>
  <si>
    <t>Tir Finan.</t>
  </si>
  <si>
    <t>TIR Pura</t>
  </si>
  <si>
    <t>Tasa Impuesto</t>
  </si>
  <si>
    <t>RAZON SOCIAL</t>
  </si>
  <si>
    <t>RUT</t>
  </si>
  <si>
    <t>Parámetros</t>
  </si>
  <si>
    <t>CANTIDAD VEHICULOS:</t>
  </si>
  <si>
    <t>tasa reemplazo</t>
  </si>
  <si>
    <t>PLAZO DE VENTA</t>
  </si>
  <si>
    <t>Plazo Pago (Desfase Meses)</t>
  </si>
  <si>
    <t>Plazo Contrato (Meses)</t>
  </si>
  <si>
    <t>Tarifa (uf)</t>
  </si>
  <si>
    <t>Valor UF</t>
  </si>
  <si>
    <t>Vehíc. Reemp. Propios (unid.)</t>
  </si>
  <si>
    <t>Inversión x Vehículo ($)</t>
  </si>
  <si>
    <t>Gasto Operativo Unitario Mes ($)</t>
  </si>
  <si>
    <t>Gasto Fijo GAV Mes ($)</t>
  </si>
  <si>
    <t>Inversión Total ($)</t>
  </si>
  <si>
    <t>Tasa Impuesto (%)</t>
  </si>
  <si>
    <t>% FINANCIAMIENTO</t>
  </si>
  <si>
    <t>Financiamiento (%)</t>
  </si>
  <si>
    <t>Tasa Interés Anual Financiamiento (%)</t>
  </si>
  <si>
    <t>TASA INCOBRABLE</t>
  </si>
  <si>
    <t>Tasa Incobrable (%)</t>
  </si>
  <si>
    <t>Tir</t>
  </si>
  <si>
    <t>Cant. Vehículos en Arriendo (unid.)</t>
  </si>
  <si>
    <t>desde</t>
  </si>
  <si>
    <t>hasta</t>
  </si>
  <si>
    <t>Porcentaje</t>
  </si>
  <si>
    <t>Rebaja</t>
  </si>
  <si>
    <t>Valor Vehículo en UTM</t>
  </si>
  <si>
    <t>Tabla Permisos de Circulación - Valor Vehículo en UTM</t>
  </si>
  <si>
    <t>TABLA PARA CÁLCULO DE PERMISO DE CIRCULACIÓN</t>
  </si>
  <si>
    <t>Valor de UTM del mes</t>
  </si>
  <si>
    <t>Tabla en Pesos</t>
  </si>
  <si>
    <t>PARA CAMIONES Y REMOLQUES</t>
  </si>
  <si>
    <t>Capacidad de carga en Kg.</t>
  </si>
  <si>
    <t>Costo P.Circ.</t>
  </si>
  <si>
    <t>1 UTM</t>
  </si>
  <si>
    <t>2 UTM</t>
  </si>
  <si>
    <t>3 UTM</t>
  </si>
  <si>
    <t>PARA TRACTO-CAMIONES Y SEMI-REMOLQUES</t>
  </si>
  <si>
    <t>0,5 UTM</t>
  </si>
  <si>
    <t>1,0 UTM</t>
  </si>
  <si>
    <t>1,5 UTM</t>
  </si>
  <si>
    <t>Tract. agríc., Maquinarias Ind., Cosech.,</t>
  </si>
  <si>
    <t>Grúas, P.Mec., Retroexc., Carg. Frontales,</t>
  </si>
  <si>
    <t>Motoniveladoras, Perforadoras, etc.</t>
  </si>
  <si>
    <t>Motonetas y Bicimotos</t>
  </si>
  <si>
    <t>0,2 UTM</t>
  </si>
  <si>
    <t>Tabla Permisos de Circulación - Camiones</t>
  </si>
  <si>
    <t>Capacidad de Carga (Kg)</t>
  </si>
  <si>
    <t>MEDIANO</t>
  </si>
  <si>
    <t>PESADO</t>
  </si>
  <si>
    <t>Tabla Permisos de Circulación - Valor Vehículo en CLP$</t>
  </si>
  <si>
    <t>Costo P.Circ. (CLP$)</t>
  </si>
  <si>
    <t>GENÉRICO</t>
  </si>
  <si>
    <t>Información del(los) Vehículo(s)</t>
  </si>
  <si>
    <t>Valor de Compra, Depreciación y Residual</t>
  </si>
  <si>
    <t>Condiciones del Contrato</t>
  </si>
  <si>
    <t>Costos: Equipamiento y Mantenimiento</t>
  </si>
  <si>
    <t>USD ($) :</t>
  </si>
  <si>
    <t>VALOR UTM ($) :</t>
  </si>
  <si>
    <t>VALOR UF ($) :</t>
  </si>
  <si>
    <t>Resultado Tarifa y Rentabilidad</t>
  </si>
  <si>
    <t>Calculo Factor Depreciación</t>
  </si>
  <si>
    <t>Vehículo ATV / Sedan Ejec.</t>
  </si>
  <si>
    <t>Kilometros</t>
  </si>
  <si>
    <t>% Valor Residual</t>
  </si>
  <si>
    <t>VR Uso Gerencial</t>
  </si>
  <si>
    <t>VR Uso General</t>
  </si>
  <si>
    <t>VR L Distancia</t>
  </si>
  <si>
    <t>VR Uso Urbano</t>
  </si>
  <si>
    <t>VR Uso Minero</t>
  </si>
  <si>
    <t>Sedán / Jeep Económico</t>
  </si>
  <si>
    <t>% USO EJECUTIVO</t>
  </si>
  <si>
    <t>% VR USO General</t>
  </si>
  <si>
    <t>% VR Uso L. Dist</t>
  </si>
  <si>
    <t>%VR Uso Urban</t>
  </si>
  <si>
    <t>% VR Uso Minero</t>
  </si>
  <si>
    <t>FURGÓN GRANDE</t>
  </si>
  <si>
    <t>CAMIONETA</t>
  </si>
  <si>
    <t>CAMIÓN LIVIANO</t>
  </si>
  <si>
    <t>MINIBUS COMERCIAL</t>
  </si>
  <si>
    <t>PLAZO PAGO (Días de Gracia)</t>
  </si>
  <si>
    <t>% DEP. SUGERIDA</t>
  </si>
  <si>
    <t>Lugar</t>
  </si>
  <si>
    <t>TIR Pura sin CF Mensual</t>
  </si>
  <si>
    <t>TIR Pura sin CF Anual</t>
  </si>
  <si>
    <t>TIR Pura sin CF</t>
  </si>
  <si>
    <t>Neumaticos</t>
  </si>
  <si>
    <t>IPC Anual (%)</t>
  </si>
  <si>
    <t>Tipo Uso</t>
  </si>
  <si>
    <t>SIN REEMPLAZO</t>
  </si>
  <si>
    <t>Tipo Reemplazo</t>
  </si>
  <si>
    <t>Cambio Neumaticos</t>
  </si>
  <si>
    <t>Lugar de Traslado</t>
  </si>
  <si>
    <t>P° Compra Neto ($)</t>
  </si>
  <si>
    <t>Plazo de Venta (Meses)</t>
  </si>
  <si>
    <t>Margen de Venta (%)</t>
  </si>
  <si>
    <t>Dep. Sugerida</t>
  </si>
  <si>
    <t>Tasa Financ. Nominal</t>
  </si>
  <si>
    <t>Factor de Costos</t>
  </si>
  <si>
    <t>GENERAL</t>
  </si>
  <si>
    <t>LARGA DISTANCIA</t>
  </si>
  <si>
    <t>URBANO</t>
  </si>
  <si>
    <t>MINERO</t>
  </si>
  <si>
    <t>Tipo_Uso</t>
  </si>
  <si>
    <t>GASTO EN MANTENCION X KM</t>
  </si>
  <si>
    <t>TARIFA:</t>
  </si>
  <si>
    <t>RENTABILIDAD:</t>
  </si>
  <si>
    <t>Pago Deuda (Capital)</t>
  </si>
  <si>
    <t>Gasto Financiero (Interés)</t>
  </si>
  <si>
    <t>GASTO FIJO (Personal)</t>
  </si>
  <si>
    <t>Traslados x Vehículo ($)</t>
  </si>
  <si>
    <t>Traslados x Vehículo</t>
  </si>
  <si>
    <t>Equipamiento Adic. x Veh.</t>
  </si>
  <si>
    <t>Tasa Incobrable</t>
  </si>
  <si>
    <t>Tasa Reemplazo Aplicada (%)</t>
  </si>
  <si>
    <t>W</t>
  </si>
  <si>
    <t>V</t>
  </si>
  <si>
    <t>DSCTO.% VN</t>
  </si>
  <si>
    <t>WACC (anual)</t>
  </si>
  <si>
    <t>WACC (mes)</t>
  </si>
  <si>
    <t>VAN</t>
  </si>
  <si>
    <t>Rentab. Objetivo 12,0% - 15,0%</t>
  </si>
  <si>
    <t>RENTABILIDAD (Gerencia):</t>
  </si>
  <si>
    <t>Tipo Negocio</t>
  </si>
  <si>
    <t>RENTING</t>
  </si>
  <si>
    <t>LEASING OPERATIVO</t>
  </si>
  <si>
    <t>EXCLUSIVO</t>
  </si>
  <si>
    <t>RECORRIDO MAXIMO</t>
  </si>
  <si>
    <t>UNIDS. EXCLUSIVAS (LO)</t>
  </si>
  <si>
    <t>DIAS DE REEMPLAZO (Renting)</t>
  </si>
  <si>
    <t>TASA DE REEMPLAZO (Aplicada)</t>
  </si>
  <si>
    <t>TASA FINANCIAMIENTO</t>
  </si>
  <si>
    <t>TASA NOMINAL ANUAL</t>
  </si>
  <si>
    <t>IPC (12 Meses)</t>
  </si>
  <si>
    <t>LUGAR DE TRASLADO</t>
  </si>
  <si>
    <t>V° TRASLADOS SUGERIDO</t>
  </si>
  <si>
    <t>DEDUCIBLE (UF)</t>
  </si>
  <si>
    <t>CAMBIO NEUMÁTICOS</t>
  </si>
  <si>
    <t xml:space="preserve"> &lt; completar</t>
  </si>
  <si>
    <t>Parámetros Generales, Resultado Tarifa y Rentabilidad (GERENCIA)</t>
  </si>
  <si>
    <t>MARGEN DE VENTA (Sugerido)</t>
  </si>
  <si>
    <t>MARGEN DE VENTA USADO (Aplicado)</t>
  </si>
  <si>
    <t>US Dólar ($)</t>
  </si>
  <si>
    <t>UTM ($)</t>
  </si>
  <si>
    <t>UF ($)</t>
  </si>
  <si>
    <t>Vehíc. Reemp. Exclusivos</t>
  </si>
  <si>
    <t>Tipo de Reemplazo</t>
  </si>
  <si>
    <t>V°B° Gerente de Adm. y Finanzas</t>
  </si>
  <si>
    <t>Pie / Anticipo (Renting)</t>
  </si>
  <si>
    <t>PIE / ANTICIPO (Renting)</t>
  </si>
  <si>
    <t>Inscripción ($)</t>
  </si>
  <si>
    <t>Seguro Obligatorio Anual ($)</t>
  </si>
  <si>
    <t>Revisión Técnica Anual ($)</t>
  </si>
  <si>
    <t>Otros Mensual ($)</t>
  </si>
  <si>
    <t>FACTOR DE COSTOS ($/KM)</t>
  </si>
  <si>
    <t>Factor de Costos ($/KM)</t>
  </si>
  <si>
    <t>Mantención ($/KM)</t>
  </si>
  <si>
    <t>V° RESIDUAL (Teórico)</t>
  </si>
  <si>
    <t>LO</t>
  </si>
  <si>
    <t>LO + RAR</t>
  </si>
  <si>
    <t>(LO + RAR)</t>
  </si>
  <si>
    <t>Vehíc. Reemp. Exclusivos (unid.)</t>
  </si>
  <si>
    <t>Flujo Final LO</t>
  </si>
  <si>
    <t>Flujo Final LO + RAR</t>
  </si>
  <si>
    <t>(Gerencia) TIR Pura Mensual</t>
  </si>
  <si>
    <t>(Gerencia) TIR Pura Anual</t>
  </si>
  <si>
    <t>(Gerencia) TIR Pura sin CF Mensual</t>
  </si>
  <si>
    <t>(Gerencia) TIR Pura sin CF Anual</t>
  </si>
  <si>
    <t>(Gerencia) TIR Financiada Mensual</t>
  </si>
  <si>
    <t>(Gerencia) TIR Financiada Anual</t>
  </si>
  <si>
    <t>Transferencia + Supervisión</t>
  </si>
  <si>
    <t>VO Venta Usado ($)</t>
  </si>
  <si>
    <t>PRECIO DE VENTA USADO (a Público)</t>
  </si>
  <si>
    <t>Calculos para Impuesto LO</t>
  </si>
  <si>
    <t>Calculos para Impuesto LO + RAR</t>
  </si>
  <si>
    <t>Flujo LO + RAR</t>
  </si>
  <si>
    <t>EVALUACIÓN NEGOCIOS COMERCIALES</t>
  </si>
  <si>
    <t>Factor de Costos $/Km (factor)</t>
  </si>
  <si>
    <t>Km</t>
  </si>
  <si>
    <t>Por Cambio de Neumáticos(KM)</t>
  </si>
  <si>
    <t>V° COMERCIAL (Teórico)</t>
  </si>
  <si>
    <t>WACC</t>
  </si>
  <si>
    <t>Total ($/KM)</t>
  </si>
  <si>
    <t>Deducible Seguro (UF)</t>
  </si>
  <si>
    <t>Anticipo Pie Unitario ($)</t>
  </si>
  <si>
    <t>FICHA IMPLEMENTACION/ FLUJO EQUIPAMIENTO</t>
  </si>
  <si>
    <t>Elaborado por:</t>
  </si>
  <si>
    <t>Fecha de aprobación</t>
  </si>
  <si>
    <t>NEGOCIO</t>
  </si>
  <si>
    <t>Cliente</t>
  </si>
  <si>
    <t>Fecha Compromiso Entrega</t>
  </si>
  <si>
    <t>RUT Cliente/N° de Cliente</t>
  </si>
  <si>
    <t>Tarifa mensual</t>
  </si>
  <si>
    <t>Tipo de Negocio</t>
  </si>
  <si>
    <t>Lugar de entrega</t>
  </si>
  <si>
    <t>N° Orden de compra</t>
  </si>
  <si>
    <t>Lugar de uso del vehículo</t>
  </si>
  <si>
    <t>Periodo de Arriendo</t>
  </si>
  <si>
    <t>Kilometraje Periodo</t>
  </si>
  <si>
    <t>Ejecutivo Comercial</t>
  </si>
  <si>
    <t>VEHICULO</t>
  </si>
  <si>
    <t>Identificación del Vehículo</t>
  </si>
  <si>
    <t>Proveedor</t>
  </si>
  <si>
    <t>Fecha entrega Proveedor</t>
  </si>
  <si>
    <t>Año</t>
  </si>
  <si>
    <t>Color Requerido</t>
  </si>
  <si>
    <t>Precio Cotizado Neto</t>
  </si>
  <si>
    <t>Combustible</t>
  </si>
  <si>
    <t>SE DEBE ADJUNTAR COTIZACIÓN DEL PROVEEDOR CON QUE SE EVALUÓ EL PROYECTO</t>
  </si>
  <si>
    <t>EQUIPAMIENTO</t>
  </si>
  <si>
    <t>VALOR</t>
  </si>
  <si>
    <t>MONTO NETO (+IVA)</t>
  </si>
  <si>
    <t>OBSERVACION</t>
  </si>
  <si>
    <t xml:space="preserve">pértiga 8 píes </t>
  </si>
  <si>
    <t xml:space="preserve">pértiga 10 píes </t>
  </si>
  <si>
    <t>Observaciones:</t>
  </si>
  <si>
    <t>mobile eye</t>
  </si>
  <si>
    <t xml:space="preserve">Velocidad crucero </t>
  </si>
  <si>
    <t>Distribución de la Tarifa</t>
  </si>
  <si>
    <t>Inversión Vehículo $</t>
  </si>
  <si>
    <t>Inversión Accesorios $</t>
  </si>
  <si>
    <t>Valor Residual Vehículo $</t>
  </si>
  <si>
    <t>A Financiar Vehículo $</t>
  </si>
  <si>
    <t>Incobrables</t>
  </si>
  <si>
    <t>Inversiones</t>
  </si>
  <si>
    <t>PMT del Vehículo</t>
  </si>
  <si>
    <t>PMT del Reemplazo</t>
  </si>
  <si>
    <t>PMT Accesorios</t>
  </si>
  <si>
    <t>GAV</t>
  </si>
  <si>
    <t>PMT Reemplazo Accesorios</t>
  </si>
  <si>
    <t>ok</t>
  </si>
  <si>
    <t>6. Factor Depreciación</t>
  </si>
  <si>
    <t>$ Rev. Técnica</t>
  </si>
  <si>
    <t>CAMION - CAMION LIVIANO</t>
  </si>
  <si>
    <t>Según tabla en punto 5.</t>
  </si>
  <si>
    <t>5. Revisión Técnica y SOAP</t>
  </si>
  <si>
    <t>$ SOAP</t>
  </si>
  <si>
    <t>gastos según tabla RNVM</t>
  </si>
  <si>
    <t>Depreciación Total</t>
  </si>
  <si>
    <t>Inversión/Venta VO Total</t>
  </si>
  <si>
    <t>Depreciación Vehículos (%)</t>
  </si>
  <si>
    <t>Depreciación Equip. VR (%)</t>
  </si>
  <si>
    <t>V° Residual / VO Contable Vehículos ($)</t>
  </si>
  <si>
    <t>V° Residual / VO Contable Equip. VR ($)</t>
  </si>
  <si>
    <t>Depreciación Vehículos</t>
  </si>
  <si>
    <t>Depreciación Equip. VR</t>
  </si>
  <si>
    <t>Inversión en Equipamiento VR ($)</t>
  </si>
  <si>
    <t>Inversión en Equip. 100% Dep. ($)</t>
  </si>
  <si>
    <t>Depreciación Equip. 100% Dep.</t>
  </si>
  <si>
    <t>Inversión/Venta VO Vehículos</t>
  </si>
  <si>
    <t>Inversión/Venta VO Equip.</t>
  </si>
  <si>
    <t>EQUIPAMIENTO - Sin Valor Residual (100% Depreciado)</t>
  </si>
  <si>
    <t>EQUIPAMIENTO - Con Valor Residual</t>
  </si>
  <si>
    <t>V° RESIDUAL VEHICULO (VO Contable)</t>
  </si>
  <si>
    <t>% DEPRECIACIÓN (Vehículo)</t>
  </si>
  <si>
    <t>% DEPRECIACIÓN (Equip. Con VR)</t>
  </si>
  <si>
    <r>
      <t xml:space="preserve">ACC. &amp; OTROS EQUIPOS </t>
    </r>
    <r>
      <rPr>
        <b/>
        <sz val="11"/>
        <color rgb="FFC00000"/>
        <rFont val="Calibri"/>
        <family val="2"/>
      </rPr>
      <t>SIN</t>
    </r>
    <r>
      <rPr>
        <sz val="11"/>
        <color theme="1"/>
        <rFont val="Calibri"/>
        <family val="2"/>
        <scheme val="minor"/>
      </rPr>
      <t xml:space="preserve"> VR (unitario)</t>
    </r>
  </si>
  <si>
    <r>
      <t xml:space="preserve">ACC. &amp; OTROS EQUIPOS </t>
    </r>
    <r>
      <rPr>
        <b/>
        <sz val="11"/>
        <color rgb="FFC00000"/>
        <rFont val="Calibri"/>
        <family val="2"/>
      </rPr>
      <t>CON</t>
    </r>
    <r>
      <rPr>
        <sz val="11"/>
        <color theme="1"/>
        <rFont val="Calibri"/>
        <family val="2"/>
        <scheme val="minor"/>
      </rPr>
      <t xml:space="preserve"> VR (unitario)</t>
    </r>
  </si>
  <si>
    <t>V° RESIDUAL EQUIP. Con VR (VO Contable)</t>
  </si>
  <si>
    <t>V° RESIDUAL TOTAL (VO Contable)</t>
  </si>
  <si>
    <t>ROI</t>
  </si>
  <si>
    <t>ROI (V/I)</t>
  </si>
  <si>
    <t>* Nota: para Camiones y Minibuses la Patente es Diferenciada</t>
  </si>
  <si>
    <t>V° Residual Vehículo (VO)</t>
  </si>
  <si>
    <t>V° Residual Equip. (VO Acc.)</t>
  </si>
  <si>
    <t>CLASE</t>
  </si>
  <si>
    <t>B</t>
  </si>
  <si>
    <t>A</t>
  </si>
  <si>
    <t>DIAS x AÑO</t>
  </si>
  <si>
    <t>KG</t>
  </si>
  <si>
    <t>CAPACIDAD DE CARGA (Camiones)</t>
  </si>
  <si>
    <t>patente camiones y minibuses diferenciada</t>
  </si>
  <si>
    <t>impuestos POR 1,5% del VO + gastos según tabla RNVM</t>
  </si>
  <si>
    <t>Pablo Araneda</t>
  </si>
  <si>
    <t>V°B° Gerente de Usados</t>
  </si>
  <si>
    <t>Francisco Roselló</t>
  </si>
  <si>
    <t>Precio de venta</t>
  </si>
  <si>
    <t>Accesorios</t>
  </si>
  <si>
    <t>Monto gasto equipamiento</t>
  </si>
  <si>
    <t>Monto equipamiento dep 100%</t>
  </si>
  <si>
    <t>Monto equipamiento VR</t>
  </si>
  <si>
    <t>Costo prima anual</t>
  </si>
  <si>
    <t>% depreciación equipamiento VR</t>
  </si>
  <si>
    <t>Costos directos</t>
  </si>
  <si>
    <t>Precio estimado valor residual</t>
  </si>
  <si>
    <t>Gasto mantención por Km</t>
  </si>
  <si>
    <t>Precio final vn (+iva)</t>
  </si>
  <si>
    <t>Gastos fijos</t>
  </si>
  <si>
    <t>Tipo reemplazo</t>
  </si>
  <si>
    <t>Tipo uso</t>
  </si>
  <si>
    <t>Aporte inicial</t>
  </si>
  <si>
    <t>Tarifa Km en exceso</t>
  </si>
  <si>
    <t>Precio lista vn (+iva)</t>
  </si>
  <si>
    <t>Frecuencia de mantenimiento</t>
  </si>
  <si>
    <t>Kilometraje total</t>
  </si>
  <si>
    <t>Otros</t>
  </si>
  <si>
    <t>Otros gastos ($/unit/mes)</t>
  </si>
  <si>
    <t>Ingresos por arriendo</t>
  </si>
  <si>
    <t>Valor residual equipamiento</t>
  </si>
  <si>
    <t>Precio venta objetivo</t>
  </si>
  <si>
    <t>Neumáticos</t>
  </si>
  <si>
    <t>Costo traslados</t>
  </si>
  <si>
    <t>Tipo de mantenimiento</t>
  </si>
  <si>
    <t>Unidades exclusivas</t>
  </si>
  <si>
    <t>Utilidad/FC final</t>
  </si>
  <si>
    <t/>
  </si>
  <si>
    <t>TARIFA FINAL:</t>
  </si>
  <si>
    <t>GPS:</t>
  </si>
  <si>
    <t>KM EN EXCESO</t>
  </si>
  <si>
    <t>Frecuencia Mant</t>
  </si>
  <si>
    <t>FRECUENCIA MANTENIMIENTO</t>
  </si>
  <si>
    <t>KM</t>
  </si>
  <si>
    <t>OTROS:</t>
  </si>
  <si>
    <t>TASA DE REEMPLAZO (Cliente)</t>
  </si>
  <si>
    <t>TIPO MANTENIMIENTO</t>
  </si>
  <si>
    <t>Tipo Mant</t>
  </si>
  <si>
    <t>SOLO PREVENTIVO</t>
  </si>
  <si>
    <t>SOLO CORRECTIVO</t>
  </si>
  <si>
    <t>PREVENTIVO Y CORRECTIVO</t>
  </si>
  <si>
    <t>SIN MANTENIMIENTO</t>
  </si>
  <si>
    <t>ANTOFAGASTA</t>
  </si>
  <si>
    <t>ARICA</t>
  </si>
  <si>
    <t>CALAMA</t>
  </si>
  <si>
    <t>CHILLAN</t>
  </si>
  <si>
    <t>CON CON</t>
  </si>
  <si>
    <t>CONCEPCION</t>
  </si>
  <si>
    <t>COPIAPO</t>
  </si>
  <si>
    <t>CURICO</t>
  </si>
  <si>
    <t>ILLAPEL</t>
  </si>
  <si>
    <t>IQUIQUE</t>
  </si>
  <si>
    <t>LA CALERA</t>
  </si>
  <si>
    <t>LA LIGUA</t>
  </si>
  <si>
    <t>LA SERENA</t>
  </si>
  <si>
    <t>LINARES</t>
  </si>
  <si>
    <t>LOS ANDES</t>
  </si>
  <si>
    <t>LOS ANGELES</t>
  </si>
  <si>
    <t>LOS VILOS</t>
  </si>
  <si>
    <t>MARIA ELENA</t>
  </si>
  <si>
    <t>OSORNO</t>
  </si>
  <si>
    <t>OVALLE</t>
  </si>
  <si>
    <t>PUERTO MONTT</t>
  </si>
  <si>
    <t>PUERTO VARAS</t>
  </si>
  <si>
    <t>QUILLOTA</t>
  </si>
  <si>
    <t>RANCAGUA</t>
  </si>
  <si>
    <t>SALAMANCA</t>
  </si>
  <si>
    <t>SAN FELIPE</t>
  </si>
  <si>
    <t>SAN FERNANDO</t>
  </si>
  <si>
    <t>SAN VICENTE</t>
  </si>
  <si>
    <t>SANTA CRUZ</t>
  </si>
  <si>
    <t>SANTIAGO</t>
  </si>
  <si>
    <t>TALCA</t>
  </si>
  <si>
    <t>TEMUCO</t>
  </si>
  <si>
    <t>VALDIVIA</t>
  </si>
  <si>
    <t>VALLENAR</t>
  </si>
  <si>
    <t>VIÑA VALPO</t>
  </si>
  <si>
    <t>VARIAS REGIONES</t>
  </si>
  <si>
    <t>RFF c/RAR</t>
  </si>
  <si>
    <t>EJECUTIVO</t>
  </si>
  <si>
    <t>EJECUTIVO - RENTING</t>
  </si>
  <si>
    <t>Cantidad de vehículos</t>
  </si>
  <si>
    <t>Porcentaje de depreciación (%)</t>
  </si>
  <si>
    <t>RACF (%)</t>
  </si>
  <si>
    <t>Tasa de remplazo cliente (%)</t>
  </si>
  <si>
    <t>Tasa de reemplazo (%)</t>
  </si>
  <si>
    <t>RFF (%)</t>
  </si>
  <si>
    <t>TIR Pura (%)</t>
  </si>
  <si>
    <t>% Devolución anticipada</t>
  </si>
  <si>
    <t>Días devolución anticipada</t>
  </si>
  <si>
    <t>Clausula</t>
  </si>
  <si>
    <t>Monto Garantía $</t>
  </si>
  <si>
    <t>% DEVOLUCION ANTICIPADA</t>
  </si>
  <si>
    <t>DIAS DEV ANTICIPADA</t>
  </si>
  <si>
    <t>Deducibles 2</t>
  </si>
  <si>
    <t>NORMAL</t>
  </si>
  <si>
    <t>DIFERENCIADO</t>
  </si>
  <si>
    <t>SINIESTRO NORMAL (UF)</t>
  </si>
  <si>
    <t>PERDIDA TOTAL (UF)</t>
  </si>
  <si>
    <t>VOLCAMIENTO (UF)</t>
  </si>
  <si>
    <t>ROBO (UF)</t>
  </si>
  <si>
    <t>Deducibles Siniestro Normal</t>
  </si>
  <si>
    <t>SN UF 0</t>
  </si>
  <si>
    <t>SN UF 3</t>
  </si>
  <si>
    <t>SN UF 5</t>
  </si>
  <si>
    <t>SN UF 10</t>
  </si>
  <si>
    <t>SN UF 20</t>
  </si>
  <si>
    <t>SN UF 30</t>
  </si>
  <si>
    <t>SN UF 50</t>
  </si>
  <si>
    <t>Deducibles Pérdida Total</t>
  </si>
  <si>
    <t>PT UF 0</t>
  </si>
  <si>
    <t>PT UF 3</t>
  </si>
  <si>
    <t>PT UF 5</t>
  </si>
  <si>
    <t>PT UF 10</t>
  </si>
  <si>
    <t>PT UF 20</t>
  </si>
  <si>
    <t>PT UF 30</t>
  </si>
  <si>
    <t>PT UF 50</t>
  </si>
  <si>
    <t>Deducibles Volcamiento</t>
  </si>
  <si>
    <t>VOL UF 0</t>
  </si>
  <si>
    <t>VOL UF 3</t>
  </si>
  <si>
    <t>VOL UF 5</t>
  </si>
  <si>
    <t>VOL UF 10</t>
  </si>
  <si>
    <t>VOL UF 20</t>
  </si>
  <si>
    <t>VOL UF 30</t>
  </si>
  <si>
    <t>VOL UF 50</t>
  </si>
  <si>
    <t>ROBO UF 0</t>
  </si>
  <si>
    <t>ROBO UF 3</t>
  </si>
  <si>
    <t>ROBO UF 5</t>
  </si>
  <si>
    <t>ROBO UF 10</t>
  </si>
  <si>
    <t>ROBO UF 20</t>
  </si>
  <si>
    <t>ROBO UF 30</t>
  </si>
  <si>
    <t>ROBO UF 50</t>
  </si>
  <si>
    <t>Siniestro Normal (UF)</t>
  </si>
  <si>
    <t>Pérdida Total (UF)</t>
  </si>
  <si>
    <t>Volcamiento (UF)</t>
  </si>
  <si>
    <t>Robo (UF)</t>
  </si>
  <si>
    <t>RECORRIDO ACTUAL</t>
  </si>
  <si>
    <t>TIR</t>
  </si>
  <si>
    <t>Julio Calderara</t>
  </si>
  <si>
    <t>E</t>
  </si>
  <si>
    <t>T</t>
  </si>
  <si>
    <t>EXTENSION</t>
  </si>
  <si>
    <t>TIPO NEGOCIO</t>
  </si>
  <si>
    <t>CANTIDAD</t>
  </si>
  <si>
    <t>MARCA - MODELO</t>
  </si>
  <si>
    <t>DESFASE PAGO</t>
  </si>
  <si>
    <t>DEDUCIBLE</t>
  </si>
  <si>
    <t>PROVEEDOR</t>
  </si>
  <si>
    <t>Marca / Modelo</t>
  </si>
  <si>
    <t>Unidades</t>
  </si>
  <si>
    <t>Orden de alquiler</t>
  </si>
  <si>
    <t>Línea madre</t>
  </si>
  <si>
    <t>Codigo CIT</t>
  </si>
  <si>
    <t>CLIENTE</t>
  </si>
  <si>
    <t>FECHA COMPROMISO ENTREGA PROVEEDOR</t>
  </si>
  <si>
    <t>FECHA COMPROMISO ENTREGA CLIENTE</t>
  </si>
  <si>
    <t>EJECUTIVO COMERCIAL</t>
  </si>
  <si>
    <t>CODIGO NUMERO ORDEN DE ALQUILER</t>
  </si>
  <si>
    <t>PUNTA ARENAS</t>
  </si>
  <si>
    <t>SEGMENTO</t>
  </si>
  <si>
    <t>STOCK</t>
  </si>
  <si>
    <t>VOLKSWAGEN</t>
  </si>
  <si>
    <t>Hernan Garcia</t>
  </si>
  <si>
    <t>Jeanette Cornejo</t>
  </si>
  <si>
    <t>AT</t>
  </si>
  <si>
    <t>AMAROK COMFORTLINE 4x4</t>
  </si>
  <si>
    <t>UTILIDAD ANUAL</t>
  </si>
  <si>
    <t>STOCK GAMA</t>
  </si>
  <si>
    <t>GRIS INDIO METALIZADO</t>
  </si>
  <si>
    <t>DIESEL</t>
  </si>
  <si>
    <t>AMPLIACION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</si>
</sst>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41" formatCode="_ * #,##0_ ;_ * \-#,##0_ ;_ * &quot;-&quot;_ ;_ @_ "/>
    <numFmt numFmtId="164" formatCode="&quot;$&quot;#,##0;[Red]\-&quot;$&quot;#,##0"/>
    <numFmt numFmtId="165" formatCode="&quot;$&quot;#,##0.00;[Red]\-&quot;$&quot;#,##0.00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0.0%"/>
    <numFmt numFmtId="169" formatCode="_-&quot;$&quot;\ * #,##0_-;\-&quot;$&quot;\ * #,##0_-;_-&quot;$&quot;\ * &quot;-&quot;??_-;_-@_-"/>
    <numFmt numFmtId="170" formatCode="#,##0.0"/>
    <numFmt numFmtId="171" formatCode="#,##0.000"/>
    <numFmt numFmtId="172" formatCode="[$$-340A]\ #,##0"/>
    <numFmt numFmtId="173" formatCode="&quot;$&quot;\ #,##0"/>
    <numFmt numFmtId="174" formatCode="_-[$€-2]\ * #,##0.00_-;\-[$€-2]\ * #,##0.00_-;_-[$€-2]\ * &quot;-&quot;??_-"/>
    <numFmt numFmtId="175" formatCode="_-* #,##0.00\ _€_-;\-* #,##0.00\ _€_-;_-* &quot;-&quot;??\ _€_-;_-@_-"/>
    <numFmt numFmtId="176" formatCode="_-&quot;$&quot;\ * #,##0.00_-;\-&quot;$&quot;\ * #,##0.00_-;_-&quot;$&quot;\ * &quot;-&quot;??_-;_-@_-"/>
    <numFmt numFmtId="177" formatCode="&quot;$&quot;#,##0"/>
    <numFmt numFmtId="178" formatCode="dd/mm/yyyy;@"/>
    <numFmt numFmtId="179" formatCode="0.0"/>
    <numFmt numFmtId="180" formatCode="#,##0.0\ [$UTM]"/>
    <numFmt numFmtId="181" formatCode="_-* #,##0_-;\-* #,##0_-;_-* &quot;-&quot;??_-;_-@_-"/>
    <numFmt numFmtId="182" formatCode="#,##0.0000"/>
    <numFmt numFmtId="183" formatCode="0.000%"/>
    <numFmt numFmtId="184" formatCode="0.000000%"/>
    <numFmt numFmtId="185" formatCode="&quot;$&quot;\ #,##0\ [$ IVA incluido]"/>
    <numFmt numFmtId="186" formatCode="&quot;$&quot;#,##0.00"/>
    <numFmt numFmtId="187" formatCode="0.0000%"/>
    <numFmt numFmtId="188" formatCode="\U\F\ 0.00"/>
    <numFmt numFmtId="189" formatCode="0\ &quot;MESES&quot;"/>
    <numFmt numFmtId="190" formatCode="0\ &quot;KMS&quot;"/>
    <numFmt numFmtId="191" formatCode="##\ &quot; &quot;\ &quot;meses&quot;"/>
    <numFmt numFmtId="192" formatCode="#,##0_ ;[Red]\-#,##0\ "/>
  </numFmts>
  <fonts count="8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Arial Unicode MS"/>
      <family val="2"/>
    </font>
    <font>
      <b/>
      <sz val="10"/>
      <name val="Arial Unicode MS"/>
      <family val="2"/>
    </font>
    <font>
      <sz val="11"/>
      <name val="Arial"/>
      <family val="2"/>
    </font>
    <font>
      <b/>
      <sz val="11"/>
      <name val="Arial"/>
      <family val="2"/>
    </font>
    <font>
      <sz val="9"/>
      <color indexed="81"/>
      <name val="Tahoma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b/>
      <sz val="10"/>
      <color theme="0"/>
      <name val="Arial"/>
      <family val="2"/>
    </font>
    <font>
      <i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4"/>
      <name val="Arial"/>
      <family val="2"/>
    </font>
    <font>
      <b/>
      <u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Arial"/>
      <family val="2"/>
    </font>
    <font>
      <sz val="10"/>
      <color rgb="FFFF0000"/>
      <name val="Arial"/>
      <family val="2"/>
    </font>
    <font>
      <sz val="14"/>
      <color theme="1"/>
      <name val="Arial"/>
      <family val="2"/>
    </font>
    <font>
      <b/>
      <sz val="10"/>
      <color rgb="FFC0000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0"/>
      <name val="Arial"/>
      <family val="2"/>
    </font>
    <font>
      <sz val="10"/>
      <color theme="0" tint="-0.249977111117893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0"/>
      <color theme="0" tint="-0.34998626667073579"/>
      <name val="Arial"/>
      <family val="2"/>
    </font>
    <font>
      <sz val="8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4"/>
      <color theme="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8"/>
      <color rgb="FFFF0000"/>
      <name val="Calibri"/>
      <family val="2"/>
    </font>
    <font>
      <b/>
      <sz val="11"/>
      <color theme="0" tint="-0.34998626667073579"/>
      <name val="Calibri"/>
      <family val="2"/>
      <scheme val="minor"/>
    </font>
    <font>
      <sz val="10"/>
      <color theme="0" tint="-0.34998626667073579"/>
      <name val="Arial"/>
      <family val="2"/>
    </font>
    <font>
      <i/>
      <sz val="10"/>
      <color theme="0" tint="-0.499984740745262"/>
      <name val="Arial"/>
      <family val="2"/>
    </font>
    <font>
      <i/>
      <sz val="11"/>
      <color theme="0" tint="-0.34998626667073579"/>
      <name val="Calibri"/>
      <family val="2"/>
      <scheme val="minor"/>
    </font>
    <font>
      <b/>
      <sz val="11"/>
      <color rgb="FFC00000"/>
      <name val="Calibri"/>
      <family val="2"/>
    </font>
    <font>
      <sz val="16"/>
      <name val="Arial"/>
      <family val="2"/>
    </font>
    <font>
      <b/>
      <sz val="16"/>
      <color indexed="8"/>
      <name val="Calibri"/>
      <family val="2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i/>
      <sz val="16"/>
      <color theme="0"/>
      <name val="Calibri"/>
      <family val="2"/>
    </font>
    <font>
      <sz val="16"/>
      <name val="Calibri"/>
      <family val="2"/>
    </font>
    <font>
      <b/>
      <sz val="16"/>
      <name val="Calibri"/>
      <family val="2"/>
    </font>
    <font>
      <sz val="16"/>
      <color indexed="8"/>
      <name val="Calibri"/>
      <family val="2"/>
    </font>
    <font>
      <b/>
      <sz val="16"/>
      <color theme="0" tint="-0.499984740745262"/>
      <name val="Calibri"/>
      <family val="2"/>
    </font>
    <font>
      <b/>
      <sz val="16"/>
      <name val="Arial"/>
      <family val="2"/>
    </font>
    <font>
      <b/>
      <sz val="16"/>
      <color rgb="FFC00000"/>
      <name val="Arial"/>
      <family val="2"/>
    </font>
    <font>
      <b/>
      <sz val="10"/>
      <color rgb="FFFF0000"/>
      <name val="Arial"/>
      <family val="2"/>
    </font>
    <font>
      <sz val="9"/>
      <color theme="1"/>
      <name val="Calibri"/>
      <family val="2"/>
    </font>
    <font>
      <sz val="10"/>
      <color theme="1"/>
      <name val="Calibri"/>
      <family val="2"/>
    </font>
    <font>
      <i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i/>
      <sz val="10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Times New Roman"/>
      <family val="1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EF4E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3D3D3"/>
      </patternFill>
    </fill>
    <fill>
      <patternFill patternType="solid">
        <fgColor theme="9" tint="0.59999389629810485"/>
        <bgColor indexed="64"/>
      </patternFill>
    </fill>
  </fills>
  <borders count="1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dotted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 style="double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double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double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double">
        <color indexed="64"/>
      </right>
      <top/>
      <bottom style="dotted">
        <color indexed="64"/>
      </bottom>
      <diagonal/>
    </border>
    <border>
      <left/>
      <right/>
      <top/>
      <bottom style="medium">
        <color rgb="FFC00000"/>
      </bottom>
      <diagonal/>
    </border>
    <border>
      <left style="double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rgb="FFC00000"/>
      </left>
      <right/>
      <top style="mediumDashed">
        <color rgb="FFC00000"/>
      </top>
      <bottom/>
      <diagonal/>
    </border>
    <border>
      <left/>
      <right/>
      <top style="mediumDashed">
        <color rgb="FFC00000"/>
      </top>
      <bottom/>
      <diagonal/>
    </border>
    <border>
      <left/>
      <right style="mediumDashed">
        <color rgb="FFC00000"/>
      </right>
      <top style="mediumDashed">
        <color rgb="FFC00000"/>
      </top>
      <bottom/>
      <diagonal/>
    </border>
    <border>
      <left style="mediumDashed">
        <color rgb="FFC00000"/>
      </left>
      <right/>
      <top/>
      <bottom/>
      <diagonal/>
    </border>
    <border>
      <left/>
      <right style="mediumDashed">
        <color rgb="FFC00000"/>
      </right>
      <top/>
      <bottom/>
      <diagonal/>
    </border>
    <border>
      <left style="mediumDashed">
        <color rgb="FFC00000"/>
      </left>
      <right/>
      <top/>
      <bottom style="mediumDashed">
        <color rgb="FFC00000"/>
      </bottom>
      <diagonal/>
    </border>
    <border>
      <left/>
      <right/>
      <top/>
      <bottom style="mediumDashed">
        <color rgb="FFC00000"/>
      </bottom>
      <diagonal/>
    </border>
    <border>
      <left/>
      <right style="mediumDashed">
        <color rgb="FFC00000"/>
      </right>
      <top/>
      <bottom style="mediumDashed">
        <color rgb="FFC00000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983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3" fillId="0" borderId="81" applyNumberFormat="0" applyFill="0" applyAlignment="0" applyProtection="0"/>
    <xf numFmtId="0" fontId="44" fillId="0" borderId="82" applyNumberFormat="0" applyFill="0" applyAlignment="0" applyProtection="0"/>
    <xf numFmtId="0" fontId="45" fillId="0" borderId="83" applyNumberFormat="0" applyFill="0" applyAlignment="0" applyProtection="0"/>
    <xf numFmtId="0" fontId="45" fillId="0" borderId="0" applyNumberFormat="0" applyFill="0" applyBorder="0" applyAlignment="0" applyProtection="0"/>
    <xf numFmtId="0" fontId="46" fillId="13" borderId="0" applyNumberFormat="0" applyBorder="0" applyAlignment="0" applyProtection="0"/>
    <xf numFmtId="0" fontId="47" fillId="14" borderId="0" applyNumberFormat="0" applyBorder="0" applyAlignment="0" applyProtection="0"/>
    <xf numFmtId="0" fontId="48" fillId="15" borderId="0" applyNumberFormat="0" applyBorder="0" applyAlignment="0" applyProtection="0"/>
    <xf numFmtId="0" fontId="49" fillId="16" borderId="84" applyNumberFormat="0" applyAlignment="0" applyProtection="0"/>
    <xf numFmtId="0" fontId="50" fillId="17" borderId="85" applyNumberFormat="0" applyAlignment="0" applyProtection="0"/>
    <xf numFmtId="0" fontId="51" fillId="17" borderId="84" applyNumberFormat="0" applyAlignment="0" applyProtection="0"/>
    <xf numFmtId="0" fontId="52" fillId="0" borderId="86" applyNumberFormat="0" applyFill="0" applyAlignment="0" applyProtection="0"/>
    <xf numFmtId="0" fontId="21" fillId="18" borderId="87" applyNumberFormat="0" applyAlignment="0" applyProtection="0"/>
    <xf numFmtId="0" fontId="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" fillId="0" borderId="89" applyNumberFormat="0" applyFill="0" applyAlignment="0" applyProtection="0"/>
    <xf numFmtId="0" fontId="28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28" fillId="43" borderId="0" applyNumberFormat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" fillId="19" borderId="88" applyNumberFormat="0" applyFont="0" applyAlignment="0" applyProtection="0"/>
    <xf numFmtId="17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56" fillId="19" borderId="88" applyNumberFormat="0" applyFont="0" applyAlignment="0" applyProtection="0"/>
    <xf numFmtId="9" fontId="56" fillId="0" borderId="0" applyFont="0" applyFill="0" applyBorder="0" applyAlignment="0" applyProtection="0"/>
    <xf numFmtId="0" fontId="42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816">
    <xf numFmtId="0" fontId="0" fillId="0" borderId="0" xfId="0"/>
    <xf numFmtId="0" fontId="7" fillId="0" borderId="0" xfId="0" applyFont="1" applyProtection="1">
      <protection hidden="1"/>
    </xf>
    <xf numFmtId="172" fontId="7" fillId="0" borderId="2" xfId="1" applyNumberFormat="1" applyFont="1" applyBorder="1" applyAlignment="1" applyProtection="1">
      <alignment horizontal="left"/>
      <protection hidden="1"/>
    </xf>
    <xf numFmtId="172" fontId="7" fillId="0" borderId="0" xfId="1" applyNumberFormat="1" applyFont="1" applyAlignment="1" applyProtection="1">
      <alignment horizontal="left"/>
      <protection hidden="1"/>
    </xf>
    <xf numFmtId="172" fontId="7" fillId="0" borderId="2" xfId="1" applyNumberFormat="1" applyFont="1" applyBorder="1" applyAlignment="1" applyProtection="1">
      <alignment horizontal="center"/>
      <protection hidden="1"/>
    </xf>
    <xf numFmtId="169" fontId="7" fillId="0" borderId="0" xfId="1" applyNumberFormat="1" applyFont="1" applyProtection="1">
      <protection hidden="1"/>
    </xf>
    <xf numFmtId="0" fontId="8" fillId="0" borderId="0" xfId="0" applyFont="1" applyProtection="1">
      <protection hidden="1"/>
    </xf>
    <xf numFmtId="0" fontId="7" fillId="0" borderId="2" xfId="0" applyFont="1" applyBorder="1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left"/>
      <protection hidden="1"/>
    </xf>
    <xf numFmtId="0" fontId="8" fillId="0" borderId="0" xfId="0" applyFont="1" applyAlignment="1" applyProtection="1">
      <alignment horizontal="left"/>
      <protection hidden="1"/>
    </xf>
    <xf numFmtId="0" fontId="5" fillId="0" borderId="0" xfId="0" applyFont="1" applyProtection="1">
      <protection hidden="1"/>
    </xf>
    <xf numFmtId="0" fontId="9" fillId="0" borderId="0" xfId="0" applyFont="1" applyProtection="1">
      <protection hidden="1"/>
    </xf>
    <xf numFmtId="0" fontId="6" fillId="0" borderId="0" xfId="0" applyFont="1"/>
    <xf numFmtId="0" fontId="5" fillId="0" borderId="0" xfId="3" applyFont="1"/>
    <xf numFmtId="0" fontId="5" fillId="0" borderId="2" xfId="3" applyFont="1" applyBorder="1"/>
    <xf numFmtId="0" fontId="4" fillId="0" borderId="0" xfId="6" applyProtection="1">
      <protection locked="0"/>
    </xf>
    <xf numFmtId="0" fontId="5" fillId="0" borderId="0" xfId="3" quotePrefix="1" applyFont="1" applyAlignment="1">
      <alignment horizontal="left"/>
    </xf>
    <xf numFmtId="0" fontId="4" fillId="0" borderId="0" xfId="3"/>
    <xf numFmtId="0" fontId="5" fillId="0" borderId="2" xfId="3" applyFont="1" applyBorder="1" applyAlignment="1">
      <alignment horizontal="right"/>
    </xf>
    <xf numFmtId="0" fontId="4" fillId="0" borderId="2" xfId="3" applyBorder="1"/>
    <xf numFmtId="10" fontId="4" fillId="0" borderId="2" xfId="3" applyNumberFormat="1" applyBorder="1"/>
    <xf numFmtId="0" fontId="4" fillId="0" borderId="0" xfId="3" applyAlignment="1">
      <alignment horizontal="left"/>
    </xf>
    <xf numFmtId="3" fontId="5" fillId="9" borderId="0" xfId="3" applyNumberFormat="1" applyFont="1" applyFill="1" applyAlignment="1">
      <alignment horizontal="center"/>
    </xf>
    <xf numFmtId="17" fontId="4" fillId="0" borderId="0" xfId="3" applyNumberFormat="1" applyAlignment="1">
      <alignment horizontal="center"/>
    </xf>
    <xf numFmtId="3" fontId="4" fillId="0" borderId="2" xfId="3" applyNumberFormat="1" applyBorder="1"/>
    <xf numFmtId="0" fontId="4" fillId="0" borderId="2" xfId="3" quotePrefix="1" applyBorder="1" applyAlignment="1">
      <alignment horizontal="left"/>
    </xf>
    <xf numFmtId="3" fontId="4" fillId="0" borderId="0" xfId="3" applyNumberFormat="1"/>
    <xf numFmtId="0" fontId="4" fillId="0" borderId="0" xfId="3" quotePrefix="1" applyAlignment="1">
      <alignment horizontal="left"/>
    </xf>
    <xf numFmtId="169" fontId="7" fillId="0" borderId="2" xfId="1" applyNumberFormat="1" applyFont="1" applyBorder="1" applyProtection="1">
      <protection hidden="1"/>
    </xf>
    <xf numFmtId="172" fontId="7" fillId="0" borderId="16" xfId="1" applyNumberFormat="1" applyFont="1" applyBorder="1" applyAlignment="1" applyProtection="1">
      <alignment horizontal="left"/>
      <protection hidden="1"/>
    </xf>
    <xf numFmtId="0" fontId="8" fillId="0" borderId="2" xfId="0" applyFont="1" applyBorder="1" applyProtection="1">
      <protection hidden="1"/>
    </xf>
    <xf numFmtId="0" fontId="5" fillId="0" borderId="2" xfId="0" applyFont="1" applyBorder="1" applyAlignment="1" applyProtection="1">
      <alignment horizontal="left"/>
      <protection hidden="1"/>
    </xf>
    <xf numFmtId="0" fontId="5" fillId="0" borderId="2" xfId="0" applyFont="1" applyBorder="1" applyProtection="1">
      <protection hidden="1"/>
    </xf>
    <xf numFmtId="0" fontId="0" fillId="0" borderId="4" xfId="0" applyBorder="1" applyAlignment="1" applyProtection="1">
      <alignment horizontal="center" vertical="center"/>
      <protection locked="0"/>
    </xf>
    <xf numFmtId="0" fontId="0" fillId="7" borderId="2" xfId="0" applyFill="1" applyBorder="1" applyAlignment="1" applyProtection="1">
      <alignment horizontal="center" vertical="center"/>
      <protection locked="0"/>
    </xf>
    <xf numFmtId="4" fontId="0" fillId="7" borderId="2" xfId="0" applyNumberFormat="1" applyFill="1" applyBorder="1" applyAlignment="1" applyProtection="1">
      <alignment horizontal="center" vertical="center"/>
      <protection locked="0"/>
    </xf>
    <xf numFmtId="178" fontId="0" fillId="7" borderId="2" xfId="0" applyNumberFormat="1" applyFill="1" applyBorder="1" applyAlignment="1" applyProtection="1">
      <alignment horizontal="center" vertical="center"/>
      <protection locked="0"/>
    </xf>
    <xf numFmtId="3" fontId="0" fillId="7" borderId="2" xfId="0" applyNumberFormat="1" applyFill="1" applyBorder="1" applyAlignment="1" applyProtection="1">
      <alignment horizontal="center" vertical="center"/>
      <protection locked="0"/>
    </xf>
    <xf numFmtId="168" fontId="0" fillId="7" borderId="2" xfId="2" applyNumberFormat="1" applyFont="1" applyFill="1" applyBorder="1" applyAlignment="1" applyProtection="1">
      <alignment horizontal="center" vertical="center"/>
      <protection locked="0"/>
    </xf>
    <xf numFmtId="177" fontId="0" fillId="7" borderId="2" xfId="0" applyNumberFormat="1" applyFill="1" applyBorder="1" applyAlignment="1" applyProtection="1">
      <alignment horizontal="center" vertical="center"/>
      <protection locked="0"/>
    </xf>
    <xf numFmtId="170" fontId="0" fillId="7" borderId="2" xfId="0" applyNumberFormat="1" applyFill="1" applyBorder="1" applyAlignment="1" applyProtection="1">
      <alignment horizontal="center" vertical="center"/>
      <protection locked="0"/>
    </xf>
    <xf numFmtId="4" fontId="3" fillId="7" borderId="2" xfId="0" applyNumberFormat="1" applyFont="1" applyFill="1" applyBorder="1" applyAlignment="1" applyProtection="1">
      <alignment horizontal="center" vertical="center"/>
      <protection locked="0"/>
    </xf>
    <xf numFmtId="0" fontId="17" fillId="0" borderId="0" xfId="0" applyFont="1"/>
    <xf numFmtId="3" fontId="17" fillId="0" borderId="0" xfId="0" applyNumberFormat="1" applyFont="1"/>
    <xf numFmtId="3" fontId="17" fillId="0" borderId="0" xfId="0" applyNumberFormat="1" applyFont="1" applyAlignment="1">
      <alignment horizontal="right"/>
    </xf>
    <xf numFmtId="0" fontId="17" fillId="0" borderId="0" xfId="0" applyFont="1" applyAlignment="1">
      <alignment horizontal="right"/>
    </xf>
    <xf numFmtId="3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3" fontId="4" fillId="7" borderId="2" xfId="6" applyNumberFormat="1" applyFill="1" applyBorder="1" applyAlignment="1" applyProtection="1">
      <alignment horizontal="center"/>
      <protection locked="0"/>
    </xf>
    <xf numFmtId="3" fontId="4" fillId="7" borderId="2" xfId="9" applyNumberFormat="1" applyFill="1" applyBorder="1" applyProtection="1">
      <protection locked="0"/>
    </xf>
    <xf numFmtId="3" fontId="5" fillId="0" borderId="0" xfId="0" applyNumberFormat="1" applyFont="1" applyAlignment="1">
      <alignment horizontal="left"/>
    </xf>
    <xf numFmtId="9" fontId="5" fillId="0" borderId="0" xfId="2" applyFont="1"/>
    <xf numFmtId="3" fontId="5" fillId="2" borderId="0" xfId="489" applyNumberFormat="1" applyFont="1" applyFill="1"/>
    <xf numFmtId="3" fontId="5" fillId="2" borderId="0" xfId="489" applyNumberFormat="1" applyFont="1" applyFill="1" applyAlignment="1">
      <alignment horizontal="right"/>
    </xf>
    <xf numFmtId="3" fontId="5" fillId="2" borderId="0" xfId="508" applyNumberFormat="1" applyFont="1" applyFill="1"/>
    <xf numFmtId="3" fontId="17" fillId="0" borderId="0" xfId="508" applyNumberFormat="1" applyFont="1"/>
    <xf numFmtId="0" fontId="17" fillId="0" borderId="59" xfId="0" applyFont="1" applyBorder="1" applyAlignment="1">
      <alignment horizontal="center"/>
    </xf>
    <xf numFmtId="0" fontId="16" fillId="6" borderId="60" xfId="0" applyFont="1" applyFill="1" applyBorder="1"/>
    <xf numFmtId="3" fontId="25" fillId="6" borderId="61" xfId="0" applyNumberFormat="1" applyFont="1" applyFill="1" applyBorder="1"/>
    <xf numFmtId="0" fontId="16" fillId="0" borderId="62" xfId="0" applyFont="1" applyBorder="1" applyAlignment="1">
      <alignment horizontal="center"/>
    </xf>
    <xf numFmtId="0" fontId="16" fillId="0" borderId="62" xfId="0" applyFont="1" applyBorder="1"/>
    <xf numFmtId="0" fontId="16" fillId="0" borderId="63" xfId="0" applyFont="1" applyBorder="1" applyAlignment="1">
      <alignment horizontal="center"/>
    </xf>
    <xf numFmtId="3" fontId="5" fillId="2" borderId="5" xfId="0" applyNumberFormat="1" applyFont="1" applyFill="1" applyBorder="1" applyAlignment="1">
      <alignment horizontal="center"/>
    </xf>
    <xf numFmtId="3" fontId="17" fillId="0" borderId="64" xfId="0" applyNumberFormat="1" applyFont="1" applyBorder="1" applyAlignment="1">
      <alignment horizontal="center"/>
    </xf>
    <xf numFmtId="0" fontId="17" fillId="0" borderId="64" xfId="0" applyFont="1" applyBorder="1" applyAlignment="1">
      <alignment horizontal="center"/>
    </xf>
    <xf numFmtId="9" fontId="18" fillId="0" borderId="64" xfId="0" applyNumberFormat="1" applyFont="1" applyBorder="1"/>
    <xf numFmtId="9" fontId="17" fillId="0" borderId="65" xfId="0" applyNumberFormat="1" applyFont="1" applyBorder="1" applyAlignment="1">
      <alignment horizontal="center"/>
    </xf>
    <xf numFmtId="9" fontId="17" fillId="0" borderId="0" xfId="2" applyFont="1" applyAlignment="1">
      <alignment horizontal="center"/>
    </xf>
    <xf numFmtId="3" fontId="17" fillId="0" borderId="66" xfId="0" applyNumberFormat="1" applyFont="1" applyBorder="1" applyAlignment="1">
      <alignment horizontal="center"/>
    </xf>
    <xf numFmtId="0" fontId="17" fillId="0" borderId="66" xfId="0" applyFont="1" applyBorder="1" applyAlignment="1">
      <alignment horizontal="center"/>
    </xf>
    <xf numFmtId="9" fontId="18" fillId="0" borderId="66" xfId="0" applyNumberFormat="1" applyFont="1" applyBorder="1"/>
    <xf numFmtId="9" fontId="17" fillId="0" borderId="67" xfId="0" applyNumberFormat="1" applyFont="1" applyBorder="1" applyAlignment="1">
      <alignment horizontal="center"/>
    </xf>
    <xf numFmtId="0" fontId="16" fillId="7" borderId="60" xfId="0" applyFont="1" applyFill="1" applyBorder="1"/>
    <xf numFmtId="3" fontId="16" fillId="7" borderId="61" xfId="0" applyNumberFormat="1" applyFont="1" applyFill="1" applyBorder="1"/>
    <xf numFmtId="9" fontId="17" fillId="3" borderId="0" xfId="2" applyFont="1" applyFill="1" applyAlignment="1">
      <alignment horizontal="center"/>
    </xf>
    <xf numFmtId="3" fontId="16" fillId="6" borderId="60" xfId="0" applyNumberFormat="1" applyFont="1" applyFill="1" applyBorder="1"/>
    <xf numFmtId="3" fontId="25" fillId="6" borderId="61" xfId="0" applyNumberFormat="1" applyFont="1" applyFill="1" applyBorder="1" applyAlignment="1">
      <alignment horizontal="right"/>
    </xf>
    <xf numFmtId="0" fontId="16" fillId="7" borderId="60" xfId="0" applyFont="1" applyFill="1" applyBorder="1" applyAlignment="1">
      <alignment horizontal="left"/>
    </xf>
    <xf numFmtId="3" fontId="16" fillId="7" borderId="61" xfId="0" applyNumberFormat="1" applyFont="1" applyFill="1" applyBorder="1" applyAlignment="1">
      <alignment horizontal="right"/>
    </xf>
    <xf numFmtId="0" fontId="16" fillId="6" borderId="60" xfId="0" applyFont="1" applyFill="1" applyBorder="1" applyAlignment="1">
      <alignment horizontal="left"/>
    </xf>
    <xf numFmtId="181" fontId="17" fillId="0" borderId="0" xfId="508" applyNumberFormat="1" applyFont="1"/>
    <xf numFmtId="0" fontId="20" fillId="0" borderId="0" xfId="0" applyFont="1"/>
    <xf numFmtId="0" fontId="3" fillId="0" borderId="0" xfId="0" applyFont="1"/>
    <xf numFmtId="0" fontId="4" fillId="0" borderId="5" xfId="0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3" fontId="0" fillId="0" borderId="0" xfId="0" applyNumberFormat="1"/>
    <xf numFmtId="0" fontId="3" fillId="0" borderId="21" xfId="0" applyFont="1" applyBorder="1"/>
    <xf numFmtId="3" fontId="0" fillId="0" borderId="21" xfId="0" applyNumberFormat="1" applyBorder="1"/>
    <xf numFmtId="0" fontId="0" fillId="0" borderId="51" xfId="0" applyBorder="1"/>
    <xf numFmtId="179" fontId="0" fillId="0" borderId="51" xfId="0" applyNumberFormat="1" applyBorder="1"/>
    <xf numFmtId="3" fontId="20" fillId="0" borderId="0" xfId="0" applyNumberFormat="1" applyFont="1"/>
    <xf numFmtId="4" fontId="0" fillId="0" borderId="0" xfId="0" applyNumberFormat="1"/>
    <xf numFmtId="3" fontId="3" fillId="0" borderId="0" xfId="0" applyNumberFormat="1" applyFont="1"/>
    <xf numFmtId="0" fontId="0" fillId="0" borderId="68" xfId="0" applyBorder="1"/>
    <xf numFmtId="182" fontId="20" fillId="0" borderId="0" xfId="0" applyNumberFormat="1" applyFont="1"/>
    <xf numFmtId="0" fontId="0" fillId="0" borderId="38" xfId="0" applyBorder="1"/>
    <xf numFmtId="3" fontId="0" fillId="0" borderId="38" xfId="0" applyNumberFormat="1" applyBorder="1"/>
    <xf numFmtId="0" fontId="3" fillId="7" borderId="53" xfId="0" applyFont="1" applyFill="1" applyBorder="1"/>
    <xf numFmtId="3" fontId="3" fillId="7" borderId="53" xfId="0" applyNumberFormat="1" applyFont="1" applyFill="1" applyBorder="1"/>
    <xf numFmtId="0" fontId="0" fillId="0" borderId="5" xfId="0" applyBorder="1"/>
    <xf numFmtId="3" fontId="0" fillId="0" borderId="5" xfId="0" applyNumberFormat="1" applyBorder="1"/>
    <xf numFmtId="0" fontId="3" fillId="7" borderId="0" xfId="0" applyFont="1" applyFill="1"/>
    <xf numFmtId="10" fontId="3" fillId="7" borderId="0" xfId="2" applyNumberFormat="1" applyFont="1" applyFill="1"/>
    <xf numFmtId="168" fontId="0" fillId="0" borderId="0" xfId="2" applyNumberFormat="1" applyFont="1"/>
    <xf numFmtId="0" fontId="3" fillId="2" borderId="5" xfId="0" applyFont="1" applyFill="1" applyBorder="1"/>
    <xf numFmtId="10" fontId="3" fillId="2" borderId="5" xfId="2" applyNumberFormat="1" applyFont="1" applyFill="1" applyBorder="1"/>
    <xf numFmtId="0" fontId="0" fillId="0" borderId="50" xfId="0" applyBorder="1"/>
    <xf numFmtId="10" fontId="0" fillId="0" borderId="0" xfId="2" applyNumberFormat="1" applyFont="1"/>
    <xf numFmtId="0" fontId="0" fillId="0" borderId="4" xfId="0" applyBorder="1"/>
    <xf numFmtId="10" fontId="0" fillId="0" borderId="51" xfId="2" applyNumberFormat="1" applyFont="1" applyBorder="1"/>
    <xf numFmtId="10" fontId="0" fillId="0" borderId="5" xfId="2" applyNumberFormat="1" applyFont="1" applyBorder="1"/>
    <xf numFmtId="0" fontId="29" fillId="0" borderId="0" xfId="0" applyFont="1"/>
    <xf numFmtId="3" fontId="30" fillId="0" borderId="0" xfId="491" applyNumberFormat="1" applyFont="1"/>
    <xf numFmtId="3" fontId="4" fillId="0" borderId="0" xfId="0" applyNumberFormat="1" applyFont="1" applyAlignment="1">
      <alignment horizontal="left"/>
    </xf>
    <xf numFmtId="3" fontId="4" fillId="0" borderId="0" xfId="0" quotePrefix="1" applyNumberFormat="1" applyFont="1" applyAlignment="1">
      <alignment horizontal="left"/>
    </xf>
    <xf numFmtId="170" fontId="6" fillId="7" borderId="2" xfId="2" applyNumberFormat="1" applyFont="1" applyFill="1" applyBorder="1" applyAlignment="1" applyProtection="1">
      <alignment horizontal="center" vertical="center"/>
      <protection locked="0"/>
    </xf>
    <xf numFmtId="165" fontId="0" fillId="0" borderId="0" xfId="0" applyNumberFormat="1"/>
    <xf numFmtId="184" fontId="0" fillId="0" borderId="0" xfId="2" applyNumberFormat="1" applyFont="1"/>
    <xf numFmtId="0" fontId="0" fillId="0" borderId="51" xfId="0" applyBorder="1" applyAlignment="1">
      <alignment horizontal="left"/>
    </xf>
    <xf numFmtId="168" fontId="0" fillId="0" borderId="51" xfId="2" applyNumberFormat="1" applyFont="1" applyBorder="1"/>
    <xf numFmtId="0" fontId="0" fillId="0" borderId="0" xfId="0" applyAlignment="1">
      <alignment horizontal="left"/>
    </xf>
    <xf numFmtId="0" fontId="0" fillId="0" borderId="49" xfId="0" applyBorder="1" applyAlignment="1">
      <alignment horizontal="left"/>
    </xf>
    <xf numFmtId="0" fontId="0" fillId="0" borderId="5" xfId="0" applyBorder="1" applyAlignment="1">
      <alignment horizontal="left"/>
    </xf>
    <xf numFmtId="164" fontId="0" fillId="0" borderId="49" xfId="0" applyNumberFormat="1" applyBorder="1"/>
    <xf numFmtId="179" fontId="0" fillId="7" borderId="2" xfId="0" applyNumberFormat="1" applyFill="1" applyBorder="1" applyAlignment="1" applyProtection="1">
      <alignment horizontal="center" vertical="center"/>
      <protection locked="0"/>
    </xf>
    <xf numFmtId="0" fontId="27" fillId="0" borderId="0" xfId="0" applyFont="1" applyAlignment="1">
      <alignment horizontal="center"/>
    </xf>
    <xf numFmtId="187" fontId="20" fillId="0" borderId="0" xfId="0" applyNumberFormat="1" applyFont="1"/>
    <xf numFmtId="0" fontId="35" fillId="0" borderId="0" xfId="0" applyFont="1"/>
    <xf numFmtId="3" fontId="0" fillId="0" borderId="0" xfId="2" applyNumberFormat="1" applyFont="1"/>
    <xf numFmtId="0" fontId="3" fillId="8" borderId="38" xfId="0" applyFont="1" applyFill="1" applyBorder="1"/>
    <xf numFmtId="3" fontId="3" fillId="8" borderId="38" xfId="0" applyNumberFormat="1" applyFont="1" applyFill="1" applyBorder="1"/>
    <xf numFmtId="0" fontId="3" fillId="12" borderId="21" xfId="0" applyFont="1" applyFill="1" applyBorder="1"/>
    <xf numFmtId="3" fontId="3" fillId="12" borderId="21" xfId="0" applyNumberFormat="1" applyFont="1" applyFill="1" applyBorder="1"/>
    <xf numFmtId="0" fontId="3" fillId="12" borderId="0" xfId="0" applyFont="1" applyFill="1"/>
    <xf numFmtId="10" fontId="3" fillId="12" borderId="0" xfId="2" applyNumberFormat="1" applyFont="1" applyFill="1"/>
    <xf numFmtId="0" fontId="3" fillId="11" borderId="5" xfId="0" applyFont="1" applyFill="1" applyBorder="1"/>
    <xf numFmtId="10" fontId="3" fillId="11" borderId="5" xfId="2" applyNumberFormat="1" applyFont="1" applyFill="1" applyBorder="1"/>
    <xf numFmtId="0" fontId="39" fillId="0" borderId="0" xfId="0" applyFont="1"/>
    <xf numFmtId="2" fontId="0" fillId="0" borderId="0" xfId="2" applyNumberFormat="1" applyFont="1"/>
    <xf numFmtId="0" fontId="0" fillId="0" borderId="49" xfId="0" applyBorder="1"/>
    <xf numFmtId="3" fontId="0" fillId="0" borderId="49" xfId="0" applyNumberFormat="1" applyBorder="1"/>
    <xf numFmtId="3" fontId="0" fillId="0" borderId="50" xfId="0" applyNumberFormat="1" applyBorder="1"/>
    <xf numFmtId="4" fontId="0" fillId="0" borderId="5" xfId="0" applyNumberFormat="1" applyBorder="1"/>
    <xf numFmtId="3" fontId="0" fillId="2" borderId="79" xfId="0" applyNumberFormat="1" applyFill="1" applyBorder="1"/>
    <xf numFmtId="4" fontId="0" fillId="2" borderId="79" xfId="0" applyNumberFormat="1" applyFill="1" applyBorder="1"/>
    <xf numFmtId="0" fontId="3" fillId="0" borderId="21" xfId="0" applyFont="1" applyBorder="1" applyAlignment="1">
      <alignment horizontal="center"/>
    </xf>
    <xf numFmtId="179" fontId="0" fillId="0" borderId="0" xfId="0" applyNumberFormat="1"/>
    <xf numFmtId="168" fontId="0" fillId="0" borderId="68" xfId="2" applyNumberFormat="1" applyFont="1" applyBorder="1"/>
    <xf numFmtId="2" fontId="0" fillId="0" borderId="0" xfId="0" applyNumberFormat="1"/>
    <xf numFmtId="168" fontId="0" fillId="0" borderId="50" xfId="2" applyNumberFormat="1" applyFont="1" applyBorder="1"/>
    <xf numFmtId="10" fontId="0" fillId="0" borderId="38" xfId="2" applyNumberFormat="1" applyFont="1" applyBorder="1"/>
    <xf numFmtId="3" fontId="0" fillId="0" borderId="50" xfId="2" applyNumberFormat="1" applyFont="1" applyBorder="1"/>
    <xf numFmtId="170" fontId="0" fillId="0" borderId="5" xfId="0" applyNumberFormat="1" applyBorder="1"/>
    <xf numFmtId="168" fontId="0" fillId="0" borderId="38" xfId="2" applyNumberFormat="1" applyFont="1" applyBorder="1"/>
    <xf numFmtId="168" fontId="0" fillId="0" borderId="5" xfId="2" applyNumberFormat="1" applyFont="1" applyBorder="1"/>
    <xf numFmtId="168" fontId="0" fillId="0" borderId="4" xfId="2" applyNumberFormat="1" applyFont="1" applyBorder="1"/>
    <xf numFmtId="192" fontId="0" fillId="0" borderId="0" xfId="0" applyNumberFormat="1"/>
    <xf numFmtId="10" fontId="35" fillId="0" borderId="49" xfId="2" applyNumberFormat="1" applyFont="1" applyBorder="1"/>
    <xf numFmtId="3" fontId="20" fillId="0" borderId="0" xfId="0" quotePrefix="1" applyNumberFormat="1" applyFont="1"/>
    <xf numFmtId="10" fontId="6" fillId="7" borderId="2" xfId="2" applyNumberFormat="1" applyFont="1" applyFill="1" applyBorder="1" applyAlignment="1" applyProtection="1">
      <alignment horizontal="center" vertical="center"/>
      <protection locked="0"/>
    </xf>
    <xf numFmtId="0" fontId="35" fillId="0" borderId="49" xfId="0" applyFont="1" applyBorder="1"/>
    <xf numFmtId="0" fontId="3" fillId="0" borderId="0" xfId="0" applyFont="1" applyAlignment="1">
      <alignment horizontal="center"/>
    </xf>
    <xf numFmtId="168" fontId="6" fillId="7" borderId="2" xfId="2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41" xfId="0" applyBorder="1" applyAlignment="1" applyProtection="1">
      <alignment vertical="center"/>
      <protection locked="0"/>
    </xf>
    <xf numFmtId="0" fontId="0" fillId="0" borderId="42" xfId="0" applyBorder="1" applyAlignment="1" applyProtection="1">
      <alignment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0" fontId="0" fillId="0" borderId="43" xfId="0" applyBorder="1" applyAlignment="1" applyProtection="1">
      <alignment vertical="center"/>
      <protection locked="0"/>
    </xf>
    <xf numFmtId="0" fontId="0" fillId="0" borderId="44" xfId="0" applyBorder="1" applyAlignment="1" applyProtection="1">
      <alignment vertical="center"/>
      <protection locked="0"/>
    </xf>
    <xf numFmtId="0" fontId="0" fillId="0" borderId="45" xfId="0" applyBorder="1" applyAlignment="1" applyProtection="1">
      <alignment vertical="center"/>
      <protection locked="0"/>
    </xf>
    <xf numFmtId="0" fontId="35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right" vertical="center" indent="1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0" fillId="0" borderId="51" xfId="0" applyBorder="1" applyAlignment="1" applyProtection="1">
      <alignment vertical="center"/>
      <protection locked="0"/>
    </xf>
    <xf numFmtId="0" fontId="0" fillId="0" borderId="51" xfId="0" applyBorder="1" applyAlignment="1" applyProtection="1">
      <alignment horizontal="center" vertical="center"/>
      <protection locked="0"/>
    </xf>
    <xf numFmtId="173" fontId="38" fillId="0" borderId="0" xfId="0" applyNumberFormat="1" applyFont="1" applyAlignment="1" applyProtection="1">
      <alignment horizontal="center" vertical="center"/>
      <protection locked="0"/>
    </xf>
    <xf numFmtId="185" fontId="38" fillId="0" borderId="0" xfId="0" applyNumberFormat="1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46" borderId="41" xfId="0" applyFill="1" applyBorder="1" applyAlignment="1" applyProtection="1">
      <alignment vertical="center"/>
      <protection locked="0"/>
    </xf>
    <xf numFmtId="0" fontId="34" fillId="46" borderId="42" xfId="0" applyFont="1" applyFill="1" applyBorder="1" applyAlignment="1" applyProtection="1">
      <alignment vertical="center"/>
      <protection locked="0"/>
    </xf>
    <xf numFmtId="0" fontId="34" fillId="46" borderId="42" xfId="0" applyFont="1" applyFill="1" applyBorder="1" applyAlignment="1" applyProtection="1">
      <alignment horizontal="center" vertical="center"/>
      <protection locked="0"/>
    </xf>
    <xf numFmtId="0" fontId="0" fillId="46" borderId="42" xfId="0" applyFill="1" applyBorder="1" applyAlignment="1" applyProtection="1">
      <alignment vertical="center"/>
      <protection locked="0"/>
    </xf>
    <xf numFmtId="0" fontId="0" fillId="46" borderId="43" xfId="0" applyFill="1" applyBorder="1" applyAlignment="1" applyProtection="1">
      <alignment vertical="center"/>
      <protection locked="0"/>
    </xf>
    <xf numFmtId="0" fontId="0" fillId="46" borderId="44" xfId="0" applyFill="1" applyBorder="1" applyAlignment="1" applyProtection="1">
      <alignment vertical="center"/>
      <protection locked="0"/>
    </xf>
    <xf numFmtId="0" fontId="0" fillId="46" borderId="45" xfId="0" applyFill="1" applyBorder="1" applyAlignment="1" applyProtection="1">
      <alignment vertical="center"/>
      <protection locked="0"/>
    </xf>
    <xf numFmtId="0" fontId="0" fillId="46" borderId="0" xfId="0" applyFill="1" applyAlignment="1" applyProtection="1">
      <alignment vertical="center"/>
      <protection locked="0"/>
    </xf>
    <xf numFmtId="0" fontId="0" fillId="46" borderId="0" xfId="0" applyFill="1" applyAlignment="1" applyProtection="1">
      <alignment horizontal="center" vertical="center"/>
      <protection locked="0"/>
    </xf>
    <xf numFmtId="0" fontId="6" fillId="46" borderId="0" xfId="0" applyFont="1" applyFill="1" applyAlignment="1" applyProtection="1">
      <alignment horizontal="center" vertical="center"/>
      <protection locked="0"/>
    </xf>
    <xf numFmtId="0" fontId="6" fillId="46" borderId="0" xfId="0" applyFont="1" applyFill="1" applyAlignment="1" applyProtection="1">
      <alignment vertical="center"/>
      <protection locked="0"/>
    </xf>
    <xf numFmtId="0" fontId="34" fillId="46" borderId="0" xfId="0" applyFont="1" applyFill="1" applyAlignment="1" applyProtection="1">
      <alignment vertical="center"/>
      <protection locked="0"/>
    </xf>
    <xf numFmtId="0" fontId="34" fillId="46" borderId="0" xfId="0" applyFont="1" applyFill="1" applyAlignment="1" applyProtection="1">
      <alignment horizontal="center" vertical="center"/>
      <protection locked="0"/>
    </xf>
    <xf numFmtId="0" fontId="2" fillId="46" borderId="0" xfId="0" applyFont="1" applyFill="1" applyAlignment="1" applyProtection="1">
      <alignment vertical="center"/>
      <protection locked="0"/>
    </xf>
    <xf numFmtId="0" fontId="26" fillId="46" borderId="0" xfId="0" applyFont="1" applyFill="1" applyAlignment="1" applyProtection="1">
      <alignment vertical="center"/>
      <protection locked="0"/>
    </xf>
    <xf numFmtId="0" fontId="27" fillId="46" borderId="0" xfId="0" applyFont="1" applyFill="1" applyAlignment="1" applyProtection="1">
      <alignment vertical="center"/>
      <protection locked="0"/>
    </xf>
    <xf numFmtId="3" fontId="0" fillId="46" borderId="0" xfId="0" applyNumberFormat="1" applyFill="1" applyAlignment="1" applyProtection="1">
      <alignment vertical="center"/>
      <protection locked="0"/>
    </xf>
    <xf numFmtId="0" fontId="0" fillId="46" borderId="46" xfId="0" applyFill="1" applyBorder="1" applyAlignment="1" applyProtection="1">
      <alignment vertical="center"/>
      <protection locked="0"/>
    </xf>
    <xf numFmtId="0" fontId="0" fillId="46" borderId="47" xfId="0" applyFill="1" applyBorder="1" applyAlignment="1" applyProtection="1">
      <alignment vertical="center"/>
      <protection locked="0"/>
    </xf>
    <xf numFmtId="0" fontId="0" fillId="46" borderId="47" xfId="0" applyFill="1" applyBorder="1" applyAlignment="1" applyProtection="1">
      <alignment horizontal="center" vertical="center"/>
      <protection locked="0"/>
    </xf>
    <xf numFmtId="0" fontId="2" fillId="46" borderId="47" xfId="0" applyFont="1" applyFill="1" applyBorder="1" applyAlignment="1" applyProtection="1">
      <alignment vertical="center"/>
      <protection locked="0"/>
    </xf>
    <xf numFmtId="0" fontId="0" fillId="46" borderId="48" xfId="0" applyFill="1" applyBorder="1" applyAlignment="1" applyProtection="1">
      <alignment vertical="center"/>
      <protection locked="0"/>
    </xf>
    <xf numFmtId="0" fontId="27" fillId="0" borderId="0" xfId="3" applyFont="1" applyAlignment="1" applyProtection="1">
      <alignment vertical="center"/>
      <protection locked="0"/>
    </xf>
    <xf numFmtId="0" fontId="4" fillId="0" borderId="0" xfId="3" applyProtection="1">
      <protection locked="0"/>
    </xf>
    <xf numFmtId="0" fontId="6" fillId="0" borderId="0" xfId="3" applyFont="1" applyAlignment="1" applyProtection="1">
      <alignment horizontal="center" vertical="center"/>
      <protection locked="0"/>
    </xf>
    <xf numFmtId="0" fontId="4" fillId="0" borderId="0" xfId="3" applyAlignment="1" applyProtection="1">
      <alignment horizontal="center"/>
      <protection locked="0"/>
    </xf>
    <xf numFmtId="0" fontId="54" fillId="0" borderId="0" xfId="3" applyFont="1" applyAlignment="1" applyProtection="1">
      <alignment horizontal="center" vertical="center"/>
      <protection locked="0"/>
    </xf>
    <xf numFmtId="0" fontId="55" fillId="0" borderId="0" xfId="3" applyFont="1" applyAlignment="1" applyProtection="1">
      <alignment horizontal="center"/>
      <protection locked="0"/>
    </xf>
    <xf numFmtId="0" fontId="57" fillId="0" borderId="0" xfId="3" applyFont="1" applyAlignment="1" applyProtection="1">
      <alignment horizontal="center"/>
      <protection locked="0"/>
    </xf>
    <xf numFmtId="0" fontId="5" fillId="0" borderId="0" xfId="3" applyFont="1" applyProtection="1">
      <protection locked="0"/>
    </xf>
    <xf numFmtId="0" fontId="4" fillId="0" borderId="0" xfId="3" applyAlignment="1" applyProtection="1">
      <alignment horizontal="right"/>
      <protection locked="0"/>
    </xf>
    <xf numFmtId="0" fontId="12" fillId="4" borderId="2" xfId="3" applyFont="1" applyFill="1" applyBorder="1" applyProtection="1">
      <protection locked="0"/>
    </xf>
    <xf numFmtId="0" fontId="5" fillId="0" borderId="0" xfId="3" applyFont="1" applyAlignment="1" applyProtection="1">
      <alignment horizontal="center"/>
      <protection locked="0" hidden="1"/>
    </xf>
    <xf numFmtId="0" fontId="4" fillId="3" borderId="2" xfId="3" applyFill="1" applyBorder="1" applyProtection="1">
      <protection locked="0"/>
    </xf>
    <xf numFmtId="173" fontId="4" fillId="3" borderId="2" xfId="3" applyNumberFormat="1" applyFill="1" applyBorder="1" applyAlignment="1" applyProtection="1">
      <alignment horizontal="center"/>
      <protection locked="0"/>
    </xf>
    <xf numFmtId="3" fontId="5" fillId="0" borderId="0" xfId="9" applyNumberFormat="1" applyFont="1" applyAlignment="1" applyProtection="1">
      <alignment horizontal="center"/>
      <protection locked="0" hidden="1"/>
    </xf>
    <xf numFmtId="164" fontId="4" fillId="0" borderId="0" xfId="3" applyNumberFormat="1" applyProtection="1">
      <protection locked="0"/>
    </xf>
    <xf numFmtId="0" fontId="4" fillId="3" borderId="2" xfId="3" applyFill="1" applyBorder="1" applyAlignment="1" applyProtection="1">
      <alignment wrapText="1"/>
      <protection locked="0"/>
    </xf>
    <xf numFmtId="0" fontId="4" fillId="3" borderId="2" xfId="3" applyFill="1" applyBorder="1" applyAlignment="1" applyProtection="1">
      <alignment vertical="center"/>
      <protection locked="0"/>
    </xf>
    <xf numFmtId="173" fontId="4" fillId="3" borderId="2" xfId="3" applyNumberFormat="1" applyFill="1" applyBorder="1" applyAlignment="1" applyProtection="1">
      <alignment horizontal="center" vertical="center"/>
      <protection locked="0"/>
    </xf>
    <xf numFmtId="3" fontId="5" fillId="0" borderId="0" xfId="3" applyNumberFormat="1" applyFont="1" applyAlignment="1" applyProtection="1">
      <alignment horizontal="center"/>
      <protection locked="0" hidden="1"/>
    </xf>
    <xf numFmtId="173" fontId="4" fillId="0" borderId="0" xfId="3" applyNumberFormat="1" applyAlignment="1" applyProtection="1">
      <alignment horizontal="center"/>
      <protection locked="0"/>
    </xf>
    <xf numFmtId="3" fontId="4" fillId="0" borderId="0" xfId="3" applyNumberFormat="1" applyProtection="1">
      <protection locked="0"/>
    </xf>
    <xf numFmtId="3" fontId="4" fillId="0" borderId="23" xfId="3" applyNumberFormat="1" applyBorder="1" applyProtection="1">
      <protection locked="0"/>
    </xf>
    <xf numFmtId="3" fontId="4" fillId="0" borderId="24" xfId="3" applyNumberFormat="1" applyBorder="1" applyProtection="1">
      <protection locked="0"/>
    </xf>
    <xf numFmtId="4" fontId="4" fillId="0" borderId="25" xfId="3" applyNumberFormat="1" applyBorder="1" applyAlignment="1" applyProtection="1">
      <alignment horizontal="left"/>
      <protection locked="0"/>
    </xf>
    <xf numFmtId="4" fontId="4" fillId="0" borderId="26" xfId="3" applyNumberFormat="1" applyBorder="1" applyProtection="1">
      <protection locked="0"/>
    </xf>
    <xf numFmtId="3" fontId="5" fillId="2" borderId="25" xfId="3" applyNumberFormat="1" applyFont="1" applyFill="1" applyBorder="1" applyProtection="1">
      <protection locked="0"/>
    </xf>
    <xf numFmtId="3" fontId="4" fillId="2" borderId="27" xfId="3" applyNumberFormat="1" applyFill="1" applyBorder="1" applyAlignment="1" applyProtection="1">
      <alignment horizontal="right"/>
      <protection locked="0"/>
    </xf>
    <xf numFmtId="3" fontId="4" fillId="2" borderId="5" xfId="3" applyNumberFormat="1" applyFill="1" applyBorder="1" applyProtection="1">
      <protection locked="0"/>
    </xf>
    <xf numFmtId="0" fontId="4" fillId="2" borderId="5" xfId="3" applyFill="1" applyBorder="1" applyProtection="1">
      <protection locked="0"/>
    </xf>
    <xf numFmtId="0" fontId="4" fillId="2" borderId="26" xfId="3" applyFill="1" applyBorder="1" applyProtection="1">
      <protection locked="0"/>
    </xf>
    <xf numFmtId="3" fontId="4" fillId="0" borderId="0" xfId="3" applyNumberFormat="1" applyAlignment="1" applyProtection="1">
      <alignment horizontal="right"/>
      <protection locked="0"/>
    </xf>
    <xf numFmtId="4" fontId="4" fillId="0" borderId="73" xfId="3" applyNumberFormat="1" applyBorder="1" applyProtection="1">
      <protection locked="0"/>
    </xf>
    <xf numFmtId="3" fontId="5" fillId="0" borderId="74" xfId="3" applyNumberFormat="1" applyFont="1" applyBorder="1" applyProtection="1">
      <protection locked="0"/>
    </xf>
    <xf numFmtId="4" fontId="4" fillId="0" borderId="23" xfId="3" applyNumberFormat="1" applyBorder="1" applyAlignment="1" applyProtection="1">
      <alignment horizontal="left"/>
      <protection locked="0"/>
    </xf>
    <xf numFmtId="4" fontId="4" fillId="0" borderId="78" xfId="3" applyNumberFormat="1" applyBorder="1" applyAlignment="1" applyProtection="1">
      <alignment horizontal="left"/>
      <protection locked="0"/>
    </xf>
    <xf numFmtId="4" fontId="4" fillId="0" borderId="69" xfId="3" applyNumberFormat="1" applyBorder="1" applyAlignment="1" applyProtection="1">
      <alignment horizontal="left"/>
      <protection locked="0"/>
    </xf>
    <xf numFmtId="3" fontId="5" fillId="0" borderId="24" xfId="3" applyNumberFormat="1" applyFont="1" applyBorder="1" applyProtection="1">
      <protection locked="0"/>
    </xf>
    <xf numFmtId="3" fontId="32" fillId="0" borderId="73" xfId="3" applyNumberFormat="1" applyFont="1" applyBorder="1" applyProtection="1">
      <protection locked="0"/>
    </xf>
    <xf numFmtId="3" fontId="32" fillId="0" borderId="74" xfId="3" applyNumberFormat="1" applyFont="1" applyBorder="1" applyProtection="1">
      <protection locked="0"/>
    </xf>
    <xf numFmtId="3" fontId="32" fillId="0" borderId="36" xfId="3" applyNumberFormat="1" applyFont="1" applyBorder="1" applyProtection="1">
      <protection locked="0"/>
    </xf>
    <xf numFmtId="3" fontId="33" fillId="0" borderId="24" xfId="3" applyNumberFormat="1" applyFont="1" applyBorder="1" applyProtection="1">
      <protection locked="0"/>
    </xf>
    <xf numFmtId="4" fontId="4" fillId="0" borderId="71" xfId="3" applyNumberFormat="1" applyBorder="1" applyAlignment="1" applyProtection="1">
      <alignment horizontal="left"/>
      <protection locked="0"/>
    </xf>
    <xf numFmtId="3" fontId="4" fillId="0" borderId="69" xfId="3" applyNumberFormat="1" applyBorder="1" applyProtection="1">
      <protection locked="0"/>
    </xf>
    <xf numFmtId="3" fontId="4" fillId="0" borderId="28" xfId="3" applyNumberFormat="1" applyBorder="1" applyAlignment="1" applyProtection="1">
      <alignment horizontal="right"/>
      <protection locked="0"/>
    </xf>
    <xf numFmtId="3" fontId="32" fillId="0" borderId="75" xfId="3" applyNumberFormat="1" applyFont="1" applyBorder="1" applyProtection="1">
      <protection locked="0"/>
    </xf>
    <xf numFmtId="3" fontId="33" fillId="0" borderId="76" xfId="3" applyNumberFormat="1" applyFont="1" applyBorder="1" applyProtection="1">
      <protection locked="0"/>
    </xf>
    <xf numFmtId="4" fontId="5" fillId="0" borderId="0" xfId="3" applyNumberFormat="1" applyFont="1" applyProtection="1">
      <protection locked="0"/>
    </xf>
    <xf numFmtId="4" fontId="4" fillId="0" borderId="0" xfId="3" applyNumberFormat="1" applyProtection="1">
      <protection locked="0"/>
    </xf>
    <xf numFmtId="3" fontId="4" fillId="0" borderId="25" xfId="3" applyNumberFormat="1" applyBorder="1" applyProtection="1">
      <protection locked="0"/>
    </xf>
    <xf numFmtId="3" fontId="4" fillId="0" borderId="5" xfId="3" applyNumberFormat="1" applyBorder="1" applyProtection="1">
      <protection locked="0"/>
    </xf>
    <xf numFmtId="3" fontId="4" fillId="0" borderId="26" xfId="3" applyNumberFormat="1" applyBorder="1" applyProtection="1">
      <protection locked="0"/>
    </xf>
    <xf numFmtId="170" fontId="4" fillId="0" borderId="23" xfId="3" applyNumberFormat="1" applyBorder="1" applyAlignment="1" applyProtection="1">
      <alignment horizontal="left"/>
      <protection locked="0"/>
    </xf>
    <xf numFmtId="170" fontId="4" fillId="0" borderId="0" xfId="3" applyNumberFormat="1" applyAlignment="1" applyProtection="1">
      <alignment horizontal="left"/>
      <protection locked="0"/>
    </xf>
    <xf numFmtId="3" fontId="15" fillId="0" borderId="23" xfId="3" applyNumberFormat="1" applyFont="1" applyBorder="1" applyAlignment="1" applyProtection="1">
      <alignment horizontal="left" indent="1"/>
      <protection locked="0"/>
    </xf>
    <xf numFmtId="168" fontId="15" fillId="0" borderId="0" xfId="493" applyNumberFormat="1" applyFont="1" applyProtection="1">
      <protection locked="0"/>
    </xf>
    <xf numFmtId="3" fontId="5" fillId="0" borderId="0" xfId="3" applyNumberFormat="1" applyFont="1" applyProtection="1">
      <protection locked="0"/>
    </xf>
    <xf numFmtId="3" fontId="4" fillId="0" borderId="0" xfId="3" applyNumberFormat="1" applyAlignment="1" applyProtection="1">
      <alignment horizontal="left" indent="1"/>
      <protection locked="0"/>
    </xf>
    <xf numFmtId="170" fontId="15" fillId="0" borderId="69" xfId="3" applyNumberFormat="1" applyFont="1" applyBorder="1" applyAlignment="1" applyProtection="1">
      <alignment horizontal="left" indent="2"/>
      <protection locked="0"/>
    </xf>
    <xf numFmtId="3" fontId="4" fillId="0" borderId="36" xfId="3" applyNumberFormat="1" applyBorder="1" applyProtection="1">
      <protection locked="0"/>
    </xf>
    <xf numFmtId="3" fontId="4" fillId="0" borderId="71" xfId="3" applyNumberFormat="1" applyBorder="1" applyProtection="1">
      <protection locked="0"/>
    </xf>
    <xf numFmtId="168" fontId="4" fillId="0" borderId="0" xfId="507" applyNumberFormat="1" applyProtection="1">
      <protection locked="0"/>
    </xf>
    <xf numFmtId="9" fontId="15" fillId="0" borderId="0" xfId="493" applyFont="1" applyProtection="1">
      <protection locked="0"/>
    </xf>
    <xf numFmtId="170" fontId="15" fillId="0" borderId="0" xfId="3" applyNumberFormat="1" applyFont="1" applyAlignment="1" applyProtection="1">
      <alignment horizontal="left" indent="2"/>
      <protection locked="0"/>
    </xf>
    <xf numFmtId="168" fontId="15" fillId="0" borderId="28" xfId="493" applyNumberFormat="1" applyFont="1" applyBorder="1" applyAlignment="1" applyProtection="1">
      <alignment horizontal="right"/>
      <protection locked="0"/>
    </xf>
    <xf numFmtId="3" fontId="4" fillId="0" borderId="27" xfId="3" applyNumberFormat="1" applyBorder="1" applyProtection="1">
      <protection locked="0"/>
    </xf>
    <xf numFmtId="4" fontId="4" fillId="0" borderId="5" xfId="3" applyNumberFormat="1" applyBorder="1" applyProtection="1">
      <protection locked="0"/>
    </xf>
    <xf numFmtId="3" fontId="5" fillId="2" borderId="29" xfId="3" applyNumberFormat="1" applyFont="1" applyFill="1" applyBorder="1" applyProtection="1">
      <protection locked="0"/>
    </xf>
    <xf numFmtId="3" fontId="5" fillId="2" borderId="4" xfId="3" applyNumberFormat="1" applyFont="1" applyFill="1" applyBorder="1" applyProtection="1">
      <protection locked="0"/>
    </xf>
    <xf numFmtId="3" fontId="5" fillId="2" borderId="1" xfId="3" applyNumberFormat="1" applyFont="1" applyFill="1" applyBorder="1" applyProtection="1">
      <protection locked="0"/>
    </xf>
    <xf numFmtId="3" fontId="5" fillId="2" borderId="30" xfId="3" applyNumberFormat="1" applyFont="1" applyFill="1" applyBorder="1" applyProtection="1">
      <protection locked="0"/>
    </xf>
    <xf numFmtId="3" fontId="4" fillId="0" borderId="31" xfId="3" applyNumberFormat="1" applyBorder="1" applyProtection="1">
      <protection locked="0"/>
    </xf>
    <xf numFmtId="10" fontId="4" fillId="0" borderId="0" xfId="493" applyNumberFormat="1" applyProtection="1">
      <protection locked="0"/>
    </xf>
    <xf numFmtId="168" fontId="5" fillId="0" borderId="0" xfId="507" applyNumberFormat="1" applyFont="1" applyProtection="1">
      <protection locked="0"/>
    </xf>
    <xf numFmtId="168" fontId="5" fillId="0" borderId="24" xfId="507" applyNumberFormat="1" applyFont="1" applyBorder="1" applyProtection="1">
      <protection locked="0"/>
    </xf>
    <xf numFmtId="10" fontId="4" fillId="0" borderId="24" xfId="493" applyNumberFormat="1" applyBorder="1" applyProtection="1">
      <protection locked="0"/>
    </xf>
    <xf numFmtId="3" fontId="5" fillId="0" borderId="0" xfId="58" applyNumberFormat="1" applyFont="1" applyAlignment="1" applyProtection="1">
      <alignment horizontal="left"/>
      <protection locked="0"/>
    </xf>
    <xf numFmtId="10" fontId="5" fillId="0" borderId="0" xfId="507" applyNumberFormat="1" applyFont="1" applyProtection="1">
      <protection locked="0"/>
    </xf>
    <xf numFmtId="4" fontId="4" fillId="0" borderId="23" xfId="3" applyNumberFormat="1" applyBorder="1" applyProtection="1">
      <protection locked="0"/>
    </xf>
    <xf numFmtId="4" fontId="4" fillId="0" borderId="25" xfId="3" applyNumberFormat="1" applyBorder="1" applyProtection="1">
      <protection locked="0"/>
    </xf>
    <xf numFmtId="4" fontId="4" fillId="0" borderId="27" xfId="3" applyNumberFormat="1" applyBorder="1" applyProtection="1">
      <protection locked="0"/>
    </xf>
    <xf numFmtId="4" fontId="4" fillId="0" borderId="5" xfId="3" applyNumberFormat="1" applyBorder="1" applyAlignment="1" applyProtection="1">
      <alignment horizontal="left" indent="1"/>
      <protection locked="0"/>
    </xf>
    <xf numFmtId="4" fontId="4" fillId="0" borderId="24" xfId="3" applyNumberFormat="1" applyBorder="1" applyProtection="1">
      <protection locked="0"/>
    </xf>
    <xf numFmtId="4" fontId="4" fillId="0" borderId="0" xfId="6" applyNumberFormat="1" applyAlignment="1" applyProtection="1">
      <alignment horizontal="center"/>
      <protection locked="0"/>
    </xf>
    <xf numFmtId="4" fontId="5" fillId="0" borderId="0" xfId="58" applyNumberFormat="1" applyFont="1" applyAlignment="1" applyProtection="1">
      <alignment horizontal="centerContinuous"/>
      <protection locked="0"/>
    </xf>
    <xf numFmtId="4" fontId="4" fillId="0" borderId="0" xfId="58" applyNumberFormat="1" applyAlignment="1" applyProtection="1">
      <alignment horizontal="centerContinuous"/>
      <protection locked="0"/>
    </xf>
    <xf numFmtId="4" fontId="4" fillId="0" borderId="0" xfId="6" applyNumberFormat="1" applyProtection="1">
      <protection locked="0"/>
    </xf>
    <xf numFmtId="4" fontId="4" fillId="0" borderId="5" xfId="6" applyNumberFormat="1" applyBorder="1" applyAlignment="1" applyProtection="1">
      <alignment horizontal="center"/>
      <protection locked="0"/>
    </xf>
    <xf numFmtId="3" fontId="4" fillId="0" borderId="0" xfId="6" applyNumberFormat="1" applyAlignment="1" applyProtection="1">
      <alignment horizontal="center"/>
      <protection locked="0"/>
    </xf>
    <xf numFmtId="4" fontId="4" fillId="0" borderId="32" xfId="3" applyNumberFormat="1" applyBorder="1" applyProtection="1">
      <protection locked="0"/>
    </xf>
    <xf numFmtId="4" fontId="4" fillId="0" borderId="6" xfId="6" applyNumberFormat="1" applyBorder="1" applyProtection="1">
      <protection locked="0"/>
    </xf>
    <xf numFmtId="4" fontId="5" fillId="0" borderId="6" xfId="6" applyNumberFormat="1" applyFont="1" applyBorder="1" applyAlignment="1" applyProtection="1">
      <alignment horizontal="center"/>
      <protection locked="0"/>
    </xf>
    <xf numFmtId="4" fontId="4" fillId="0" borderId="33" xfId="3" applyNumberFormat="1" applyBorder="1" applyProtection="1">
      <protection locked="0"/>
    </xf>
    <xf numFmtId="0" fontId="17" fillId="0" borderId="0" xfId="0" applyFont="1" applyProtection="1">
      <protection locked="0"/>
    </xf>
    <xf numFmtId="3" fontId="4" fillId="3" borderId="2" xfId="6" applyNumberFormat="1" applyFill="1" applyBorder="1" applyAlignment="1" applyProtection="1">
      <alignment horizontal="center"/>
      <protection locked="0"/>
    </xf>
    <xf numFmtId="0" fontId="23" fillId="0" borderId="0" xfId="0" applyFont="1" applyProtection="1">
      <protection locked="0"/>
    </xf>
    <xf numFmtId="3" fontId="14" fillId="4" borderId="34" xfId="6" applyNumberFormat="1" applyFont="1" applyFill="1" applyBorder="1" applyProtection="1">
      <protection locked="0"/>
    </xf>
    <xf numFmtId="3" fontId="17" fillId="0" borderId="0" xfId="0" applyNumberFormat="1" applyFont="1" applyProtection="1">
      <protection locked="0"/>
    </xf>
    <xf numFmtId="3" fontId="17" fillId="0" borderId="0" xfId="0" applyNumberFormat="1" applyFont="1" applyAlignment="1" applyProtection="1">
      <alignment horizontal="right"/>
      <protection locked="0"/>
    </xf>
    <xf numFmtId="3" fontId="4" fillId="0" borderId="0" xfId="4" applyNumberFormat="1" applyProtection="1">
      <protection locked="0"/>
    </xf>
    <xf numFmtId="3" fontId="4" fillId="0" borderId="0" xfId="0" applyNumberFormat="1" applyFont="1" applyProtection="1">
      <protection locked="0"/>
    </xf>
    <xf numFmtId="3" fontId="31" fillId="0" borderId="0" xfId="0" applyNumberFormat="1" applyFont="1" applyAlignment="1" applyProtection="1">
      <alignment horizontal="left"/>
      <protection locked="0"/>
    </xf>
    <xf numFmtId="3" fontId="5" fillId="0" borderId="0" xfId="0" applyNumberFormat="1" applyFont="1" applyAlignment="1" applyProtection="1">
      <alignment horizontal="right"/>
      <protection locked="0"/>
    </xf>
    <xf numFmtId="3" fontId="5" fillId="0" borderId="0" xfId="4" applyNumberFormat="1" applyFont="1" applyProtection="1">
      <protection locked="0"/>
    </xf>
    <xf numFmtId="3" fontId="5" fillId="0" borderId="0" xfId="0" applyNumberFormat="1" applyFont="1" applyProtection="1">
      <protection locked="0"/>
    </xf>
    <xf numFmtId="0" fontId="31" fillId="0" borderId="0" xfId="0" applyFont="1" applyProtection="1">
      <protection locked="0"/>
    </xf>
    <xf numFmtId="183" fontId="17" fillId="0" borderId="0" xfId="2" applyNumberFormat="1" applyFont="1" applyAlignment="1" applyProtection="1">
      <alignment horizontal="right"/>
      <protection locked="0"/>
    </xf>
    <xf numFmtId="3" fontId="0" fillId="47" borderId="0" xfId="0" applyNumberFormat="1" applyFill="1" applyProtection="1"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/>
    </xf>
    <xf numFmtId="3" fontId="28" fillId="4" borderId="2" xfId="0" applyNumberFormat="1" applyFont="1" applyFill="1" applyBorder="1" applyAlignment="1">
      <alignment horizontal="center" vertical="center"/>
    </xf>
    <xf numFmtId="168" fontId="28" fillId="4" borderId="2" xfId="2" applyNumberFormat="1" applyFont="1" applyFill="1" applyBorder="1" applyAlignment="1">
      <alignment horizontal="center" vertical="center"/>
    </xf>
    <xf numFmtId="177" fontId="28" fillId="4" borderId="2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 indent="3"/>
    </xf>
    <xf numFmtId="0" fontId="3" fillId="0" borderId="0" xfId="0" applyFont="1" applyAlignment="1">
      <alignment horizontal="center" vertical="center"/>
    </xf>
    <xf numFmtId="10" fontId="27" fillId="3" borderId="2" xfId="2" applyNumberFormat="1" applyFont="1" applyFill="1" applyBorder="1" applyAlignment="1">
      <alignment horizontal="center" vertical="center"/>
    </xf>
    <xf numFmtId="10" fontId="21" fillId="10" borderId="2" xfId="2" applyNumberFormat="1" applyFont="1" applyFill="1" applyBorder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6" fillId="46" borderId="0" xfId="0" applyFont="1" applyFill="1" applyAlignment="1">
      <alignment horizontal="right" vertical="center" indent="1"/>
    </xf>
    <xf numFmtId="0" fontId="6" fillId="46" borderId="0" xfId="0" applyFont="1" applyFill="1" applyAlignment="1">
      <alignment horizontal="center" vertical="center"/>
    </xf>
    <xf numFmtId="10" fontId="28" fillId="4" borderId="2" xfId="2" applyNumberFormat="1" applyFont="1" applyFill="1" applyBorder="1" applyAlignment="1">
      <alignment horizontal="center" vertical="center"/>
    </xf>
    <xf numFmtId="0" fontId="6" fillId="46" borderId="0" xfId="0" applyFont="1" applyFill="1" applyAlignment="1">
      <alignment vertical="center"/>
    </xf>
    <xf numFmtId="0" fontId="27" fillId="46" borderId="0" xfId="0" applyFont="1" applyFill="1" applyAlignment="1">
      <alignment horizontal="center" vertical="center"/>
    </xf>
    <xf numFmtId="10" fontId="27" fillId="2" borderId="2" xfId="2" applyNumberFormat="1" applyFont="1" applyFill="1" applyBorder="1" applyAlignment="1">
      <alignment horizontal="center" vertical="center"/>
    </xf>
    <xf numFmtId="10" fontId="27" fillId="3" borderId="16" xfId="2" applyNumberFormat="1" applyFont="1" applyFill="1" applyBorder="1" applyAlignment="1">
      <alignment horizontal="center" vertical="center"/>
    </xf>
    <xf numFmtId="10" fontId="21" fillId="4" borderId="2" xfId="2" applyNumberFormat="1" applyFont="1" applyFill="1" applyBorder="1" applyAlignment="1">
      <alignment horizontal="center" vertical="center"/>
    </xf>
    <xf numFmtId="0" fontId="27" fillId="46" borderId="0" xfId="0" applyFont="1" applyFill="1" applyAlignment="1">
      <alignment horizontal="right" vertical="center" indent="3"/>
    </xf>
    <xf numFmtId="0" fontId="58" fillId="46" borderId="0" xfId="0" applyFont="1" applyFill="1" applyAlignment="1">
      <alignment horizontal="right" vertical="center"/>
    </xf>
    <xf numFmtId="0" fontId="38" fillId="46" borderId="0" xfId="0" applyFont="1" applyFill="1" applyAlignment="1">
      <alignment vertical="center"/>
    </xf>
    <xf numFmtId="10" fontId="38" fillId="46" borderId="0" xfId="2" applyNumberFormat="1" applyFont="1" applyFill="1" applyAlignment="1">
      <alignment vertical="center"/>
    </xf>
    <xf numFmtId="10" fontId="38" fillId="46" borderId="0" xfId="0" applyNumberFormat="1" applyFont="1" applyFill="1" applyAlignment="1">
      <alignment vertical="center"/>
    </xf>
    <xf numFmtId="3" fontId="38" fillId="46" borderId="0" xfId="0" applyNumberFormat="1" applyFont="1" applyFill="1" applyAlignment="1">
      <alignment vertical="center"/>
    </xf>
    <xf numFmtId="3" fontId="6" fillId="7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0" xfId="3" applyFont="1" applyAlignment="1">
      <alignment horizontal="right"/>
    </xf>
    <xf numFmtId="4" fontId="5" fillId="0" borderId="0" xfId="3" applyNumberFormat="1" applyFont="1" applyAlignment="1">
      <alignment horizontal="center"/>
    </xf>
    <xf numFmtId="178" fontId="5" fillId="0" borderId="0" xfId="3" applyNumberFormat="1" applyFont="1" applyAlignment="1">
      <alignment horizontal="left"/>
    </xf>
    <xf numFmtId="0" fontId="5" fillId="0" borderId="0" xfId="3" applyFont="1" applyAlignment="1">
      <alignment horizontal="left"/>
    </xf>
    <xf numFmtId="49" fontId="5" fillId="0" borderId="0" xfId="3" applyNumberFormat="1" applyFont="1"/>
    <xf numFmtId="3" fontId="5" fillId="2" borderId="13" xfId="3" applyNumberFormat="1" applyFont="1" applyFill="1" applyBorder="1"/>
    <xf numFmtId="3" fontId="5" fillId="2" borderId="14" xfId="3" applyNumberFormat="1" applyFont="1" applyFill="1" applyBorder="1"/>
    <xf numFmtId="3" fontId="4" fillId="2" borderId="14" xfId="3" applyNumberFormat="1" applyFill="1" applyBorder="1"/>
    <xf numFmtId="4" fontId="5" fillId="2" borderId="14" xfId="3" applyNumberFormat="1" applyFont="1" applyFill="1" applyBorder="1"/>
    <xf numFmtId="0" fontId="4" fillId="2" borderId="14" xfId="3" applyFill="1" applyBorder="1"/>
    <xf numFmtId="0" fontId="4" fillId="2" borderId="15" xfId="3" applyFill="1" applyBorder="1"/>
    <xf numFmtId="4" fontId="4" fillId="0" borderId="5" xfId="3" applyNumberFormat="1" applyBorder="1" applyAlignment="1">
      <alignment horizontal="left"/>
    </xf>
    <xf numFmtId="3" fontId="5" fillId="2" borderId="5" xfId="3" applyNumberFormat="1" applyFont="1" applyFill="1" applyBorder="1"/>
    <xf numFmtId="3" fontId="4" fillId="2" borderId="27" xfId="3" applyNumberFormat="1" applyFill="1" applyBorder="1" applyAlignment="1">
      <alignment horizontal="right"/>
    </xf>
    <xf numFmtId="3" fontId="4" fillId="2" borderId="5" xfId="3" applyNumberFormat="1" applyFill="1" applyBorder="1"/>
    <xf numFmtId="4" fontId="5" fillId="2" borderId="5" xfId="3" applyNumberFormat="1" applyFont="1" applyFill="1" applyBorder="1"/>
    <xf numFmtId="0" fontId="4" fillId="2" borderId="5" xfId="3" applyFill="1" applyBorder="1"/>
    <xf numFmtId="3" fontId="4" fillId="0" borderId="28" xfId="3" applyNumberFormat="1" applyBorder="1" applyAlignment="1">
      <alignment horizontal="left"/>
    </xf>
    <xf numFmtId="3" fontId="5" fillId="0" borderId="79" xfId="3" applyNumberFormat="1" applyFont="1" applyBorder="1"/>
    <xf numFmtId="4" fontId="5" fillId="0" borderId="80" xfId="3" applyNumberFormat="1" applyFont="1" applyBorder="1" applyAlignment="1">
      <alignment horizontal="right"/>
    </xf>
    <xf numFmtId="4" fontId="4" fillId="0" borderId="49" xfId="3" applyNumberFormat="1" applyBorder="1" applyAlignment="1">
      <alignment horizontal="left"/>
    </xf>
    <xf numFmtId="170" fontId="4" fillId="0" borderId="70" xfId="3" applyNumberFormat="1" applyBorder="1" applyAlignment="1">
      <alignment horizontal="right"/>
    </xf>
    <xf numFmtId="4" fontId="4" fillId="0" borderId="0" xfId="3" applyNumberFormat="1" applyAlignment="1">
      <alignment horizontal="left"/>
    </xf>
    <xf numFmtId="170" fontId="4" fillId="0" borderId="28" xfId="3" applyNumberFormat="1" applyBorder="1" applyAlignment="1">
      <alignment horizontal="right"/>
    </xf>
    <xf numFmtId="4" fontId="4" fillId="0" borderId="28" xfId="3" applyNumberFormat="1" applyBorder="1" applyAlignment="1">
      <alignment horizontal="right"/>
    </xf>
    <xf numFmtId="3" fontId="40" fillId="0" borderId="0" xfId="3" applyNumberFormat="1" applyFont="1" applyAlignment="1">
      <alignment horizontal="left" indent="2"/>
    </xf>
    <xf numFmtId="168" fontId="40" fillId="0" borderId="28" xfId="507" applyNumberFormat="1" applyFont="1" applyBorder="1" applyAlignment="1">
      <alignment horizontal="right"/>
    </xf>
    <xf numFmtId="3" fontId="40" fillId="0" borderId="50" xfId="3" applyNumberFormat="1" applyFont="1" applyBorder="1" applyAlignment="1">
      <alignment horizontal="left" indent="2"/>
    </xf>
    <xf numFmtId="3" fontId="40" fillId="0" borderId="72" xfId="3" applyNumberFormat="1" applyFont="1" applyBorder="1" applyAlignment="1">
      <alignment horizontal="right"/>
    </xf>
    <xf numFmtId="3" fontId="4" fillId="0" borderId="28" xfId="3" applyNumberFormat="1" applyBorder="1" applyAlignment="1">
      <alignment horizontal="right"/>
    </xf>
    <xf numFmtId="3" fontId="4" fillId="0" borderId="49" xfId="3" applyNumberFormat="1" applyBorder="1"/>
    <xf numFmtId="4" fontId="4" fillId="0" borderId="70" xfId="3" applyNumberFormat="1" applyBorder="1" applyAlignment="1">
      <alignment horizontal="right"/>
    </xf>
    <xf numFmtId="4" fontId="40" fillId="0" borderId="28" xfId="3" applyNumberFormat="1" applyFont="1" applyBorder="1" applyAlignment="1">
      <alignment horizontal="right"/>
    </xf>
    <xf numFmtId="3" fontId="4" fillId="0" borderId="0" xfId="3" applyNumberFormat="1" applyAlignment="1">
      <alignment horizontal="left"/>
    </xf>
    <xf numFmtId="4" fontId="4" fillId="0" borderId="49" xfId="3" applyNumberFormat="1" applyBorder="1" applyAlignment="1">
      <alignment horizontal="left" indent="1"/>
    </xf>
    <xf numFmtId="4" fontId="40" fillId="0" borderId="0" xfId="3" applyNumberFormat="1" applyFont="1" applyAlignment="1">
      <alignment horizontal="right"/>
    </xf>
    <xf numFmtId="4" fontId="40" fillId="0" borderId="0" xfId="3" applyNumberFormat="1" applyFont="1"/>
    <xf numFmtId="3" fontId="4" fillId="0" borderId="0" xfId="3" applyNumberFormat="1" applyAlignment="1">
      <alignment horizontal="left" indent="1"/>
    </xf>
    <xf numFmtId="3" fontId="40" fillId="0" borderId="0" xfId="3" applyNumberFormat="1" applyFont="1" applyAlignment="1">
      <alignment horizontal="right"/>
    </xf>
    <xf numFmtId="3" fontId="40" fillId="0" borderId="49" xfId="3" applyNumberFormat="1" applyFont="1" applyBorder="1" applyAlignment="1">
      <alignment horizontal="right"/>
    </xf>
    <xf numFmtId="3" fontId="40" fillId="0" borderId="49" xfId="3" applyNumberFormat="1" applyFont="1" applyBorder="1"/>
    <xf numFmtId="3" fontId="40" fillId="0" borderId="0" xfId="3" applyNumberFormat="1" applyFont="1"/>
    <xf numFmtId="3" fontId="40" fillId="0" borderId="50" xfId="3" applyNumberFormat="1" applyFont="1" applyBorder="1" applyAlignment="1">
      <alignment horizontal="right"/>
    </xf>
    <xf numFmtId="3" fontId="40" fillId="0" borderId="50" xfId="3" applyNumberFormat="1" applyFont="1" applyBorder="1"/>
    <xf numFmtId="3" fontId="5" fillId="0" borderId="0" xfId="3" applyNumberFormat="1" applyFont="1" applyAlignment="1">
      <alignment horizontal="right"/>
    </xf>
    <xf numFmtId="4" fontId="5" fillId="0" borderId="0" xfId="3" applyNumberFormat="1" applyFont="1"/>
    <xf numFmtId="4" fontId="4" fillId="0" borderId="0" xfId="3" applyNumberFormat="1"/>
    <xf numFmtId="3" fontId="4" fillId="0" borderId="0" xfId="3" applyNumberFormat="1" applyAlignment="1">
      <alignment horizontal="right"/>
    </xf>
    <xf numFmtId="170" fontId="4" fillId="0" borderId="0" xfId="3" applyNumberFormat="1" applyAlignment="1">
      <alignment horizontal="left"/>
    </xf>
    <xf numFmtId="3" fontId="40" fillId="0" borderId="0" xfId="3" applyNumberFormat="1" applyFont="1" applyAlignment="1">
      <alignment horizontal="left" indent="1"/>
    </xf>
    <xf numFmtId="170" fontId="4" fillId="0" borderId="49" xfId="3" applyNumberFormat="1" applyBorder="1" applyAlignment="1">
      <alignment horizontal="left"/>
    </xf>
    <xf numFmtId="170" fontId="40" fillId="0" borderId="0" xfId="3" applyNumberFormat="1" applyFont="1" applyAlignment="1">
      <alignment horizontal="left" indent="2"/>
    </xf>
    <xf numFmtId="168" fontId="40" fillId="0" borderId="28" xfId="493" applyNumberFormat="1" applyFont="1" applyBorder="1" applyAlignment="1">
      <alignment horizontal="right"/>
    </xf>
    <xf numFmtId="3" fontId="4" fillId="0" borderId="70" xfId="3" applyNumberFormat="1" applyBorder="1" applyAlignment="1">
      <alignment horizontal="right"/>
    </xf>
    <xf numFmtId="168" fontId="40" fillId="0" borderId="0" xfId="2" applyNumberFormat="1" applyFont="1"/>
    <xf numFmtId="3" fontId="4" fillId="0" borderId="28" xfId="493" applyNumberFormat="1" applyBorder="1" applyAlignment="1">
      <alignment horizontal="right"/>
    </xf>
    <xf numFmtId="4" fontId="4" fillId="0" borderId="0" xfId="3" applyNumberFormat="1" applyAlignment="1">
      <alignment horizontal="left" indent="1"/>
    </xf>
    <xf numFmtId="3" fontId="5" fillId="0" borderId="0" xfId="3" applyNumberFormat="1" applyFont="1"/>
    <xf numFmtId="4" fontId="4" fillId="0" borderId="5" xfId="3" applyNumberFormat="1" applyBorder="1"/>
    <xf numFmtId="3" fontId="5" fillId="2" borderId="4" xfId="3" applyNumberFormat="1" applyFont="1" applyFill="1" applyBorder="1"/>
    <xf numFmtId="3" fontId="31" fillId="0" borderId="0" xfId="3" applyNumberFormat="1" applyFont="1"/>
    <xf numFmtId="10" fontId="4" fillId="0" borderId="28" xfId="2" applyNumberFormat="1" applyFont="1" applyBorder="1"/>
    <xf numFmtId="10" fontId="4" fillId="0" borderId="28" xfId="493" applyNumberFormat="1" applyBorder="1"/>
    <xf numFmtId="10" fontId="31" fillId="0" borderId="28" xfId="2" applyNumberFormat="1" applyFont="1" applyBorder="1"/>
    <xf numFmtId="3" fontId="31" fillId="0" borderId="28" xfId="3" applyNumberFormat="1" applyFont="1" applyBorder="1"/>
    <xf numFmtId="4" fontId="5" fillId="0" borderId="0" xfId="58" applyNumberFormat="1" applyFont="1"/>
    <xf numFmtId="3" fontId="5" fillId="0" borderId="0" xfId="58" applyNumberFormat="1" applyFont="1" applyAlignment="1">
      <alignment horizontal="left"/>
    </xf>
    <xf numFmtId="10" fontId="5" fillId="0" borderId="0" xfId="507" applyNumberFormat="1" applyFont="1"/>
    <xf numFmtId="3" fontId="14" fillId="4" borderId="22" xfId="6" applyNumberFormat="1" applyFont="1" applyFill="1" applyBorder="1" applyAlignment="1">
      <alignment horizontal="center"/>
    </xf>
    <xf numFmtId="0" fontId="14" fillId="4" borderId="22" xfId="6" applyFont="1" applyFill="1" applyBorder="1" applyAlignment="1">
      <alignment horizontal="center"/>
    </xf>
    <xf numFmtId="0" fontId="14" fillId="4" borderId="20" xfId="6" applyFont="1" applyFill="1" applyBorder="1" applyAlignment="1">
      <alignment horizontal="center"/>
    </xf>
    <xf numFmtId="0" fontId="4" fillId="0" borderId="0" xfId="6"/>
    <xf numFmtId="3" fontId="4" fillId="3" borderId="2" xfId="9" applyNumberFormat="1" applyFill="1" applyBorder="1"/>
    <xf numFmtId="3" fontId="4" fillId="3" borderId="2" xfId="6" applyNumberFormat="1" applyFill="1" applyBorder="1" applyAlignment="1">
      <alignment horizontal="center"/>
    </xf>
    <xf numFmtId="186" fontId="4" fillId="3" borderId="12" xfId="9" applyNumberFormat="1" applyFill="1" applyBorder="1" applyAlignment="1">
      <alignment horizontal="right"/>
    </xf>
    <xf numFmtId="3" fontId="14" fillId="4" borderId="35" xfId="6" applyNumberFormat="1" applyFont="1" applyFill="1" applyBorder="1" applyAlignment="1">
      <alignment horizontal="center"/>
    </xf>
    <xf numFmtId="177" fontId="14" fillId="4" borderId="17" xfId="6" applyNumberFormat="1" applyFont="1" applyFill="1" applyBorder="1" applyAlignment="1">
      <alignment horizontal="right"/>
    </xf>
    <xf numFmtId="3" fontId="14" fillId="4" borderId="17" xfId="6" applyNumberFormat="1" applyFont="1" applyFill="1" applyBorder="1" applyAlignment="1">
      <alignment horizontal="center"/>
    </xf>
    <xf numFmtId="186" fontId="14" fillId="4" borderId="18" xfId="6" applyNumberFormat="1" applyFont="1" applyFill="1" applyBorder="1" applyAlignment="1">
      <alignment horizontal="right"/>
    </xf>
    <xf numFmtId="0" fontId="5" fillId="0" borderId="2" xfId="6" applyFont="1" applyBorder="1"/>
    <xf numFmtId="0" fontId="5" fillId="0" borderId="2" xfId="6" applyFont="1" applyBorder="1" applyAlignment="1">
      <alignment horizontal="center"/>
    </xf>
    <xf numFmtId="3" fontId="5" fillId="0" borderId="0" xfId="488" applyNumberFormat="1" applyFont="1"/>
    <xf numFmtId="3" fontId="4" fillId="0" borderId="0" xfId="4" applyNumberFormat="1"/>
    <xf numFmtId="3" fontId="4" fillId="0" borderId="0" xfId="0" applyNumberFormat="1" applyFont="1" applyAlignment="1">
      <alignment horizontal="center"/>
    </xf>
    <xf numFmtId="3" fontId="5" fillId="0" borderId="5" xfId="0" applyNumberFormat="1" applyFont="1" applyBorder="1" applyAlignment="1">
      <alignment horizontal="center"/>
    </xf>
    <xf numFmtId="171" fontId="5" fillId="0" borderId="5" xfId="0" applyNumberFormat="1" applyFont="1" applyBorder="1" applyAlignment="1">
      <alignment horizontal="center"/>
    </xf>
    <xf numFmtId="170" fontId="5" fillId="0" borderId="5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170" fontId="5" fillId="0" borderId="40" xfId="0" applyNumberFormat="1" applyFont="1" applyBorder="1" applyAlignment="1">
      <alignment horizontal="center"/>
    </xf>
    <xf numFmtId="168" fontId="4" fillId="0" borderId="0" xfId="2" applyNumberFormat="1" applyFont="1" applyAlignment="1">
      <alignment horizontal="center"/>
    </xf>
    <xf numFmtId="170" fontId="4" fillId="0" borderId="0" xfId="0" applyNumberFormat="1" applyFont="1" applyAlignment="1">
      <alignment horizontal="center"/>
    </xf>
    <xf numFmtId="3" fontId="17" fillId="0" borderId="38" xfId="0" applyNumberFormat="1" applyFont="1" applyBorder="1"/>
    <xf numFmtId="168" fontId="17" fillId="0" borderId="38" xfId="0" applyNumberFormat="1" applyFont="1" applyBorder="1"/>
    <xf numFmtId="170" fontId="17" fillId="0" borderId="38" xfId="0" applyNumberFormat="1" applyFont="1" applyBorder="1"/>
    <xf numFmtId="3" fontId="17" fillId="0" borderId="56" xfId="0" applyNumberFormat="1" applyFont="1" applyBorder="1"/>
    <xf numFmtId="180" fontId="17" fillId="0" borderId="38" xfId="0" applyNumberFormat="1" applyFont="1" applyBorder="1"/>
    <xf numFmtId="168" fontId="17" fillId="0" borderId="0" xfId="0" applyNumberFormat="1" applyFont="1"/>
    <xf numFmtId="170" fontId="17" fillId="0" borderId="0" xfId="0" applyNumberFormat="1" applyFont="1"/>
    <xf numFmtId="3" fontId="17" fillId="0" borderId="57" xfId="0" applyNumberFormat="1" applyFont="1" applyBorder="1"/>
    <xf numFmtId="180" fontId="17" fillId="0" borderId="0" xfId="0" applyNumberFormat="1" applyFont="1"/>
    <xf numFmtId="171" fontId="5" fillId="0" borderId="40" xfId="0" applyNumberFormat="1" applyFont="1" applyBorder="1" applyAlignment="1">
      <alignment horizontal="center"/>
    </xf>
    <xf numFmtId="3" fontId="17" fillId="0" borderId="5" xfId="0" applyNumberFormat="1" applyFont="1" applyBorder="1"/>
    <xf numFmtId="3" fontId="17" fillId="0" borderId="58" xfId="0" applyNumberFormat="1" applyFont="1" applyBorder="1"/>
    <xf numFmtId="180" fontId="17" fillId="0" borderId="5" xfId="0" applyNumberFormat="1" applyFont="1" applyBorder="1"/>
    <xf numFmtId="3" fontId="17" fillId="0" borderId="5" xfId="0" applyNumberFormat="1" applyFont="1" applyBorder="1" applyAlignment="1">
      <alignment horizontal="center"/>
    </xf>
    <xf numFmtId="3" fontId="4" fillId="0" borderId="5" xfId="0" applyNumberFormat="1" applyFont="1" applyBorder="1" applyAlignment="1">
      <alignment horizontal="center"/>
    </xf>
    <xf numFmtId="168" fontId="4" fillId="0" borderId="5" xfId="2" applyNumberFormat="1" applyFont="1" applyBorder="1" applyAlignment="1">
      <alignment horizontal="center"/>
    </xf>
    <xf numFmtId="170" fontId="4" fillId="0" borderId="5" xfId="0" applyNumberFormat="1" applyFont="1" applyBorder="1" applyAlignment="1">
      <alignment horizontal="center"/>
    </xf>
    <xf numFmtId="168" fontId="17" fillId="0" borderId="5" xfId="0" applyNumberFormat="1" applyFont="1" applyBorder="1"/>
    <xf numFmtId="170" fontId="17" fillId="0" borderId="5" xfId="0" applyNumberFormat="1" applyFont="1" applyBorder="1"/>
    <xf numFmtId="0" fontId="17" fillId="0" borderId="38" xfId="0" applyFont="1" applyBorder="1" applyAlignment="1">
      <alignment horizontal="center"/>
    </xf>
    <xf numFmtId="168" fontId="16" fillId="2" borderId="3" xfId="2" applyNumberFormat="1" applyFont="1" applyFill="1" applyBorder="1"/>
    <xf numFmtId="168" fontId="16" fillId="2" borderId="1" xfId="2" applyNumberFormat="1" applyFont="1" applyFill="1" applyBorder="1"/>
    <xf numFmtId="3" fontId="5" fillId="0" borderId="5" xfId="491" applyNumberFormat="1" applyFont="1" applyBorder="1"/>
    <xf numFmtId="3" fontId="4" fillId="0" borderId="5" xfId="0" applyNumberFormat="1" applyFont="1" applyBorder="1" applyAlignment="1">
      <alignment horizontal="left"/>
    </xf>
    <xf numFmtId="168" fontId="16" fillId="2" borderId="4" xfId="2" applyNumberFormat="1" applyFont="1" applyFill="1" applyBorder="1" applyAlignment="1">
      <alignment horizontal="center"/>
    </xf>
    <xf numFmtId="3" fontId="16" fillId="2" borderId="1" xfId="2" applyNumberFormat="1" applyFont="1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3" fontId="5" fillId="2" borderId="3" xfId="0" applyNumberFormat="1" applyFont="1" applyFill="1" applyBorder="1"/>
    <xf numFmtId="9" fontId="5" fillId="2" borderId="1" xfId="507" applyFont="1" applyFill="1" applyBorder="1"/>
    <xf numFmtId="0" fontId="16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31" fillId="0" borderId="0" xfId="0" applyFont="1"/>
    <xf numFmtId="3" fontId="5" fillId="0" borderId="11" xfId="6" applyNumberFormat="1" applyFont="1" applyBorder="1"/>
    <xf numFmtId="3" fontId="14" fillId="4" borderId="19" xfId="6" applyNumberFormat="1" applyFont="1" applyFill="1" applyBorder="1" applyAlignment="1">
      <alignment horizontal="center"/>
    </xf>
    <xf numFmtId="0" fontId="16" fillId="0" borderId="16" xfId="0" applyFont="1" applyBorder="1"/>
    <xf numFmtId="0" fontId="16" fillId="0" borderId="1" xfId="0" applyFont="1" applyBorder="1" applyAlignment="1">
      <alignment horizontal="center"/>
    </xf>
    <xf numFmtId="0" fontId="17" fillId="0" borderId="7" xfId="0" applyFont="1" applyBorder="1"/>
    <xf numFmtId="0" fontId="59" fillId="0" borderId="7" xfId="0" applyFont="1" applyBorder="1"/>
    <xf numFmtId="0" fontId="17" fillId="0" borderId="16" xfId="0" applyFont="1" applyBorder="1"/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Alignment="1" applyProtection="1">
      <alignment horizontal="center"/>
      <protection locked="0"/>
    </xf>
    <xf numFmtId="0" fontId="17" fillId="48" borderId="0" xfId="0" applyFont="1" applyFill="1" applyAlignment="1" applyProtection="1">
      <alignment horizontal="center"/>
      <protection locked="0"/>
    </xf>
    <xf numFmtId="3" fontId="5" fillId="0" borderId="39" xfId="0" applyNumberFormat="1" applyFont="1" applyBorder="1" applyAlignment="1">
      <alignment horizontal="left"/>
    </xf>
    <xf numFmtId="0" fontId="17" fillId="0" borderId="5" xfId="0" applyFont="1" applyBorder="1" applyAlignment="1">
      <alignment horizontal="left"/>
    </xf>
    <xf numFmtId="0" fontId="16" fillId="2" borderId="3" xfId="0" applyFont="1" applyFill="1" applyBorder="1" applyAlignment="1">
      <alignment horizontal="left"/>
    </xf>
    <xf numFmtId="0" fontId="17" fillId="0" borderId="38" xfId="0" applyFont="1" applyBorder="1" applyAlignment="1">
      <alignment horizontal="left"/>
    </xf>
    <xf numFmtId="3" fontId="4" fillId="0" borderId="38" xfId="0" applyNumberFormat="1" applyFont="1" applyBorder="1" applyAlignment="1">
      <alignment horizontal="left"/>
    </xf>
    <xf numFmtId="3" fontId="17" fillId="0" borderId="38" xfId="0" applyNumberFormat="1" applyFont="1" applyBorder="1" applyAlignment="1">
      <alignment horizontal="center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38" xfId="0" applyBorder="1" applyAlignment="1" applyProtection="1">
      <alignment horizontal="center" vertical="center"/>
      <protection locked="0"/>
    </xf>
    <xf numFmtId="0" fontId="16" fillId="0" borderId="3" xfId="0" applyFont="1" applyBorder="1" applyAlignment="1">
      <alignment horizontal="center"/>
    </xf>
    <xf numFmtId="9" fontId="18" fillId="0" borderId="36" xfId="0" applyNumberFormat="1" applyFont="1" applyBorder="1" applyAlignment="1">
      <alignment horizontal="center"/>
    </xf>
    <xf numFmtId="9" fontId="17" fillId="0" borderId="28" xfId="0" applyNumberFormat="1" applyFont="1" applyBorder="1" applyAlignment="1">
      <alignment horizontal="center"/>
    </xf>
    <xf numFmtId="9" fontId="59" fillId="0" borderId="36" xfId="0" applyNumberFormat="1" applyFont="1" applyBorder="1" applyAlignment="1">
      <alignment horizontal="center"/>
    </xf>
    <xf numFmtId="9" fontId="59" fillId="0" borderId="28" xfId="0" applyNumberFormat="1" applyFont="1" applyBorder="1" applyAlignment="1">
      <alignment horizontal="center"/>
    </xf>
    <xf numFmtId="9" fontId="18" fillId="0" borderId="37" xfId="0" applyNumberFormat="1" applyFont="1" applyBorder="1" applyAlignment="1">
      <alignment horizontal="center"/>
    </xf>
    <xf numFmtId="9" fontId="17" fillId="0" borderId="27" xfId="0" applyNumberFormat="1" applyFont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7" fillId="0" borderId="0" xfId="0" applyFont="1" applyAlignment="1" applyProtection="1">
      <alignment horizontal="left"/>
      <protection locked="0"/>
    </xf>
    <xf numFmtId="0" fontId="31" fillId="0" borderId="0" xfId="0" applyFont="1" applyAlignment="1">
      <alignment horizontal="left"/>
    </xf>
    <xf numFmtId="0" fontId="25" fillId="0" borderId="8" xfId="0" applyFont="1" applyBorder="1" applyAlignment="1">
      <alignment horizontal="left"/>
    </xf>
    <xf numFmtId="0" fontId="16" fillId="7" borderId="3" xfId="0" applyFont="1" applyFill="1" applyBorder="1" applyAlignment="1">
      <alignment horizontal="left"/>
    </xf>
    <xf numFmtId="3" fontId="16" fillId="7" borderId="3" xfId="0" applyNumberFormat="1" applyFont="1" applyFill="1" applyBorder="1" applyAlignment="1">
      <alignment horizontal="left"/>
    </xf>
    <xf numFmtId="9" fontId="17" fillId="0" borderId="0" xfId="507" applyFont="1" applyAlignment="1">
      <alignment horizontal="center"/>
    </xf>
    <xf numFmtId="9" fontId="17" fillId="0" borderId="5" xfId="507" applyFont="1" applyBorder="1" applyAlignment="1">
      <alignment horizontal="center"/>
    </xf>
    <xf numFmtId="3" fontId="5" fillId="0" borderId="5" xfId="491" applyNumberFormat="1" applyFont="1" applyBorder="1" applyAlignment="1">
      <alignment horizontal="center"/>
    </xf>
    <xf numFmtId="9" fontId="4" fillId="0" borderId="0" xfId="507" applyAlignment="1">
      <alignment horizontal="center"/>
    </xf>
    <xf numFmtId="0" fontId="28" fillId="3" borderId="0" xfId="0" applyFont="1" applyFill="1" applyAlignment="1" applyProtection="1">
      <alignment vertical="center"/>
      <protection locked="0"/>
    </xf>
    <xf numFmtId="0" fontId="28" fillId="3" borderId="0" xfId="0" applyFont="1" applyFill="1" applyAlignment="1" applyProtection="1">
      <alignment horizontal="center" vertical="center"/>
      <protection locked="0"/>
    </xf>
    <xf numFmtId="0" fontId="36" fillId="3" borderId="0" xfId="0" applyFont="1" applyFill="1" applyAlignment="1" applyProtection="1">
      <alignment vertical="center"/>
      <protection locked="0"/>
    </xf>
    <xf numFmtId="0" fontId="0" fillId="3" borderId="0" xfId="0" applyFill="1" applyAlignment="1" applyProtection="1">
      <alignment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192" fontId="36" fillId="3" borderId="0" xfId="0" applyNumberFormat="1" applyFont="1" applyFill="1" applyAlignment="1" applyProtection="1">
      <alignment vertical="center"/>
      <protection locked="0"/>
    </xf>
    <xf numFmtId="0" fontId="36" fillId="3" borderId="0" xfId="0" applyFont="1" applyFill="1" applyAlignment="1">
      <alignment vertical="center"/>
    </xf>
    <xf numFmtId="0" fontId="37" fillId="3" borderId="0" xfId="0" applyFont="1" applyFill="1" applyAlignment="1" applyProtection="1">
      <alignment vertical="center"/>
      <protection locked="0"/>
    </xf>
    <xf numFmtId="0" fontId="60" fillId="0" borderId="0" xfId="0" quotePrefix="1" applyFont="1" applyProtection="1">
      <protection locked="0"/>
    </xf>
    <xf numFmtId="3" fontId="61" fillId="0" borderId="0" xfId="0" applyNumberFormat="1" applyFont="1"/>
    <xf numFmtId="0" fontId="61" fillId="0" borderId="0" xfId="0" applyFont="1" applyAlignment="1">
      <alignment horizontal="left" indent="1"/>
    </xf>
    <xf numFmtId="10" fontId="0" fillId="0" borderId="49" xfId="2" applyNumberFormat="1" applyFont="1" applyBorder="1"/>
    <xf numFmtId="177" fontId="28" fillId="4" borderId="16" xfId="0" applyNumberFormat="1" applyFont="1" applyFill="1" applyBorder="1" applyAlignment="1">
      <alignment horizontal="center" vertical="center"/>
    </xf>
    <xf numFmtId="0" fontId="35" fillId="46" borderId="0" xfId="0" quotePrefix="1" applyFont="1" applyFill="1" applyAlignment="1">
      <alignment vertical="center"/>
    </xf>
    <xf numFmtId="4" fontId="3" fillId="0" borderId="0" xfId="0" applyNumberFormat="1" applyFont="1" applyAlignment="1" applyProtection="1">
      <alignment horizontal="center" vertical="center"/>
      <protection locked="0"/>
    </xf>
    <xf numFmtId="10" fontId="27" fillId="0" borderId="0" xfId="2" applyNumberFormat="1" applyFont="1" applyAlignment="1">
      <alignment horizontal="center" vertical="center"/>
    </xf>
    <xf numFmtId="10" fontId="21" fillId="0" borderId="0" xfId="2" applyNumberFormat="1" applyFont="1" applyAlignment="1">
      <alignment horizontal="center" vertical="center"/>
    </xf>
    <xf numFmtId="177" fontId="0" fillId="0" borderId="0" xfId="0" applyNumberFormat="1" applyAlignment="1" applyProtection="1">
      <alignment horizontal="center" vertical="center"/>
      <protection locked="0"/>
    </xf>
    <xf numFmtId="170" fontId="0" fillId="0" borderId="0" xfId="0" applyNumberFormat="1" applyAlignment="1" applyProtection="1">
      <alignment horizontal="center" vertical="center"/>
      <protection locked="0"/>
    </xf>
    <xf numFmtId="3" fontId="0" fillId="0" borderId="0" xfId="0" applyNumberFormat="1" applyAlignment="1" applyProtection="1">
      <alignment horizontal="center" vertical="center"/>
      <protection locked="0"/>
    </xf>
    <xf numFmtId="168" fontId="0" fillId="0" borderId="0" xfId="2" applyNumberFormat="1" applyFont="1" applyAlignment="1" applyProtection="1">
      <alignment horizontal="center" vertical="center"/>
      <protection locked="0"/>
    </xf>
    <xf numFmtId="3" fontId="28" fillId="0" borderId="0" xfId="0" applyNumberFormat="1" applyFont="1" applyAlignment="1">
      <alignment horizontal="center" vertical="center"/>
    </xf>
    <xf numFmtId="179" fontId="0" fillId="0" borderId="0" xfId="0" applyNumberFormat="1" applyAlignment="1" applyProtection="1">
      <alignment horizontal="center" vertical="center"/>
      <protection locked="0"/>
    </xf>
    <xf numFmtId="178" fontId="0" fillId="0" borderId="0" xfId="0" applyNumberFormat="1" applyAlignment="1" applyProtection="1">
      <alignment horizontal="center" vertical="center"/>
      <protection locked="0"/>
    </xf>
    <xf numFmtId="0" fontId="20" fillId="0" borderId="0" xfId="0" applyFont="1" applyAlignment="1">
      <alignment horizontal="left" vertical="center" indent="1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 applyProtection="1">
      <alignment horizontal="left" vertical="center" indent="1"/>
      <protection locked="0"/>
    </xf>
    <xf numFmtId="0" fontId="2" fillId="0" borderId="0" xfId="0" applyFont="1" applyAlignment="1" applyProtection="1">
      <alignment horizontal="left" vertical="center" indent="1"/>
      <protection locked="0"/>
    </xf>
    <xf numFmtId="0" fontId="6" fillId="46" borderId="0" xfId="0" applyFont="1" applyFill="1" applyAlignment="1">
      <alignment horizontal="left" vertical="center" indent="1"/>
    </xf>
    <xf numFmtId="0" fontId="6" fillId="46" borderId="0" xfId="0" applyFont="1" applyFill="1" applyAlignment="1" applyProtection="1">
      <alignment horizontal="left" vertical="center" indent="1"/>
      <protection locked="0"/>
    </xf>
    <xf numFmtId="0" fontId="0" fillId="0" borderId="100" xfId="0" applyBorder="1" applyAlignment="1" applyProtection="1">
      <alignment vertical="center"/>
      <protection locked="0"/>
    </xf>
    <xf numFmtId="0" fontId="0" fillId="0" borderId="101" xfId="0" applyBorder="1" applyAlignment="1" applyProtection="1">
      <alignment vertical="center"/>
      <protection locked="0"/>
    </xf>
    <xf numFmtId="0" fontId="0" fillId="0" borderId="102" xfId="0" applyBorder="1" applyAlignment="1" applyProtection="1">
      <alignment vertical="center"/>
      <protection locked="0"/>
    </xf>
    <xf numFmtId="0" fontId="0" fillId="0" borderId="103" xfId="0" applyBorder="1" applyAlignment="1" applyProtection="1">
      <alignment vertical="center"/>
      <protection locked="0"/>
    </xf>
    <xf numFmtId="3" fontId="28" fillId="0" borderId="104" xfId="0" applyNumberFormat="1" applyFont="1" applyBorder="1" applyAlignment="1">
      <alignment horizontal="center" vertical="center"/>
    </xf>
    <xf numFmtId="168" fontId="0" fillId="0" borderId="104" xfId="2" applyNumberFormat="1" applyFont="1" applyBorder="1" applyAlignment="1" applyProtection="1">
      <alignment horizontal="center" vertical="center"/>
      <protection locked="0"/>
    </xf>
    <xf numFmtId="0" fontId="0" fillId="0" borderId="105" xfId="0" applyBorder="1" applyAlignment="1" applyProtection="1">
      <alignment vertical="center"/>
      <protection locked="0"/>
    </xf>
    <xf numFmtId="0" fontId="0" fillId="0" borderId="106" xfId="0" applyBorder="1" applyAlignment="1" applyProtection="1">
      <alignment vertical="center"/>
      <protection locked="0"/>
    </xf>
    <xf numFmtId="0" fontId="0" fillId="0" borderId="107" xfId="0" applyBorder="1" applyAlignment="1" applyProtection="1">
      <alignment vertical="center"/>
      <protection locked="0"/>
    </xf>
    <xf numFmtId="0" fontId="0" fillId="0" borderId="108" xfId="0" applyBorder="1" applyAlignment="1" applyProtection="1">
      <alignment horizontal="center" vertical="center"/>
      <protection locked="0"/>
    </xf>
    <xf numFmtId="3" fontId="6" fillId="0" borderId="108" xfId="0" applyNumberFormat="1" applyFont="1" applyBorder="1" applyAlignment="1" applyProtection="1">
      <alignment horizontal="center" vertical="center"/>
      <protection locked="0"/>
    </xf>
    <xf numFmtId="168" fontId="40" fillId="0" borderId="72" xfId="2" applyNumberFormat="1" applyFont="1" applyBorder="1"/>
    <xf numFmtId="177" fontId="4" fillId="0" borderId="38" xfId="0" applyNumberFormat="1" applyFont="1" applyBorder="1" applyAlignment="1">
      <alignment horizontal="center"/>
    </xf>
    <xf numFmtId="177" fontId="4" fillId="0" borderId="0" xfId="0" applyNumberFormat="1" applyFont="1" applyAlignment="1">
      <alignment horizontal="center"/>
    </xf>
    <xf numFmtId="177" fontId="4" fillId="0" borderId="5" xfId="0" applyNumberFormat="1" applyFont="1" applyBorder="1" applyAlignment="1">
      <alignment horizontal="center"/>
    </xf>
    <xf numFmtId="9" fontId="4" fillId="0" borderId="5" xfId="507" applyBorder="1" applyAlignment="1">
      <alignment horizontal="center"/>
    </xf>
    <xf numFmtId="3" fontId="16" fillId="2" borderId="1" xfId="0" applyNumberFormat="1" applyFont="1" applyFill="1" applyBorder="1" applyAlignment="1">
      <alignment horizontal="center"/>
    </xf>
    <xf numFmtId="4" fontId="5" fillId="0" borderId="0" xfId="6" applyNumberFormat="1" applyFont="1" applyProtection="1">
      <protection locked="0"/>
    </xf>
    <xf numFmtId="0" fontId="63" fillId="0" borderId="0" xfId="3" applyFont="1" applyProtection="1">
      <protection locked="0"/>
    </xf>
    <xf numFmtId="0" fontId="63" fillId="0" borderId="59" xfId="3" applyFont="1" applyBorder="1" applyProtection="1">
      <protection locked="0"/>
    </xf>
    <xf numFmtId="0" fontId="64" fillId="44" borderId="51" xfId="3" applyFont="1" applyFill="1" applyBorder="1" applyAlignment="1" applyProtection="1">
      <alignment vertical="center" wrapText="1"/>
      <protection locked="0"/>
    </xf>
    <xf numFmtId="0" fontId="65" fillId="5" borderId="51" xfId="3" applyFont="1" applyFill="1" applyBorder="1" applyAlignment="1" applyProtection="1">
      <alignment vertical="center"/>
      <protection locked="0"/>
    </xf>
    <xf numFmtId="0" fontId="65" fillId="5" borderId="90" xfId="3" applyFont="1" applyFill="1" applyBorder="1" applyAlignment="1" applyProtection="1">
      <alignment vertical="center"/>
      <protection locked="0"/>
    </xf>
    <xf numFmtId="0" fontId="63" fillId="0" borderId="64" xfId="3" applyFont="1" applyBorder="1" applyProtection="1">
      <protection locked="0"/>
    </xf>
    <xf numFmtId="0" fontId="64" fillId="44" borderId="0" xfId="3" applyFont="1" applyFill="1" applyAlignment="1" applyProtection="1">
      <alignment vertical="center" wrapText="1"/>
      <protection locked="0"/>
    </xf>
    <xf numFmtId="0" fontId="63" fillId="44" borderId="0" xfId="3" applyFont="1" applyFill="1" applyProtection="1">
      <protection locked="0"/>
    </xf>
    <xf numFmtId="0" fontId="63" fillId="44" borderId="0" xfId="3" applyFont="1" applyFill="1" applyAlignment="1" applyProtection="1">
      <alignment horizontal="center"/>
      <protection locked="0"/>
    </xf>
    <xf numFmtId="0" fontId="63" fillId="44" borderId="65" xfId="3" applyFont="1" applyFill="1" applyBorder="1" applyAlignment="1" applyProtection="1">
      <alignment horizontal="center"/>
      <protection locked="0"/>
    </xf>
    <xf numFmtId="0" fontId="69" fillId="44" borderId="0" xfId="3" applyFont="1" applyFill="1" applyProtection="1">
      <protection locked="0"/>
    </xf>
    <xf numFmtId="0" fontId="69" fillId="44" borderId="0" xfId="3" applyFont="1" applyFill="1" applyAlignment="1" applyProtection="1">
      <alignment horizontal="center"/>
      <protection locked="0"/>
    </xf>
    <xf numFmtId="0" fontId="69" fillId="44" borderId="65" xfId="3" applyFont="1" applyFill="1" applyBorder="1" applyAlignment="1" applyProtection="1">
      <alignment horizontal="center"/>
      <protection locked="0"/>
    </xf>
    <xf numFmtId="0" fontId="69" fillId="44" borderId="0" xfId="3" applyFont="1" applyFill="1"/>
    <xf numFmtId="0" fontId="63" fillId="0" borderId="0" xfId="3" applyFont="1" applyAlignment="1" applyProtection="1">
      <alignment horizontal="center"/>
      <protection locked="0"/>
    </xf>
    <xf numFmtId="0" fontId="69" fillId="44" borderId="21" xfId="3" applyFont="1" applyFill="1" applyBorder="1" applyProtection="1">
      <protection locked="0"/>
    </xf>
    <xf numFmtId="0" fontId="69" fillId="44" borderId="21" xfId="3" applyFont="1" applyFill="1" applyBorder="1" applyAlignment="1" applyProtection="1">
      <alignment horizontal="center"/>
      <protection locked="0"/>
    </xf>
    <xf numFmtId="0" fontId="69" fillId="44" borderId="67" xfId="3" applyFont="1" applyFill="1" applyBorder="1" applyAlignment="1" applyProtection="1">
      <alignment horizontal="center"/>
      <protection locked="0"/>
    </xf>
    <xf numFmtId="0" fontId="63" fillId="44" borderId="0" xfId="3" applyFont="1" applyFill="1"/>
    <xf numFmtId="0" fontId="63" fillId="0" borderId="0" xfId="3" applyFont="1"/>
    <xf numFmtId="0" fontId="63" fillId="44" borderId="0" xfId="3" applyFont="1" applyFill="1" applyAlignment="1" applyProtection="1">
      <alignment horizontal="right" vertical="center"/>
      <protection locked="0"/>
    </xf>
    <xf numFmtId="0" fontId="71" fillId="44" borderId="0" xfId="3" applyFont="1" applyFill="1"/>
    <xf numFmtId="0" fontId="63" fillId="0" borderId="0" xfId="3" applyFont="1" applyAlignment="1">
      <alignment horizontal="right"/>
    </xf>
    <xf numFmtId="0" fontId="66" fillId="44" borderId="2" xfId="3" applyFont="1" applyFill="1" applyBorder="1" applyAlignment="1" applyProtection="1">
      <alignment horizontal="center"/>
      <protection locked="0"/>
    </xf>
    <xf numFmtId="0" fontId="63" fillId="44" borderId="0" xfId="3" applyFont="1" applyFill="1" applyAlignment="1" applyProtection="1">
      <alignment vertical="center"/>
      <protection locked="0"/>
    </xf>
    <xf numFmtId="0" fontId="66" fillId="44" borderId="0" xfId="3" applyFont="1" applyFill="1" applyAlignment="1" applyProtection="1">
      <alignment horizontal="center"/>
      <protection locked="0"/>
    </xf>
    <xf numFmtId="0" fontId="63" fillId="44" borderId="0" xfId="3" applyFont="1" applyFill="1" applyAlignment="1" applyProtection="1">
      <alignment horizontal="left"/>
      <protection locked="0"/>
    </xf>
    <xf numFmtId="0" fontId="66" fillId="0" borderId="0" xfId="3" applyFont="1" applyAlignment="1" applyProtection="1">
      <alignment vertical="center"/>
      <protection locked="0"/>
    </xf>
    <xf numFmtId="0" fontId="63" fillId="44" borderId="0" xfId="3" applyFont="1" applyFill="1" applyAlignment="1">
      <alignment horizontal="right"/>
    </xf>
    <xf numFmtId="3" fontId="66" fillId="44" borderId="2" xfId="3" applyNumberFormat="1" applyFont="1" applyFill="1" applyBorder="1" applyAlignment="1">
      <alignment horizontal="center"/>
    </xf>
    <xf numFmtId="0" fontId="66" fillId="0" borderId="0" xfId="3" applyFont="1" applyAlignment="1" applyProtection="1">
      <alignment horizontal="center"/>
      <protection locked="0"/>
    </xf>
    <xf numFmtId="0" fontId="71" fillId="44" borderId="0" xfId="3" applyFont="1" applyFill="1" applyAlignment="1">
      <alignment horizontal="right"/>
    </xf>
    <xf numFmtId="0" fontId="63" fillId="0" borderId="66" xfId="3" applyFont="1" applyBorder="1" applyProtection="1">
      <protection locked="0"/>
    </xf>
    <xf numFmtId="0" fontId="73" fillId="0" borderId="0" xfId="3" applyFont="1" applyProtection="1">
      <protection locked="0"/>
    </xf>
    <xf numFmtId="3" fontId="63" fillId="0" borderId="0" xfId="3" applyNumberFormat="1" applyFont="1" applyAlignment="1" applyProtection="1">
      <alignment horizontal="center"/>
      <protection locked="0"/>
    </xf>
    <xf numFmtId="191" fontId="63" fillId="0" borderId="0" xfId="3" applyNumberFormat="1" applyFont="1" applyAlignment="1" applyProtection="1">
      <alignment horizontal="center"/>
      <protection locked="0"/>
    </xf>
    <xf numFmtId="0" fontId="73" fillId="2" borderId="9" xfId="3" applyFont="1" applyFill="1" applyBorder="1" applyAlignment="1" applyProtection="1">
      <alignment horizontal="center" vertical="center"/>
      <protection hidden="1"/>
    </xf>
    <xf numFmtId="0" fontId="63" fillId="0" borderId="11" xfId="3" applyFont="1" applyBorder="1" applyAlignment="1">
      <alignment horizontal="center" vertical="center"/>
    </xf>
    <xf numFmtId="0" fontId="63" fillId="0" borderId="0" xfId="3" applyFont="1" applyAlignment="1" applyProtection="1">
      <alignment horizontal="right"/>
      <protection locked="0"/>
    </xf>
    <xf numFmtId="173" fontId="63" fillId="0" borderId="0" xfId="3" applyNumberFormat="1" applyFont="1" applyAlignment="1" applyProtection="1">
      <alignment horizontal="center"/>
      <protection locked="0"/>
    </xf>
    <xf numFmtId="0" fontId="63" fillId="0" borderId="97" xfId="3" applyFont="1" applyBorder="1" applyAlignment="1" applyProtection="1">
      <alignment horizontal="left" vertical="center"/>
      <protection locked="0"/>
    </xf>
    <xf numFmtId="0" fontId="63" fillId="0" borderId="4" xfId="3" applyFont="1" applyBorder="1" applyAlignment="1" applyProtection="1">
      <alignment horizontal="left" vertical="center"/>
      <protection locked="0"/>
    </xf>
    <xf numFmtId="0" fontId="63" fillId="0" borderId="98" xfId="3" applyFont="1" applyBorder="1" applyAlignment="1" applyProtection="1">
      <alignment horizontal="left" vertical="center"/>
      <protection locked="0"/>
    </xf>
    <xf numFmtId="0" fontId="63" fillId="0" borderId="34" xfId="3" applyFont="1" applyBorder="1" applyAlignment="1" applyProtection="1">
      <alignment horizontal="left" vertical="center"/>
      <protection locked="0"/>
    </xf>
    <xf numFmtId="0" fontId="63" fillId="0" borderId="53" xfId="3" applyFont="1" applyBorder="1" applyAlignment="1" applyProtection="1">
      <alignment horizontal="left" vertical="center"/>
      <protection locked="0"/>
    </xf>
    <xf numFmtId="0" fontId="63" fillId="0" borderId="99" xfId="3" applyFont="1" applyBorder="1" applyAlignment="1" applyProtection="1">
      <alignment horizontal="left" vertical="center"/>
      <protection locked="0"/>
    </xf>
    <xf numFmtId="4" fontId="4" fillId="0" borderId="0" xfId="3" applyNumberFormat="1" applyAlignment="1">
      <alignment horizontal="right"/>
    </xf>
    <xf numFmtId="170" fontId="0" fillId="0" borderId="0" xfId="0" applyNumberFormat="1" applyAlignment="1" applyProtection="1">
      <alignment horizontal="left" vertical="center"/>
      <protection locked="0"/>
    </xf>
    <xf numFmtId="3" fontId="0" fillId="0" borderId="0" xfId="0" applyNumberFormat="1" applyAlignment="1" applyProtection="1">
      <alignment vertical="center"/>
      <protection locked="0"/>
    </xf>
    <xf numFmtId="3" fontId="0" fillId="49" borderId="0" xfId="0" applyNumberFormat="1" applyFill="1" applyProtection="1">
      <protection locked="0"/>
    </xf>
    <xf numFmtId="3" fontId="0" fillId="0" borderId="0" xfId="0" applyNumberFormat="1" applyProtection="1">
      <protection locked="0"/>
    </xf>
    <xf numFmtId="0" fontId="35" fillId="0" borderId="0" xfId="0" applyFont="1" applyAlignment="1">
      <alignment horizontal="right" vertical="center" indent="3"/>
    </xf>
    <xf numFmtId="0" fontId="35" fillId="0" borderId="0" xfId="0" applyFont="1" applyAlignment="1">
      <alignment horizontal="center" vertical="center"/>
    </xf>
    <xf numFmtId="4" fontId="35" fillId="7" borderId="2" xfId="0" applyNumberFormat="1" applyFont="1" applyFill="1" applyBorder="1" applyAlignment="1" applyProtection="1">
      <alignment horizontal="center" vertical="center"/>
      <protection locked="0"/>
    </xf>
    <xf numFmtId="0" fontId="6" fillId="3" borderId="0" xfId="0" applyFont="1" applyFill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44" xfId="0" applyFont="1" applyBorder="1" applyAlignment="1" applyProtection="1">
      <alignment vertical="center"/>
      <protection locked="0"/>
    </xf>
    <xf numFmtId="0" fontId="27" fillId="0" borderId="0" xfId="0" applyFont="1" applyAlignment="1">
      <alignment horizontal="right" vertical="center" indent="3"/>
    </xf>
    <xf numFmtId="0" fontId="27" fillId="0" borderId="0" xfId="0" applyFont="1" applyAlignment="1">
      <alignment horizontal="center" vertical="center"/>
    </xf>
    <xf numFmtId="0" fontId="6" fillId="0" borderId="45" xfId="0" applyFont="1" applyBorder="1" applyAlignment="1" applyProtection="1">
      <alignment vertical="center"/>
      <protection locked="0"/>
    </xf>
    <xf numFmtId="4" fontId="27" fillId="2" borderId="2" xfId="0" applyNumberFormat="1" applyFont="1" applyFill="1" applyBorder="1" applyAlignment="1" applyProtection="1">
      <alignment horizontal="center" vertical="center"/>
      <protection locked="0"/>
    </xf>
    <xf numFmtId="168" fontId="6" fillId="2" borderId="2" xfId="2" applyNumberFormat="1" applyFont="1" applyFill="1" applyBorder="1" applyAlignment="1" applyProtection="1">
      <alignment horizontal="center" vertical="center"/>
      <protection locked="0"/>
    </xf>
    <xf numFmtId="0" fontId="75" fillId="0" borderId="0" xfId="3" applyFont="1" applyProtection="1">
      <protection locked="0"/>
    </xf>
    <xf numFmtId="3" fontId="0" fillId="3" borderId="2" xfId="0" applyNumberFormat="1" applyFill="1" applyBorder="1" applyAlignment="1" applyProtection="1">
      <alignment horizontal="center" vertical="center"/>
      <protection locked="0"/>
    </xf>
    <xf numFmtId="3" fontId="6" fillId="7" borderId="16" xfId="0" applyNumberFormat="1" applyFont="1" applyFill="1" applyBorder="1" applyAlignment="1">
      <alignment horizontal="center" vertical="center"/>
    </xf>
    <xf numFmtId="0" fontId="0" fillId="0" borderId="36" xfId="0" applyBorder="1" applyAlignment="1" applyProtection="1">
      <alignment horizontal="center" vertical="center"/>
      <protection locked="0"/>
    </xf>
    <xf numFmtId="0" fontId="25" fillId="4" borderId="8" xfId="0" applyFont="1" applyFill="1" applyBorder="1" applyAlignment="1">
      <alignment horizontal="left"/>
    </xf>
    <xf numFmtId="0" fontId="16" fillId="4" borderId="3" xfId="0" applyFont="1" applyFill="1" applyBorder="1" applyAlignment="1">
      <alignment horizontal="left"/>
    </xf>
    <xf numFmtId="0" fontId="16" fillId="4" borderId="1" xfId="0" applyFont="1" applyFill="1" applyBorder="1" applyAlignment="1">
      <alignment horizontal="center"/>
    </xf>
    <xf numFmtId="3" fontId="16" fillId="4" borderId="3" xfId="0" applyNumberFormat="1" applyFont="1" applyFill="1" applyBorder="1" applyAlignment="1">
      <alignment horizontal="left"/>
    </xf>
    <xf numFmtId="0" fontId="16" fillId="4" borderId="16" xfId="0" applyFont="1" applyFill="1" applyBorder="1"/>
    <xf numFmtId="0" fontId="16" fillId="4" borderId="3" xfId="0" applyFont="1" applyFill="1" applyBorder="1" applyAlignment="1">
      <alignment horizontal="center"/>
    </xf>
    <xf numFmtId="0" fontId="17" fillId="4" borderId="7" xfId="0" applyFont="1" applyFill="1" applyBorder="1"/>
    <xf numFmtId="9" fontId="18" fillId="4" borderId="36" xfId="0" applyNumberFormat="1" applyFont="1" applyFill="1" applyBorder="1" applyAlignment="1">
      <alignment horizontal="center"/>
    </xf>
    <xf numFmtId="9" fontId="17" fillId="4" borderId="28" xfId="0" applyNumberFormat="1" applyFont="1" applyFill="1" applyBorder="1" applyAlignment="1">
      <alignment horizontal="center"/>
    </xf>
    <xf numFmtId="0" fontId="59" fillId="4" borderId="7" xfId="0" applyFont="1" applyFill="1" applyBorder="1"/>
    <xf numFmtId="9" fontId="59" fillId="4" borderId="36" xfId="0" applyNumberFormat="1" applyFont="1" applyFill="1" applyBorder="1" applyAlignment="1">
      <alignment horizontal="center"/>
    </xf>
    <xf numFmtId="9" fontId="59" fillId="4" borderId="28" xfId="0" applyNumberFormat="1" applyFont="1" applyFill="1" applyBorder="1" applyAlignment="1">
      <alignment horizontal="center"/>
    </xf>
    <xf numFmtId="0" fontId="17" fillId="4" borderId="16" xfId="0" applyFont="1" applyFill="1" applyBorder="1"/>
    <xf numFmtId="9" fontId="18" fillId="4" borderId="37" xfId="0" applyNumberFormat="1" applyFont="1" applyFill="1" applyBorder="1" applyAlignment="1">
      <alignment horizontal="center"/>
    </xf>
    <xf numFmtId="9" fontId="17" fillId="4" borderId="27" xfId="0" applyNumberFormat="1" applyFont="1" applyFill="1" applyBorder="1" applyAlignment="1">
      <alignment horizontal="center"/>
    </xf>
    <xf numFmtId="0" fontId="0" fillId="51" borderId="0" xfId="0" applyFill="1"/>
    <xf numFmtId="0" fontId="0" fillId="6" borderId="0" xfId="0" applyFill="1"/>
    <xf numFmtId="0" fontId="5" fillId="6" borderId="0" xfId="3" applyFont="1" applyFill="1" applyProtection="1">
      <protection locked="0"/>
    </xf>
    <xf numFmtId="0" fontId="0" fillId="0" borderId="0" xfId="0" applyAlignment="1">
      <alignment horizontal="left" vertical="center" wrapText="1"/>
    </xf>
    <xf numFmtId="9" fontId="6" fillId="7" borderId="16" xfId="0" applyNumberFormat="1" applyFont="1" applyFill="1" applyBorder="1" applyAlignment="1">
      <alignment horizontal="center" vertical="center"/>
    </xf>
    <xf numFmtId="0" fontId="5" fillId="50" borderId="111" xfId="3" applyFont="1" applyFill="1" applyBorder="1" applyAlignment="1">
      <alignment vertical="top"/>
    </xf>
    <xf numFmtId="0" fontId="5" fillId="50" borderId="38" xfId="3" applyFont="1" applyFill="1" applyBorder="1" applyAlignment="1">
      <alignment vertical="top"/>
    </xf>
    <xf numFmtId="0" fontId="5" fillId="50" borderId="31" xfId="3" applyFont="1" applyFill="1" applyBorder="1" applyAlignment="1">
      <alignment vertical="top"/>
    </xf>
    <xf numFmtId="0" fontId="5" fillId="50" borderId="36" xfId="3" applyFont="1" applyFill="1" applyBorder="1" applyAlignment="1">
      <alignment vertical="top"/>
    </xf>
    <xf numFmtId="0" fontId="5" fillId="50" borderId="0" xfId="3" applyFont="1" applyFill="1" applyAlignment="1">
      <alignment vertical="top"/>
    </xf>
    <xf numFmtId="0" fontId="5" fillId="50" borderId="28" xfId="3" applyFont="1" applyFill="1" applyBorder="1" applyAlignment="1">
      <alignment vertical="top"/>
    </xf>
    <xf numFmtId="0" fontId="5" fillId="50" borderId="37" xfId="3" applyFont="1" applyFill="1" applyBorder="1" applyAlignment="1">
      <alignment vertical="top"/>
    </xf>
    <xf numFmtId="0" fontId="5" fillId="50" borderId="5" xfId="3" applyFont="1" applyFill="1" applyBorder="1" applyAlignment="1">
      <alignment vertical="top"/>
    </xf>
    <xf numFmtId="0" fontId="5" fillId="50" borderId="27" xfId="3" applyFont="1" applyFill="1" applyBorder="1" applyAlignment="1">
      <alignment vertical="top"/>
    </xf>
    <xf numFmtId="3" fontId="4" fillId="0" borderId="0" xfId="3" applyNumberFormat="1" applyAlignment="1">
      <alignment horizontal="center"/>
    </xf>
    <xf numFmtId="3" fontId="3" fillId="6" borderId="2" xfId="0" applyNumberFormat="1" applyFont="1" applyFill="1" applyBorder="1" applyAlignment="1" applyProtection="1">
      <alignment horizontal="center" vertical="center"/>
      <protection locked="0"/>
    </xf>
    <xf numFmtId="10" fontId="26" fillId="0" borderId="0" xfId="2" applyNumberFormat="1" applyFont="1" applyAlignment="1" applyProtection="1">
      <alignment vertical="center"/>
      <protection locked="0"/>
    </xf>
    <xf numFmtId="3" fontId="5" fillId="52" borderId="0" xfId="6" applyNumberFormat="1" applyFont="1" applyFill="1" applyProtection="1">
      <protection locked="0"/>
    </xf>
    <xf numFmtId="188" fontId="5" fillId="52" borderId="28" xfId="3" applyNumberFormat="1" applyFont="1" applyFill="1" applyBorder="1" applyAlignment="1" applyProtection="1">
      <alignment horizontal="right"/>
      <protection locked="0"/>
    </xf>
    <xf numFmtId="188" fontId="3" fillId="52" borderId="0" xfId="0" applyNumberFormat="1" applyFont="1" applyFill="1" applyAlignment="1" applyProtection="1">
      <alignment horizontal="center" vertical="center"/>
      <protection locked="0"/>
    </xf>
    <xf numFmtId="0" fontId="3" fillId="7" borderId="2" xfId="0" applyFont="1" applyFill="1" applyBorder="1" applyAlignment="1" applyProtection="1">
      <alignment horizontal="center" vertical="center"/>
      <protection locked="0"/>
    </xf>
    <xf numFmtId="189" fontId="0" fillId="0" borderId="2" xfId="0" applyNumberForma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76" fillId="0" borderId="112" xfId="0" applyFont="1" applyBorder="1" applyAlignment="1">
      <alignment horizontal="left" vertical="center" wrapText="1"/>
    </xf>
    <xf numFmtId="0" fontId="76" fillId="0" borderId="61" xfId="0" applyFont="1" applyBorder="1" applyAlignment="1">
      <alignment horizontal="left" vertical="center" wrapText="1"/>
    </xf>
    <xf numFmtId="0" fontId="76" fillId="0" borderId="113" xfId="0" applyFont="1" applyBorder="1" applyAlignment="1">
      <alignment horizontal="left" vertical="center" wrapText="1"/>
    </xf>
    <xf numFmtId="3" fontId="76" fillId="0" borderId="67" xfId="0" applyNumberFormat="1" applyFont="1" applyBorder="1" applyAlignment="1">
      <alignment horizontal="left" vertical="center" wrapText="1"/>
    </xf>
    <xf numFmtId="0" fontId="76" fillId="0" borderId="67" xfId="0" applyFont="1" applyBorder="1" applyAlignment="1">
      <alignment horizontal="left" vertical="center" wrapText="1"/>
    </xf>
    <xf numFmtId="4" fontId="76" fillId="0" borderId="67" xfId="0" applyNumberFormat="1" applyFont="1" applyBorder="1" applyAlignment="1">
      <alignment horizontal="left" vertical="center" wrapText="1"/>
    </xf>
    <xf numFmtId="10" fontId="76" fillId="0" borderId="67" xfId="0" applyNumberFormat="1" applyFont="1" applyBorder="1" applyAlignment="1">
      <alignment horizontal="left" vertical="center" wrapText="1"/>
    </xf>
    <xf numFmtId="0" fontId="77" fillId="0" borderId="67" xfId="0" applyFont="1" applyBorder="1" applyAlignment="1">
      <alignment horizontal="left" vertical="center" wrapText="1"/>
    </xf>
    <xf numFmtId="0" fontId="78" fillId="0" borderId="112" xfId="0" applyFont="1" applyBorder="1" applyAlignment="1">
      <alignment vertical="center" wrapText="1"/>
    </xf>
    <xf numFmtId="0" fontId="79" fillId="0" borderId="61" xfId="0" applyFont="1" applyBorder="1" applyAlignment="1">
      <alignment horizontal="left" vertical="center" wrapText="1"/>
    </xf>
    <xf numFmtId="0" fontId="80" fillId="0" borderId="113" xfId="0" applyFont="1" applyBorder="1" applyAlignment="1">
      <alignment vertical="center" wrapText="1"/>
    </xf>
    <xf numFmtId="3" fontId="80" fillId="0" borderId="67" xfId="0" applyNumberFormat="1" applyFont="1" applyBorder="1" applyAlignment="1">
      <alignment horizontal="left" vertical="center" wrapText="1"/>
    </xf>
    <xf numFmtId="0" fontId="81" fillId="0" borderId="113" xfId="0" applyFont="1" applyBorder="1" applyAlignment="1">
      <alignment vertical="center" wrapText="1"/>
    </xf>
    <xf numFmtId="0" fontId="81" fillId="0" borderId="67" xfId="0" applyFont="1" applyBorder="1" applyAlignment="1">
      <alignment horizontal="left" vertical="center" wrapText="1"/>
    </xf>
    <xf numFmtId="0" fontId="82" fillId="0" borderId="67" xfId="0" applyFont="1" applyBorder="1" applyAlignment="1">
      <alignment horizontal="left" vertical="center" wrapText="1"/>
    </xf>
    <xf numFmtId="0" fontId="81" fillId="0" borderId="67" xfId="0" applyFont="1" applyBorder="1" applyAlignment="1">
      <alignment vertical="center" wrapText="1"/>
    </xf>
    <xf numFmtId="0" fontId="81" fillId="0" borderId="0" xfId="0" applyFont="1" applyAlignment="1">
      <alignment vertical="center" wrapText="1"/>
    </xf>
    <xf numFmtId="0" fontId="83" fillId="0" borderId="0" xfId="0" applyFont="1" applyAlignment="1">
      <alignment vertical="center"/>
    </xf>
    <xf numFmtId="0" fontId="78" fillId="0" borderId="112" xfId="0" applyFont="1" applyBorder="1" applyAlignment="1">
      <alignment vertical="center"/>
    </xf>
    <xf numFmtId="0" fontId="84" fillId="0" borderId="61" xfId="0" applyFont="1" applyBorder="1" applyAlignment="1">
      <alignment vertical="center"/>
    </xf>
    <xf numFmtId="0" fontId="78" fillId="0" borderId="113" xfId="0" applyFont="1" applyBorder="1" applyAlignment="1">
      <alignment vertical="center"/>
    </xf>
    <xf numFmtId="0" fontId="84" fillId="0" borderId="67" xfId="0" applyFont="1" applyBorder="1" applyAlignment="1">
      <alignment vertical="center"/>
    </xf>
    <xf numFmtId="0" fontId="81" fillId="0" borderId="67" xfId="0" applyFont="1" applyBorder="1" applyAlignment="1">
      <alignment vertical="center"/>
    </xf>
    <xf numFmtId="14" fontId="84" fillId="0" borderId="67" xfId="0" applyNumberFormat="1" applyFont="1" applyBorder="1" applyAlignment="1">
      <alignment horizontal="left" vertical="center"/>
    </xf>
    <xf numFmtId="4" fontId="77" fillId="0" borderId="67" xfId="0" applyNumberFormat="1" applyFont="1" applyBorder="1" applyAlignment="1">
      <alignment horizontal="left" vertical="center" wrapText="1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7" borderId="2" xfId="0" applyFont="1" applyFill="1" applyBorder="1" applyAlignment="1" applyProtection="1">
      <alignment horizontal="center" vertical="center"/>
      <protection locked="0"/>
    </xf>
    <xf numFmtId="179" fontId="6" fillId="7" borderId="2" xfId="0" applyNumberFormat="1" applyFont="1" applyFill="1" applyBorder="1" applyAlignment="1" applyProtection="1">
      <alignment horizontal="center" vertical="center"/>
      <protection locked="0"/>
    </xf>
    <xf numFmtId="3" fontId="0" fillId="0" borderId="0" xfId="982" applyNumberFormat="1" applyFont="1" applyFill="1"/>
    <xf numFmtId="0" fontId="28" fillId="0" borderId="0" xfId="0" applyFont="1" applyAlignment="1" applyProtection="1">
      <alignment vertical="center"/>
      <protection locked="0"/>
    </xf>
    <xf numFmtId="2" fontId="28" fillId="0" borderId="0" xfId="0" applyNumberFormat="1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41" fontId="28" fillId="0" borderId="0" xfId="982" applyFont="1" applyFill="1" applyBorder="1" applyAlignment="1" applyProtection="1">
      <alignment vertical="center"/>
      <protection locked="0"/>
    </xf>
    <xf numFmtId="3" fontId="10" fillId="0" borderId="0" xfId="3" applyNumberFormat="1" applyFont="1" applyProtection="1">
      <protection locked="0"/>
    </xf>
    <xf numFmtId="188" fontId="10" fillId="0" borderId="0" xfId="3" applyNumberFormat="1" applyFont="1" applyProtection="1">
      <protection locked="0"/>
    </xf>
    <xf numFmtId="182" fontId="28" fillId="4" borderId="2" xfId="0" applyNumberFormat="1" applyFont="1" applyFill="1" applyBorder="1" applyAlignment="1">
      <alignment horizontal="center" vertical="center"/>
    </xf>
    <xf numFmtId="4" fontId="0" fillId="7" borderId="2" xfId="0" applyNumberFormat="1" applyFill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3" fillId="0" borderId="21" xfId="0" applyFont="1" applyBorder="1" applyAlignment="1">
      <alignment horizontal="center" vertical="center"/>
    </xf>
    <xf numFmtId="0" fontId="0" fillId="0" borderId="109" xfId="0" applyBorder="1" applyAlignment="1" applyProtection="1">
      <alignment horizontal="center" vertical="center"/>
      <protection locked="0"/>
    </xf>
    <xf numFmtId="0" fontId="0" fillId="0" borderId="110" xfId="0" applyBorder="1" applyAlignment="1" applyProtection="1">
      <alignment horizontal="center" vertical="center"/>
      <protection locked="0"/>
    </xf>
    <xf numFmtId="0" fontId="6" fillId="7" borderId="3" xfId="0" applyFont="1" applyFill="1" applyBorder="1" applyAlignment="1" applyProtection="1">
      <alignment horizontal="center" vertical="center"/>
      <protection locked="0"/>
    </xf>
    <xf numFmtId="0" fontId="6" fillId="7" borderId="1" xfId="0" applyFont="1" applyFill="1" applyBorder="1" applyAlignment="1" applyProtection="1">
      <alignment horizontal="center" vertical="center"/>
      <protection locked="0"/>
    </xf>
    <xf numFmtId="0" fontId="0" fillId="7" borderId="3" xfId="0" applyFill="1" applyBorder="1" applyAlignment="1" applyProtection="1">
      <alignment horizontal="left" vertical="center" indent="1"/>
      <protection locked="0"/>
    </xf>
    <xf numFmtId="0" fontId="0" fillId="7" borderId="4" xfId="0" applyFill="1" applyBorder="1" applyAlignment="1" applyProtection="1">
      <alignment horizontal="left" vertical="center" indent="1"/>
      <protection locked="0"/>
    </xf>
    <xf numFmtId="0" fontId="0" fillId="7" borderId="1" xfId="0" applyFill="1" applyBorder="1" applyAlignment="1" applyProtection="1">
      <alignment horizontal="left" vertical="center" indent="1"/>
      <protection locked="0"/>
    </xf>
    <xf numFmtId="0" fontId="21" fillId="4" borderId="52" xfId="0" applyFont="1" applyFill="1" applyBorder="1" applyAlignment="1">
      <alignment horizontal="left" vertical="center"/>
    </xf>
    <xf numFmtId="0" fontId="21" fillId="4" borderId="53" xfId="0" applyFont="1" applyFill="1" applyBorder="1" applyAlignment="1">
      <alignment horizontal="left" vertical="center"/>
    </xf>
    <xf numFmtId="0" fontId="21" fillId="4" borderId="35" xfId="0" applyFont="1" applyFill="1" applyBorder="1" applyAlignment="1">
      <alignment horizontal="left" vertical="center"/>
    </xf>
    <xf numFmtId="3" fontId="0" fillId="7" borderId="3" xfId="0" applyNumberFormat="1" applyFill="1" applyBorder="1" applyAlignment="1" applyProtection="1">
      <alignment horizontal="center" vertical="center"/>
      <protection locked="0"/>
    </xf>
    <xf numFmtId="3" fontId="0" fillId="7" borderId="1" xfId="0" applyNumberFormat="1" applyFill="1" applyBorder="1" applyAlignment="1" applyProtection="1">
      <alignment horizontal="center" vertical="center"/>
      <protection locked="0"/>
    </xf>
    <xf numFmtId="0" fontId="35" fillId="46" borderId="77" xfId="0" applyFont="1" applyFill="1" applyBorder="1" applyAlignment="1">
      <alignment horizontal="center" vertical="center"/>
    </xf>
    <xf numFmtId="0" fontId="0" fillId="7" borderId="111" xfId="0" applyFill="1" applyBorder="1" applyAlignment="1" applyProtection="1">
      <alignment horizontal="left" vertical="center" wrapText="1"/>
      <protection locked="0"/>
    </xf>
    <xf numFmtId="0" fontId="0" fillId="0" borderId="31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27" fillId="46" borderId="5" xfId="0" applyFont="1" applyFill="1" applyBorder="1" applyAlignment="1">
      <alignment horizontal="center" vertical="center"/>
    </xf>
    <xf numFmtId="0" fontId="3" fillId="52" borderId="47" xfId="0" applyFont="1" applyFill="1" applyBorder="1" applyAlignment="1" applyProtection="1">
      <alignment horizontal="center" vertical="center"/>
      <protection locked="0"/>
    </xf>
    <xf numFmtId="4" fontId="5" fillId="0" borderId="38" xfId="6" applyNumberFormat="1" applyFont="1" applyBorder="1" applyAlignment="1" applyProtection="1">
      <alignment horizontal="center"/>
      <protection locked="0"/>
    </xf>
    <xf numFmtId="4" fontId="5" fillId="0" borderId="0" xfId="6" applyNumberFormat="1" applyFont="1" applyAlignment="1" applyProtection="1">
      <alignment horizontal="center"/>
      <protection locked="0"/>
    </xf>
    <xf numFmtId="0" fontId="5" fillId="0" borderId="0" xfId="3" applyFont="1" applyAlignment="1">
      <alignment horizontal="center"/>
    </xf>
    <xf numFmtId="3" fontId="4" fillId="0" borderId="0" xfId="3" applyNumberFormat="1" applyAlignment="1">
      <alignment horizontal="left"/>
    </xf>
    <xf numFmtId="3" fontId="4" fillId="0" borderId="5" xfId="3" applyNumberFormat="1" applyBorder="1" applyAlignment="1">
      <alignment horizontal="left"/>
    </xf>
    <xf numFmtId="4" fontId="5" fillId="0" borderId="38" xfId="58" applyNumberFormat="1" applyFont="1" applyBorder="1" applyAlignment="1" applyProtection="1">
      <alignment horizontal="center"/>
      <protection locked="0"/>
    </xf>
    <xf numFmtId="3" fontId="63" fillId="0" borderId="3" xfId="9" applyNumberFormat="1" applyFont="1" applyBorder="1" applyAlignment="1" applyProtection="1">
      <alignment horizontal="left" vertical="center"/>
      <protection locked="0"/>
    </xf>
    <xf numFmtId="3" fontId="63" fillId="0" borderId="4" xfId="9" applyNumberFormat="1" applyFont="1" applyBorder="1" applyAlignment="1" applyProtection="1">
      <alignment horizontal="left" vertical="center"/>
      <protection locked="0"/>
    </xf>
    <xf numFmtId="3" fontId="63" fillId="0" borderId="1" xfId="9" applyNumberFormat="1" applyFont="1" applyBorder="1" applyAlignment="1" applyProtection="1">
      <alignment horizontal="left" vertical="center"/>
      <protection locked="0"/>
    </xf>
    <xf numFmtId="177" fontId="63" fillId="0" borderId="3" xfId="9" applyNumberFormat="1" applyFont="1" applyBorder="1" applyAlignment="1" applyProtection="1">
      <alignment horizontal="center" vertical="center"/>
      <protection locked="0"/>
    </xf>
    <xf numFmtId="177" fontId="63" fillId="0" borderId="4" xfId="9" applyNumberFormat="1" applyFont="1" applyBorder="1" applyAlignment="1" applyProtection="1">
      <alignment horizontal="center" vertical="center"/>
      <protection locked="0"/>
    </xf>
    <xf numFmtId="177" fontId="63" fillId="0" borderId="1" xfId="9" applyNumberFormat="1" applyFont="1" applyBorder="1" applyAlignment="1" applyProtection="1">
      <alignment horizontal="center" vertical="center"/>
      <protection locked="0"/>
    </xf>
    <xf numFmtId="3" fontId="63" fillId="0" borderId="2" xfId="9" applyNumberFormat="1" applyFont="1" applyBorder="1" applyAlignment="1" applyProtection="1">
      <alignment horizontal="center" vertical="center"/>
      <protection locked="0"/>
    </xf>
    <xf numFmtId="3" fontId="63" fillId="0" borderId="12" xfId="9" applyNumberFormat="1" applyFont="1" applyBorder="1" applyAlignment="1" applyProtection="1">
      <alignment horizontal="center" vertical="center"/>
      <protection locked="0"/>
    </xf>
    <xf numFmtId="190" fontId="70" fillId="44" borderId="3" xfId="3" applyNumberFormat="1" applyFont="1" applyFill="1" applyBorder="1" applyAlignment="1">
      <alignment horizontal="center" vertical="center"/>
    </xf>
    <xf numFmtId="190" fontId="70" fillId="44" borderId="1" xfId="3" applyNumberFormat="1" applyFont="1" applyFill="1" applyBorder="1" applyAlignment="1">
      <alignment horizontal="center" vertical="center"/>
    </xf>
    <xf numFmtId="3" fontId="63" fillId="0" borderId="2" xfId="9" applyNumberFormat="1" applyFont="1" applyBorder="1" applyAlignment="1" applyProtection="1">
      <alignment horizontal="left" vertical="center"/>
      <protection locked="0"/>
    </xf>
    <xf numFmtId="177" fontId="63" fillId="0" borderId="2" xfId="9" applyNumberFormat="1" applyFont="1" applyBorder="1" applyAlignment="1" applyProtection="1">
      <alignment horizontal="center" vertical="center"/>
      <protection locked="0"/>
    </xf>
    <xf numFmtId="3" fontId="74" fillId="2" borderId="92" xfId="3" applyNumberFormat="1" applyFont="1" applyFill="1" applyBorder="1" applyAlignment="1" applyProtection="1">
      <alignment horizontal="center" vertical="center"/>
      <protection hidden="1"/>
    </xf>
    <xf numFmtId="0" fontId="73" fillId="2" borderId="92" xfId="3" applyFont="1" applyFill="1" applyBorder="1" applyAlignment="1" applyProtection="1">
      <alignment horizontal="center" vertical="center"/>
      <protection hidden="1"/>
    </xf>
    <xf numFmtId="0" fontId="73" fillId="2" borderId="10" xfId="3" applyFont="1" applyFill="1" applyBorder="1" applyAlignment="1" applyProtection="1">
      <alignment horizontal="center" vertical="center"/>
      <protection hidden="1"/>
    </xf>
    <xf numFmtId="3" fontId="73" fillId="2" borderId="60" xfId="3" applyNumberFormat="1" applyFont="1" applyFill="1" applyBorder="1" applyAlignment="1" applyProtection="1">
      <alignment horizontal="center" vertical="center"/>
      <protection hidden="1"/>
    </xf>
    <xf numFmtId="3" fontId="73" fillId="2" borderId="91" xfId="3" applyNumberFormat="1" applyFont="1" applyFill="1" applyBorder="1" applyAlignment="1" applyProtection="1">
      <alignment horizontal="center" vertical="center"/>
      <protection hidden="1"/>
    </xf>
    <xf numFmtId="3" fontId="73" fillId="2" borderId="93" xfId="3" applyNumberFormat="1" applyFont="1" applyFill="1" applyBorder="1" applyAlignment="1" applyProtection="1">
      <alignment horizontal="center" vertical="center"/>
      <protection hidden="1"/>
    </xf>
    <xf numFmtId="177" fontId="73" fillId="2" borderId="22" xfId="3" applyNumberFormat="1" applyFont="1" applyFill="1" applyBorder="1" applyAlignment="1" applyProtection="1">
      <alignment horizontal="center" vertical="center"/>
      <protection hidden="1"/>
    </xf>
    <xf numFmtId="3" fontId="73" fillId="2" borderId="94" xfId="3" applyNumberFormat="1" applyFont="1" applyFill="1" applyBorder="1" applyAlignment="1" applyProtection="1">
      <alignment horizontal="center" vertical="center"/>
      <protection locked="0" hidden="1"/>
    </xf>
    <xf numFmtId="3" fontId="73" fillId="2" borderId="91" xfId="3" applyNumberFormat="1" applyFont="1" applyFill="1" applyBorder="1" applyAlignment="1" applyProtection="1">
      <alignment horizontal="center" vertical="center"/>
      <protection locked="0" hidden="1"/>
    </xf>
    <xf numFmtId="3" fontId="73" fillId="2" borderId="61" xfId="3" applyNumberFormat="1" applyFont="1" applyFill="1" applyBorder="1" applyAlignment="1" applyProtection="1">
      <alignment horizontal="center" vertical="center"/>
      <protection locked="0" hidden="1"/>
    </xf>
    <xf numFmtId="0" fontId="73" fillId="2" borderId="95" xfId="3" applyFont="1" applyFill="1" applyBorder="1" applyAlignment="1">
      <alignment horizontal="center"/>
    </xf>
    <xf numFmtId="0" fontId="73" fillId="2" borderId="54" xfId="3" applyFont="1" applyFill="1" applyBorder="1" applyAlignment="1">
      <alignment horizontal="center"/>
    </xf>
    <xf numFmtId="0" fontId="73" fillId="2" borderId="96" xfId="3" applyFont="1" applyFill="1" applyBorder="1" applyAlignment="1">
      <alignment horizontal="center"/>
    </xf>
    <xf numFmtId="0" fontId="73" fillId="0" borderId="97" xfId="3" applyFont="1" applyBorder="1" applyAlignment="1" applyProtection="1">
      <alignment horizontal="center" vertical="center"/>
      <protection locked="0"/>
    </xf>
    <xf numFmtId="0" fontId="73" fillId="0" borderId="4" xfId="3" applyFont="1" applyBorder="1" applyAlignment="1" applyProtection="1">
      <alignment horizontal="center" vertical="center"/>
      <protection locked="0"/>
    </xf>
    <xf numFmtId="0" fontId="73" fillId="0" borderId="98" xfId="3" applyFont="1" applyBorder="1" applyAlignment="1" applyProtection="1">
      <alignment horizontal="center" vertical="center"/>
      <protection locked="0"/>
    </xf>
    <xf numFmtId="3" fontId="63" fillId="0" borderId="3" xfId="9" applyNumberFormat="1" applyFont="1" applyBorder="1" applyAlignment="1" applyProtection="1">
      <alignment horizontal="center" vertical="center"/>
      <protection locked="0"/>
    </xf>
    <xf numFmtId="3" fontId="63" fillId="0" borderId="4" xfId="9" applyNumberFormat="1" applyFont="1" applyBorder="1" applyAlignment="1" applyProtection="1">
      <alignment horizontal="center" vertical="center"/>
      <protection locked="0"/>
    </xf>
    <xf numFmtId="3" fontId="63" fillId="0" borderId="98" xfId="9" applyNumberFormat="1" applyFont="1" applyBorder="1" applyAlignment="1" applyProtection="1">
      <alignment horizontal="center" vertical="center"/>
      <protection locked="0"/>
    </xf>
    <xf numFmtId="0" fontId="72" fillId="44" borderId="21" xfId="3" applyFont="1" applyFill="1" applyBorder="1" applyAlignment="1">
      <alignment horizontal="center"/>
    </xf>
    <xf numFmtId="0" fontId="72" fillId="44" borderId="67" xfId="3" applyFont="1" applyFill="1" applyBorder="1" applyAlignment="1">
      <alignment horizontal="center"/>
    </xf>
    <xf numFmtId="0" fontId="66" fillId="44" borderId="3" xfId="3" applyFont="1" applyFill="1" applyBorder="1" applyAlignment="1">
      <alignment horizontal="left"/>
    </xf>
    <xf numFmtId="0" fontId="66" fillId="44" borderId="4" xfId="3" applyFont="1" applyFill="1" applyBorder="1" applyAlignment="1">
      <alignment horizontal="left"/>
    </xf>
    <xf numFmtId="0" fontId="66" fillId="44" borderId="1" xfId="3" applyFont="1" applyFill="1" applyBorder="1" applyAlignment="1">
      <alignment horizontal="left"/>
    </xf>
    <xf numFmtId="3" fontId="66" fillId="44" borderId="3" xfId="3" applyNumberFormat="1" applyFont="1" applyFill="1" applyBorder="1" applyAlignment="1">
      <alignment horizontal="left"/>
    </xf>
    <xf numFmtId="0" fontId="66" fillId="44" borderId="3" xfId="3" applyFont="1" applyFill="1" applyBorder="1" applyAlignment="1" applyProtection="1">
      <alignment horizontal="left"/>
      <protection locked="0"/>
    </xf>
    <xf numFmtId="0" fontId="66" fillId="44" borderId="4" xfId="3" applyFont="1" applyFill="1" applyBorder="1" applyAlignment="1" applyProtection="1">
      <alignment horizontal="left"/>
      <protection locked="0"/>
    </xf>
    <xf numFmtId="0" fontId="66" fillId="44" borderId="1" xfId="3" applyFont="1" applyFill="1" applyBorder="1" applyAlignment="1" applyProtection="1">
      <alignment horizontal="left"/>
      <protection locked="0"/>
    </xf>
    <xf numFmtId="3" fontId="66" fillId="44" borderId="2" xfId="3" applyNumberFormat="1" applyFont="1" applyFill="1" applyBorder="1" applyAlignment="1">
      <alignment horizontal="center"/>
    </xf>
    <xf numFmtId="1" fontId="70" fillId="44" borderId="0" xfId="3" applyNumberFormat="1" applyFont="1" applyFill="1" applyAlignment="1" applyProtection="1">
      <alignment horizontal="left"/>
      <protection locked="0"/>
    </xf>
    <xf numFmtId="0" fontId="68" fillId="45" borderId="60" xfId="3" applyFont="1" applyFill="1" applyBorder="1" applyAlignment="1">
      <alignment horizontal="center" vertical="center"/>
    </xf>
    <xf numFmtId="0" fontId="68" fillId="45" borderId="91" xfId="3" applyFont="1" applyFill="1" applyBorder="1" applyAlignment="1">
      <alignment horizontal="center" vertical="center"/>
    </xf>
    <xf numFmtId="0" fontId="68" fillId="45" borderId="61" xfId="3" applyFont="1" applyFill="1" applyBorder="1" applyAlignment="1">
      <alignment horizontal="center" vertical="center"/>
    </xf>
    <xf numFmtId="0" fontId="63" fillId="44" borderId="0" xfId="3" applyFont="1" applyFill="1" applyAlignment="1">
      <alignment horizontal="right"/>
    </xf>
    <xf numFmtId="0" fontId="63" fillId="44" borderId="28" xfId="3" applyFont="1" applyFill="1" applyBorder="1" applyAlignment="1">
      <alignment horizontal="right"/>
    </xf>
    <xf numFmtId="14" fontId="63" fillId="44" borderId="2" xfId="3" applyNumberFormat="1" applyFont="1" applyFill="1" applyBorder="1" applyAlignment="1" applyProtection="1">
      <alignment horizontal="center"/>
      <protection locked="0"/>
    </xf>
    <xf numFmtId="1" fontId="70" fillId="44" borderId="2" xfId="3" applyNumberFormat="1" applyFont="1" applyFill="1" applyBorder="1" applyAlignment="1" applyProtection="1">
      <alignment horizontal="left"/>
      <protection locked="0"/>
    </xf>
    <xf numFmtId="14" fontId="70" fillId="44" borderId="3" xfId="3" applyNumberFormat="1" applyFont="1" applyFill="1" applyBorder="1" applyAlignment="1" applyProtection="1">
      <alignment horizontal="center" vertical="center"/>
      <protection locked="0"/>
    </xf>
    <xf numFmtId="14" fontId="70" fillId="44" borderId="1" xfId="3" applyNumberFormat="1" applyFont="1" applyFill="1" applyBorder="1" applyAlignment="1" applyProtection="1">
      <alignment horizontal="center" vertical="center"/>
      <protection locked="0"/>
    </xf>
    <xf numFmtId="14" fontId="65" fillId="5" borderId="0" xfId="3" applyNumberFormat="1" applyFont="1" applyFill="1" applyAlignment="1" applyProtection="1">
      <alignment horizontal="left"/>
      <protection locked="0"/>
    </xf>
    <xf numFmtId="0" fontId="65" fillId="5" borderId="0" xfId="3" applyFont="1" applyFill="1" applyAlignment="1" applyProtection="1">
      <alignment horizontal="left"/>
      <protection locked="0"/>
    </xf>
    <xf numFmtId="189" fontId="66" fillId="0" borderId="3" xfId="3" applyNumberFormat="1" applyFont="1" applyBorder="1" applyAlignment="1">
      <alignment horizontal="center" vertical="center"/>
    </xf>
    <xf numFmtId="189" fontId="66" fillId="0" borderId="1" xfId="3" applyNumberFormat="1" applyFont="1" applyBorder="1" applyAlignment="1">
      <alignment horizontal="center" vertical="center"/>
    </xf>
    <xf numFmtId="178" fontId="70" fillId="44" borderId="0" xfId="3" applyNumberFormat="1" applyFont="1" applyFill="1" applyAlignment="1" applyProtection="1">
      <alignment horizontal="left"/>
      <protection locked="0"/>
    </xf>
    <xf numFmtId="3" fontId="65" fillId="5" borderId="3" xfId="3" applyNumberFormat="1" applyFont="1" applyFill="1" applyBorder="1" applyAlignment="1">
      <alignment horizontal="left"/>
    </xf>
    <xf numFmtId="0" fontId="65" fillId="5" borderId="4" xfId="3" applyFont="1" applyFill="1" applyBorder="1" applyAlignment="1">
      <alignment horizontal="left"/>
    </xf>
    <xf numFmtId="0" fontId="65" fillId="5" borderId="1" xfId="3" applyFont="1" applyFill="1" applyBorder="1" applyAlignment="1">
      <alignment horizontal="left"/>
    </xf>
    <xf numFmtId="14" fontId="70" fillId="0" borderId="3" xfId="3" applyNumberFormat="1" applyFont="1" applyBorder="1" applyAlignment="1" applyProtection="1">
      <alignment horizontal="center" vertical="center"/>
      <protection locked="0"/>
    </xf>
    <xf numFmtId="14" fontId="70" fillId="0" borderId="1" xfId="3" applyNumberFormat="1" applyFont="1" applyBorder="1" applyAlignment="1" applyProtection="1">
      <alignment horizontal="center" vertical="center"/>
      <protection locked="0"/>
    </xf>
    <xf numFmtId="3" fontId="63" fillId="5" borderId="3" xfId="3" applyNumberFormat="1" applyFont="1" applyFill="1" applyBorder="1" applyAlignment="1">
      <alignment horizontal="left"/>
    </xf>
    <xf numFmtId="0" fontId="63" fillId="5" borderId="4" xfId="3" applyFont="1" applyFill="1" applyBorder="1" applyAlignment="1">
      <alignment horizontal="left"/>
    </xf>
    <xf numFmtId="0" fontId="63" fillId="5" borderId="1" xfId="3" applyFont="1" applyFill="1" applyBorder="1" applyAlignment="1">
      <alignment horizontal="left"/>
    </xf>
    <xf numFmtId="188" fontId="70" fillId="44" borderId="3" xfId="3" applyNumberFormat="1" applyFont="1" applyFill="1" applyBorder="1" applyAlignment="1">
      <alignment horizontal="center" vertical="center"/>
    </xf>
    <xf numFmtId="188" fontId="70" fillId="44" borderId="1" xfId="3" applyNumberFormat="1" applyFont="1" applyFill="1" applyBorder="1" applyAlignment="1">
      <alignment horizontal="center" vertical="center"/>
    </xf>
    <xf numFmtId="1" fontId="69" fillId="44" borderId="2" xfId="3" applyNumberFormat="1" applyFont="1" applyFill="1" applyBorder="1" applyAlignment="1" applyProtection="1">
      <alignment horizontal="left"/>
      <protection locked="0"/>
    </xf>
    <xf numFmtId="14" fontId="70" fillId="44" borderId="3" xfId="3" applyNumberFormat="1" applyFont="1" applyFill="1" applyBorder="1" applyAlignment="1">
      <alignment horizontal="center" vertical="center"/>
    </xf>
    <xf numFmtId="14" fontId="70" fillId="44" borderId="1" xfId="3" applyNumberFormat="1" applyFont="1" applyFill="1" applyBorder="1" applyAlignment="1">
      <alignment horizontal="center" vertical="center"/>
    </xf>
    <xf numFmtId="0" fontId="64" fillId="44" borderId="0" xfId="3" applyFont="1" applyFill="1" applyAlignment="1">
      <alignment horizontal="center" vertical="center" wrapText="1"/>
    </xf>
    <xf numFmtId="0" fontId="64" fillId="44" borderId="28" xfId="3" applyFont="1" applyFill="1" applyBorder="1" applyAlignment="1">
      <alignment horizontal="center" vertical="center" wrapText="1"/>
    </xf>
    <xf numFmtId="0" fontId="66" fillId="5" borderId="2" xfId="3" applyFont="1" applyFill="1" applyBorder="1" applyAlignment="1">
      <alignment horizontal="center" vertical="center"/>
    </xf>
    <xf numFmtId="3" fontId="67" fillId="5" borderId="3" xfId="3" applyNumberFormat="1" applyFont="1" applyFill="1" applyBorder="1" applyAlignment="1">
      <alignment horizontal="center"/>
    </xf>
    <xf numFmtId="0" fontId="67" fillId="5" borderId="4" xfId="3" applyFont="1" applyFill="1" applyBorder="1" applyAlignment="1">
      <alignment horizontal="center"/>
    </xf>
    <xf numFmtId="0" fontId="67" fillId="5" borderId="98" xfId="3" applyFont="1" applyFill="1" applyBorder="1" applyAlignment="1">
      <alignment horizontal="center"/>
    </xf>
    <xf numFmtId="14" fontId="67" fillId="5" borderId="2" xfId="3" applyNumberFormat="1" applyFont="1" applyFill="1" applyBorder="1" applyAlignment="1" applyProtection="1">
      <alignment horizontal="center" vertical="center"/>
      <protection locked="0"/>
    </xf>
    <xf numFmtId="0" fontId="67" fillId="5" borderId="2" xfId="3" applyFont="1" applyFill="1" applyBorder="1" applyAlignment="1" applyProtection="1">
      <alignment horizontal="center" vertical="center"/>
      <protection locked="0"/>
    </xf>
    <xf numFmtId="0" fontId="67" fillId="5" borderId="12" xfId="3" applyFont="1" applyFill="1" applyBorder="1" applyAlignment="1" applyProtection="1">
      <alignment horizontal="center" vertical="center"/>
      <protection locked="0"/>
    </xf>
    <xf numFmtId="0" fontId="16" fillId="0" borderId="21" xfId="0" applyFont="1" applyBorder="1" applyAlignment="1">
      <alignment horizontal="center"/>
    </xf>
    <xf numFmtId="0" fontId="16" fillId="0" borderId="54" xfId="0" applyFont="1" applyBorder="1" applyAlignment="1">
      <alignment horizontal="center"/>
    </xf>
    <xf numFmtId="0" fontId="16" fillId="0" borderId="55" xfId="0" applyFont="1" applyBorder="1" applyAlignment="1">
      <alignment horizontal="center"/>
    </xf>
    <xf numFmtId="3" fontId="22" fillId="0" borderId="0" xfId="488" applyNumberFormat="1" applyFont="1" applyAlignment="1">
      <alignment horizontal="left"/>
    </xf>
    <xf numFmtId="0" fontId="24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31" fillId="0" borderId="64" xfId="0" applyFont="1" applyBorder="1" applyAlignment="1" applyProtection="1">
      <alignment horizontal="left"/>
      <protection locked="0"/>
    </xf>
    <xf numFmtId="0" fontId="31" fillId="0" borderId="0" xfId="0" applyFont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8" fillId="0" borderId="3" xfId="0" applyFont="1" applyBorder="1" applyAlignment="1" applyProtection="1">
      <alignment horizontal="center"/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0" fontId="3" fillId="0" borderId="0" xfId="0" applyFont="1" applyAlignment="1">
      <alignment horizontal="center"/>
    </xf>
    <xf numFmtId="0" fontId="41" fillId="0" borderId="0" xfId="0" applyFont="1" applyAlignment="1">
      <alignment horizontal="center"/>
    </xf>
  </cellXfs>
  <cellStyles count="983">
    <cellStyle name="20% - Énfasis1" xfId="947" builtinId="30" customBuiltin="1"/>
    <cellStyle name="20% - Énfasis2" xfId="951" builtinId="34" customBuiltin="1"/>
    <cellStyle name="20% - Énfasis3" xfId="955" builtinId="38" customBuiltin="1"/>
    <cellStyle name="20% - Énfasis4" xfId="959" builtinId="42" customBuiltin="1"/>
    <cellStyle name="20% - Énfasis5" xfId="963" builtinId="46" customBuiltin="1"/>
    <cellStyle name="20% - Énfasis6" xfId="967" builtinId="50" customBuiltin="1"/>
    <cellStyle name="40% - Énfasis1" xfId="948" builtinId="31" customBuiltin="1"/>
    <cellStyle name="40% - Énfasis2" xfId="952" builtinId="35" customBuiltin="1"/>
    <cellStyle name="40% - Énfasis3" xfId="956" builtinId="39" customBuiltin="1"/>
    <cellStyle name="40% - Énfasis4" xfId="960" builtinId="43" customBuiltin="1"/>
    <cellStyle name="40% - Énfasis5" xfId="964" builtinId="47" customBuiltin="1"/>
    <cellStyle name="40% - Énfasis6" xfId="968" builtinId="51" customBuiltin="1"/>
    <cellStyle name="60% - Énfasis1" xfId="949" builtinId="32" customBuiltin="1"/>
    <cellStyle name="60% - Énfasis2" xfId="953" builtinId="36" customBuiltin="1"/>
    <cellStyle name="60% - Énfasis3" xfId="957" builtinId="40" customBuiltin="1"/>
    <cellStyle name="60% - Énfasis4" xfId="961" builtinId="44" customBuiltin="1"/>
    <cellStyle name="60% - Énfasis5" xfId="965" builtinId="48" customBuiltin="1"/>
    <cellStyle name="60% - Énfasis6" xfId="969" builtinId="52" customBuiltin="1"/>
    <cellStyle name="Bueno" xfId="935" builtinId="26" customBuiltin="1"/>
    <cellStyle name="Cálculo" xfId="940" builtinId="22" customBuiltin="1"/>
    <cellStyle name="Celda de comprobación" xfId="942" builtinId="23" customBuiltin="1"/>
    <cellStyle name="Celda vinculada" xfId="941" builtinId="24" customBuiltin="1"/>
    <cellStyle name="Encabezado 1" xfId="931" builtinId="16" customBuiltin="1"/>
    <cellStyle name="Encabezado 4" xfId="934" builtinId="19" customBuiltin="1"/>
    <cellStyle name="Énfasis1" xfId="946" builtinId="29" customBuiltin="1"/>
    <cellStyle name="Énfasis2" xfId="950" builtinId="33" customBuiltin="1"/>
    <cellStyle name="Énfasis3" xfId="954" builtinId="37" customBuiltin="1"/>
    <cellStyle name="Énfasis4" xfId="958" builtinId="41" customBuiltin="1"/>
    <cellStyle name="Énfasis5" xfId="962" builtinId="45" customBuiltin="1"/>
    <cellStyle name="Énfasis6" xfId="966" builtinId="49" customBuiltin="1"/>
    <cellStyle name="Entrada" xfId="938" builtinId="20" customBuiltin="1"/>
    <cellStyle name="Euro" xfId="10" xr:uid="{00000000-0005-0000-0000-00001E000000}"/>
    <cellStyle name="Euro 10" xfId="11" xr:uid="{00000000-0005-0000-0000-00001F000000}"/>
    <cellStyle name="Euro 11" xfId="12" xr:uid="{00000000-0005-0000-0000-000020000000}"/>
    <cellStyle name="Euro 12" xfId="13" xr:uid="{00000000-0005-0000-0000-000021000000}"/>
    <cellStyle name="Euro 13" xfId="14" xr:uid="{00000000-0005-0000-0000-000022000000}"/>
    <cellStyle name="Euro 14" xfId="15" xr:uid="{00000000-0005-0000-0000-000023000000}"/>
    <cellStyle name="Euro 2" xfId="16" xr:uid="{00000000-0005-0000-0000-000024000000}"/>
    <cellStyle name="Euro 3" xfId="17" xr:uid="{00000000-0005-0000-0000-000025000000}"/>
    <cellStyle name="Euro 4" xfId="18" xr:uid="{00000000-0005-0000-0000-000026000000}"/>
    <cellStyle name="Euro 5" xfId="19" xr:uid="{00000000-0005-0000-0000-000027000000}"/>
    <cellStyle name="Euro 6" xfId="20" xr:uid="{00000000-0005-0000-0000-000028000000}"/>
    <cellStyle name="Euro 7" xfId="21" xr:uid="{00000000-0005-0000-0000-000029000000}"/>
    <cellStyle name="Euro 8" xfId="22" xr:uid="{00000000-0005-0000-0000-00002A000000}"/>
    <cellStyle name="Euro 9" xfId="23" xr:uid="{00000000-0005-0000-0000-00002B000000}"/>
    <cellStyle name="Incorrecto" xfId="936" builtinId="27" customBuiltin="1"/>
    <cellStyle name="Millares" xfId="508" builtinId="3"/>
    <cellStyle name="Millares [0]" xfId="982" builtinId="6"/>
    <cellStyle name="Millares 2" xfId="4" xr:uid="{00000000-0005-0000-0000-00002E000000}"/>
    <cellStyle name="Millares 2 10" xfId="5" xr:uid="{00000000-0005-0000-0000-00002F000000}"/>
    <cellStyle name="Millares 2 11" xfId="24" xr:uid="{00000000-0005-0000-0000-000030000000}"/>
    <cellStyle name="Millares 2 12" xfId="7" xr:uid="{00000000-0005-0000-0000-000031000000}"/>
    <cellStyle name="Millares 2 13" xfId="25" xr:uid="{00000000-0005-0000-0000-000032000000}"/>
    <cellStyle name="Millares 2 14" xfId="8" xr:uid="{00000000-0005-0000-0000-000033000000}"/>
    <cellStyle name="Millares 2 15" xfId="26" xr:uid="{00000000-0005-0000-0000-000034000000}"/>
    <cellStyle name="Millares 2 16" xfId="27" xr:uid="{00000000-0005-0000-0000-000035000000}"/>
    <cellStyle name="Millares 2 17" xfId="973" xr:uid="{00000000-0005-0000-0000-000036000000}"/>
    <cellStyle name="Millares 2 18" xfId="978" xr:uid="{00000000-0005-0000-0000-000037000000}"/>
    <cellStyle name="Millares 2 2" xfId="28" xr:uid="{00000000-0005-0000-0000-000038000000}"/>
    <cellStyle name="Millares 2 3" xfId="29" xr:uid="{00000000-0005-0000-0000-000039000000}"/>
    <cellStyle name="Millares 2 4" xfId="30" xr:uid="{00000000-0005-0000-0000-00003A000000}"/>
    <cellStyle name="Millares 2 5" xfId="31" xr:uid="{00000000-0005-0000-0000-00003B000000}"/>
    <cellStyle name="Millares 2 6" xfId="32" xr:uid="{00000000-0005-0000-0000-00003C000000}"/>
    <cellStyle name="Millares 2 7" xfId="33" xr:uid="{00000000-0005-0000-0000-00003D000000}"/>
    <cellStyle name="Millares 2 8" xfId="34" xr:uid="{00000000-0005-0000-0000-00003E000000}"/>
    <cellStyle name="Millares 2 9" xfId="35" xr:uid="{00000000-0005-0000-0000-00003F000000}"/>
    <cellStyle name="Millares 4" xfId="36" xr:uid="{00000000-0005-0000-0000-000040000000}"/>
    <cellStyle name="Moneda" xfId="1" builtinId="4"/>
    <cellStyle name="Moneda 2" xfId="37" xr:uid="{00000000-0005-0000-0000-000042000000}"/>
    <cellStyle name="Moneda 2 10" xfId="38" xr:uid="{00000000-0005-0000-0000-000043000000}"/>
    <cellStyle name="Moneda 2 11" xfId="39" xr:uid="{00000000-0005-0000-0000-000044000000}"/>
    <cellStyle name="Moneda 2 12" xfId="40" xr:uid="{00000000-0005-0000-0000-000045000000}"/>
    <cellStyle name="Moneda 2 13" xfId="41" xr:uid="{00000000-0005-0000-0000-000046000000}"/>
    <cellStyle name="Moneda 2 14" xfId="42" xr:uid="{00000000-0005-0000-0000-000047000000}"/>
    <cellStyle name="Moneda 2 15" xfId="972" xr:uid="{00000000-0005-0000-0000-000048000000}"/>
    <cellStyle name="Moneda 2 16" xfId="977" xr:uid="{00000000-0005-0000-0000-000049000000}"/>
    <cellStyle name="Moneda 2 2" xfId="43" xr:uid="{00000000-0005-0000-0000-00004A000000}"/>
    <cellStyle name="Moneda 2 3" xfId="44" xr:uid="{00000000-0005-0000-0000-00004B000000}"/>
    <cellStyle name="Moneda 2 4" xfId="45" xr:uid="{00000000-0005-0000-0000-00004C000000}"/>
    <cellStyle name="Moneda 2 5" xfId="46" xr:uid="{00000000-0005-0000-0000-00004D000000}"/>
    <cellStyle name="Moneda 2 6" xfId="47" xr:uid="{00000000-0005-0000-0000-00004E000000}"/>
    <cellStyle name="Moneda 2 7" xfId="48" xr:uid="{00000000-0005-0000-0000-00004F000000}"/>
    <cellStyle name="Moneda 2 8" xfId="49" xr:uid="{00000000-0005-0000-0000-000050000000}"/>
    <cellStyle name="Moneda 2 9" xfId="50" xr:uid="{00000000-0005-0000-0000-000051000000}"/>
    <cellStyle name="Moneda 3" xfId="971" xr:uid="{00000000-0005-0000-0000-000052000000}"/>
    <cellStyle name="Moneda 4" xfId="975" xr:uid="{00000000-0005-0000-0000-000053000000}"/>
    <cellStyle name="Neutral" xfId="937" builtinId="28" customBuiltin="1"/>
    <cellStyle name="Normal" xfId="0" builtinId="0"/>
    <cellStyle name="Normal 10" xfId="51" xr:uid="{00000000-0005-0000-0000-000056000000}"/>
    <cellStyle name="Normal 10 2" xfId="52" xr:uid="{00000000-0005-0000-0000-000057000000}"/>
    <cellStyle name="Normal 10 2 2" xfId="930" xr:uid="{00000000-0005-0000-0000-000058000000}"/>
    <cellStyle name="Normal 10 3" xfId="719" xr:uid="{00000000-0005-0000-0000-000059000000}"/>
    <cellStyle name="Normal 11" xfId="970" xr:uid="{00000000-0005-0000-0000-00005A000000}"/>
    <cellStyle name="Normal 12" xfId="974" xr:uid="{00000000-0005-0000-0000-00005B000000}"/>
    <cellStyle name="Normal 2" xfId="3" xr:uid="{00000000-0005-0000-0000-00005C000000}"/>
    <cellStyle name="Normal 2 10" xfId="6" xr:uid="{00000000-0005-0000-0000-00005D000000}"/>
    <cellStyle name="Normal 2 11" xfId="9" xr:uid="{00000000-0005-0000-0000-00005E000000}"/>
    <cellStyle name="Normal 2 12" xfId="53" xr:uid="{00000000-0005-0000-0000-00005F000000}"/>
    <cellStyle name="Normal 2 13" xfId="54" xr:uid="{00000000-0005-0000-0000-000060000000}"/>
    <cellStyle name="Normal 2 14" xfId="55" xr:uid="{00000000-0005-0000-0000-000061000000}"/>
    <cellStyle name="Normal 2 15" xfId="56" xr:uid="{00000000-0005-0000-0000-000062000000}"/>
    <cellStyle name="Normal 2 16" xfId="57" xr:uid="{00000000-0005-0000-0000-000063000000}"/>
    <cellStyle name="Normal 2 2" xfId="58" xr:uid="{00000000-0005-0000-0000-000064000000}"/>
    <cellStyle name="Normal 2 3" xfId="59" xr:uid="{00000000-0005-0000-0000-000065000000}"/>
    <cellStyle name="Normal 2 4" xfId="60" xr:uid="{00000000-0005-0000-0000-000066000000}"/>
    <cellStyle name="Normal 2 5" xfId="61" xr:uid="{00000000-0005-0000-0000-000067000000}"/>
    <cellStyle name="Normal 2 6" xfId="62" xr:uid="{00000000-0005-0000-0000-000068000000}"/>
    <cellStyle name="Normal 2 7" xfId="63" xr:uid="{00000000-0005-0000-0000-000069000000}"/>
    <cellStyle name="Normal 2 8" xfId="64" xr:uid="{00000000-0005-0000-0000-00006A000000}"/>
    <cellStyle name="Normal 2 9" xfId="65" xr:uid="{00000000-0005-0000-0000-00006B000000}"/>
    <cellStyle name="Normal 3" xfId="66" xr:uid="{00000000-0005-0000-0000-00006C000000}"/>
    <cellStyle name="Normal 3 2" xfId="67" xr:uid="{00000000-0005-0000-0000-00006D000000}"/>
    <cellStyle name="Normal 3 2 10" xfId="68" xr:uid="{00000000-0005-0000-0000-00006E000000}"/>
    <cellStyle name="Normal 3 2 10 2" xfId="69" xr:uid="{00000000-0005-0000-0000-00006F000000}"/>
    <cellStyle name="Normal 3 2 10 2 2" xfId="70" xr:uid="{00000000-0005-0000-0000-000070000000}"/>
    <cellStyle name="Normal 3 2 10 2 2 2" xfId="839" xr:uid="{00000000-0005-0000-0000-000071000000}"/>
    <cellStyle name="Normal 3 2 10 2 3" xfId="628" xr:uid="{00000000-0005-0000-0000-000072000000}"/>
    <cellStyle name="Normal 3 2 10 3" xfId="71" xr:uid="{00000000-0005-0000-0000-000073000000}"/>
    <cellStyle name="Normal 3 2 10 3 2" xfId="72" xr:uid="{00000000-0005-0000-0000-000074000000}"/>
    <cellStyle name="Normal 3 2 10 3 2 2" xfId="897" xr:uid="{00000000-0005-0000-0000-000075000000}"/>
    <cellStyle name="Normal 3 2 10 3 3" xfId="686" xr:uid="{00000000-0005-0000-0000-000076000000}"/>
    <cellStyle name="Normal 3 2 10 4" xfId="73" xr:uid="{00000000-0005-0000-0000-000077000000}"/>
    <cellStyle name="Normal 3 2 10 4 2" xfId="757" xr:uid="{00000000-0005-0000-0000-000078000000}"/>
    <cellStyle name="Normal 3 2 10 5" xfId="546" xr:uid="{00000000-0005-0000-0000-000079000000}"/>
    <cellStyle name="Normal 3 2 11" xfId="74" xr:uid="{00000000-0005-0000-0000-00007A000000}"/>
    <cellStyle name="Normal 3 2 11 2" xfId="75" xr:uid="{00000000-0005-0000-0000-00007B000000}"/>
    <cellStyle name="Normal 3 2 11 2 2" xfId="76" xr:uid="{00000000-0005-0000-0000-00007C000000}"/>
    <cellStyle name="Normal 3 2 11 2 2 2" xfId="851" xr:uid="{00000000-0005-0000-0000-00007D000000}"/>
    <cellStyle name="Normal 3 2 11 2 3" xfId="640" xr:uid="{00000000-0005-0000-0000-00007E000000}"/>
    <cellStyle name="Normal 3 2 11 3" xfId="77" xr:uid="{00000000-0005-0000-0000-00007F000000}"/>
    <cellStyle name="Normal 3 2 11 3 2" xfId="78" xr:uid="{00000000-0005-0000-0000-000080000000}"/>
    <cellStyle name="Normal 3 2 11 3 2 2" xfId="909" xr:uid="{00000000-0005-0000-0000-000081000000}"/>
    <cellStyle name="Normal 3 2 11 3 3" xfId="698" xr:uid="{00000000-0005-0000-0000-000082000000}"/>
    <cellStyle name="Normal 3 2 11 4" xfId="79" xr:uid="{00000000-0005-0000-0000-000083000000}"/>
    <cellStyle name="Normal 3 2 11 4 2" xfId="769" xr:uid="{00000000-0005-0000-0000-000084000000}"/>
    <cellStyle name="Normal 3 2 11 5" xfId="558" xr:uid="{00000000-0005-0000-0000-000085000000}"/>
    <cellStyle name="Normal 3 2 12" xfId="80" xr:uid="{00000000-0005-0000-0000-000086000000}"/>
    <cellStyle name="Normal 3 2 12 2" xfId="81" xr:uid="{00000000-0005-0000-0000-000087000000}"/>
    <cellStyle name="Normal 3 2 12 2 2" xfId="792" xr:uid="{00000000-0005-0000-0000-000088000000}"/>
    <cellStyle name="Normal 3 2 12 3" xfId="581" xr:uid="{00000000-0005-0000-0000-000089000000}"/>
    <cellStyle name="Normal 3 2 13" xfId="82" xr:uid="{00000000-0005-0000-0000-00008A000000}"/>
    <cellStyle name="Normal 3 2 13 2" xfId="83" xr:uid="{00000000-0005-0000-0000-00008B000000}"/>
    <cellStyle name="Normal 3 2 13 2 2" xfId="800" xr:uid="{00000000-0005-0000-0000-00008C000000}"/>
    <cellStyle name="Normal 3 2 13 3" xfId="589" xr:uid="{00000000-0005-0000-0000-00008D000000}"/>
    <cellStyle name="Normal 3 2 14" xfId="84" xr:uid="{00000000-0005-0000-0000-00008E000000}"/>
    <cellStyle name="Normal 3 2 14 2" xfId="720" xr:uid="{00000000-0005-0000-0000-00008F000000}"/>
    <cellStyle name="Normal 3 2 15" xfId="509" xr:uid="{00000000-0005-0000-0000-000090000000}"/>
    <cellStyle name="Normal 3 2 2" xfId="85" xr:uid="{00000000-0005-0000-0000-000091000000}"/>
    <cellStyle name="Normal 3 2 2 2" xfId="86" xr:uid="{00000000-0005-0000-0000-000092000000}"/>
    <cellStyle name="Normal 3 2 2 2 2" xfId="87" xr:uid="{00000000-0005-0000-0000-000093000000}"/>
    <cellStyle name="Normal 3 2 2 2 2 2" xfId="88" xr:uid="{00000000-0005-0000-0000-000094000000}"/>
    <cellStyle name="Normal 3 2 2 2 2 2 2" xfId="822" xr:uid="{00000000-0005-0000-0000-000095000000}"/>
    <cellStyle name="Normal 3 2 2 2 2 3" xfId="611" xr:uid="{00000000-0005-0000-0000-000096000000}"/>
    <cellStyle name="Normal 3 2 2 2 3" xfId="89" xr:uid="{00000000-0005-0000-0000-000097000000}"/>
    <cellStyle name="Normal 3 2 2 2 3 2" xfId="90" xr:uid="{00000000-0005-0000-0000-000098000000}"/>
    <cellStyle name="Normal 3 2 2 2 3 2 2" xfId="881" xr:uid="{00000000-0005-0000-0000-000099000000}"/>
    <cellStyle name="Normal 3 2 2 2 3 3" xfId="670" xr:uid="{00000000-0005-0000-0000-00009A000000}"/>
    <cellStyle name="Normal 3 2 2 2 4" xfId="91" xr:uid="{00000000-0005-0000-0000-00009B000000}"/>
    <cellStyle name="Normal 3 2 2 2 4 2" xfId="741" xr:uid="{00000000-0005-0000-0000-00009C000000}"/>
    <cellStyle name="Normal 3 2 2 2 5" xfId="530" xr:uid="{00000000-0005-0000-0000-00009D000000}"/>
    <cellStyle name="Normal 3 2 2 3" xfId="92" xr:uid="{00000000-0005-0000-0000-00009E000000}"/>
    <cellStyle name="Normal 3 2 2 3 2" xfId="93" xr:uid="{00000000-0005-0000-0000-00009F000000}"/>
    <cellStyle name="Normal 3 2 2 3 2 2" xfId="94" xr:uid="{00000000-0005-0000-0000-0000A0000000}"/>
    <cellStyle name="Normal 3 2 2 3 2 2 2" xfId="826" xr:uid="{00000000-0005-0000-0000-0000A1000000}"/>
    <cellStyle name="Normal 3 2 2 3 2 3" xfId="615" xr:uid="{00000000-0005-0000-0000-0000A2000000}"/>
    <cellStyle name="Normal 3 2 2 3 3" xfId="95" xr:uid="{00000000-0005-0000-0000-0000A3000000}"/>
    <cellStyle name="Normal 3 2 2 3 3 2" xfId="96" xr:uid="{00000000-0005-0000-0000-0000A4000000}"/>
    <cellStyle name="Normal 3 2 2 3 3 2 2" xfId="885" xr:uid="{00000000-0005-0000-0000-0000A5000000}"/>
    <cellStyle name="Normal 3 2 2 3 3 3" xfId="674" xr:uid="{00000000-0005-0000-0000-0000A6000000}"/>
    <cellStyle name="Normal 3 2 2 3 4" xfId="97" xr:uid="{00000000-0005-0000-0000-0000A7000000}"/>
    <cellStyle name="Normal 3 2 2 3 4 2" xfId="745" xr:uid="{00000000-0005-0000-0000-0000A8000000}"/>
    <cellStyle name="Normal 3 2 2 3 5" xfId="534" xr:uid="{00000000-0005-0000-0000-0000A9000000}"/>
    <cellStyle name="Normal 3 2 2 4" xfId="98" xr:uid="{00000000-0005-0000-0000-0000AA000000}"/>
    <cellStyle name="Normal 3 2 2 4 2" xfId="99" xr:uid="{00000000-0005-0000-0000-0000AB000000}"/>
    <cellStyle name="Normal 3 2 2 4 2 2" xfId="100" xr:uid="{00000000-0005-0000-0000-0000AC000000}"/>
    <cellStyle name="Normal 3 2 2 4 2 2 2" xfId="817" xr:uid="{00000000-0005-0000-0000-0000AD000000}"/>
    <cellStyle name="Normal 3 2 2 4 2 3" xfId="606" xr:uid="{00000000-0005-0000-0000-0000AE000000}"/>
    <cellStyle name="Normal 3 2 2 4 3" xfId="101" xr:uid="{00000000-0005-0000-0000-0000AF000000}"/>
    <cellStyle name="Normal 3 2 2 4 3 2" xfId="102" xr:uid="{00000000-0005-0000-0000-0000B0000000}"/>
    <cellStyle name="Normal 3 2 2 4 3 2 2" xfId="876" xr:uid="{00000000-0005-0000-0000-0000B1000000}"/>
    <cellStyle name="Normal 3 2 2 4 3 3" xfId="665" xr:uid="{00000000-0005-0000-0000-0000B2000000}"/>
    <cellStyle name="Normal 3 2 2 4 4" xfId="103" xr:uid="{00000000-0005-0000-0000-0000B3000000}"/>
    <cellStyle name="Normal 3 2 2 4 4 2" xfId="736" xr:uid="{00000000-0005-0000-0000-0000B4000000}"/>
    <cellStyle name="Normal 3 2 2 4 5" xfId="525" xr:uid="{00000000-0005-0000-0000-0000B5000000}"/>
    <cellStyle name="Normal 3 2 2 5" xfId="104" xr:uid="{00000000-0005-0000-0000-0000B6000000}"/>
    <cellStyle name="Normal 3 2 2 5 2" xfId="105" xr:uid="{00000000-0005-0000-0000-0000B7000000}"/>
    <cellStyle name="Normal 3 2 2 5 2 2" xfId="106" xr:uid="{00000000-0005-0000-0000-0000B8000000}"/>
    <cellStyle name="Normal 3 2 2 5 2 2 2" xfId="825" xr:uid="{00000000-0005-0000-0000-0000B9000000}"/>
    <cellStyle name="Normal 3 2 2 5 2 3" xfId="614" xr:uid="{00000000-0005-0000-0000-0000BA000000}"/>
    <cellStyle name="Normal 3 2 2 5 3" xfId="107" xr:uid="{00000000-0005-0000-0000-0000BB000000}"/>
    <cellStyle name="Normal 3 2 2 5 3 2" xfId="108" xr:uid="{00000000-0005-0000-0000-0000BC000000}"/>
    <cellStyle name="Normal 3 2 2 5 3 2 2" xfId="884" xr:uid="{00000000-0005-0000-0000-0000BD000000}"/>
    <cellStyle name="Normal 3 2 2 5 3 3" xfId="673" xr:uid="{00000000-0005-0000-0000-0000BE000000}"/>
    <cellStyle name="Normal 3 2 2 5 4" xfId="109" xr:uid="{00000000-0005-0000-0000-0000BF000000}"/>
    <cellStyle name="Normal 3 2 2 5 4 2" xfId="744" xr:uid="{00000000-0005-0000-0000-0000C0000000}"/>
    <cellStyle name="Normal 3 2 2 5 5" xfId="533" xr:uid="{00000000-0005-0000-0000-0000C1000000}"/>
    <cellStyle name="Normal 3 2 2 6" xfId="110" xr:uid="{00000000-0005-0000-0000-0000C2000000}"/>
    <cellStyle name="Normal 3 2 2 6 2" xfId="111" xr:uid="{00000000-0005-0000-0000-0000C3000000}"/>
    <cellStyle name="Normal 3 2 2 6 2 2" xfId="798" xr:uid="{00000000-0005-0000-0000-0000C4000000}"/>
    <cellStyle name="Normal 3 2 2 6 3" xfId="587" xr:uid="{00000000-0005-0000-0000-0000C5000000}"/>
    <cellStyle name="Normal 3 2 2 7" xfId="112" xr:uid="{00000000-0005-0000-0000-0000C6000000}"/>
    <cellStyle name="Normal 3 2 2 7 2" xfId="113" xr:uid="{00000000-0005-0000-0000-0000C7000000}"/>
    <cellStyle name="Normal 3 2 2 7 2 2" xfId="796" xr:uid="{00000000-0005-0000-0000-0000C8000000}"/>
    <cellStyle name="Normal 3 2 2 7 3" xfId="585" xr:uid="{00000000-0005-0000-0000-0000C9000000}"/>
    <cellStyle name="Normal 3 2 2 8" xfId="114" xr:uid="{00000000-0005-0000-0000-0000CA000000}"/>
    <cellStyle name="Normal 3 2 2 8 2" xfId="722" xr:uid="{00000000-0005-0000-0000-0000CB000000}"/>
    <cellStyle name="Normal 3 2 2 9" xfId="511" xr:uid="{00000000-0005-0000-0000-0000CC000000}"/>
    <cellStyle name="Normal 3 2 3" xfId="115" xr:uid="{00000000-0005-0000-0000-0000CD000000}"/>
    <cellStyle name="Normal 3 2 3 2" xfId="116" xr:uid="{00000000-0005-0000-0000-0000CE000000}"/>
    <cellStyle name="Normal 3 2 3 2 2" xfId="117" xr:uid="{00000000-0005-0000-0000-0000CF000000}"/>
    <cellStyle name="Normal 3 2 3 2 2 2" xfId="118" xr:uid="{00000000-0005-0000-0000-0000D0000000}"/>
    <cellStyle name="Normal 3 2 3 2 2 2 2" xfId="828" xr:uid="{00000000-0005-0000-0000-0000D1000000}"/>
    <cellStyle name="Normal 3 2 3 2 2 3" xfId="617" xr:uid="{00000000-0005-0000-0000-0000D2000000}"/>
    <cellStyle name="Normal 3 2 3 2 3" xfId="119" xr:uid="{00000000-0005-0000-0000-0000D3000000}"/>
    <cellStyle name="Normal 3 2 3 2 3 2" xfId="120" xr:uid="{00000000-0005-0000-0000-0000D4000000}"/>
    <cellStyle name="Normal 3 2 3 2 3 2 2" xfId="887" xr:uid="{00000000-0005-0000-0000-0000D5000000}"/>
    <cellStyle name="Normal 3 2 3 2 3 3" xfId="676" xr:uid="{00000000-0005-0000-0000-0000D6000000}"/>
    <cellStyle name="Normal 3 2 3 2 4" xfId="121" xr:uid="{00000000-0005-0000-0000-0000D7000000}"/>
    <cellStyle name="Normal 3 2 3 2 4 2" xfId="747" xr:uid="{00000000-0005-0000-0000-0000D8000000}"/>
    <cellStyle name="Normal 3 2 3 2 5" xfId="536" xr:uid="{00000000-0005-0000-0000-0000D9000000}"/>
    <cellStyle name="Normal 3 2 3 3" xfId="122" xr:uid="{00000000-0005-0000-0000-0000DA000000}"/>
    <cellStyle name="Normal 3 2 3 3 2" xfId="123" xr:uid="{00000000-0005-0000-0000-0000DB000000}"/>
    <cellStyle name="Normal 3 2 3 3 2 2" xfId="124" xr:uid="{00000000-0005-0000-0000-0000DC000000}"/>
    <cellStyle name="Normal 3 2 3 3 2 2 2" xfId="815" xr:uid="{00000000-0005-0000-0000-0000DD000000}"/>
    <cellStyle name="Normal 3 2 3 3 2 3" xfId="604" xr:uid="{00000000-0005-0000-0000-0000DE000000}"/>
    <cellStyle name="Normal 3 2 3 3 3" xfId="125" xr:uid="{00000000-0005-0000-0000-0000DF000000}"/>
    <cellStyle name="Normal 3 2 3 3 3 2" xfId="126" xr:uid="{00000000-0005-0000-0000-0000E0000000}"/>
    <cellStyle name="Normal 3 2 3 3 3 2 2" xfId="875" xr:uid="{00000000-0005-0000-0000-0000E1000000}"/>
    <cellStyle name="Normal 3 2 3 3 3 3" xfId="664" xr:uid="{00000000-0005-0000-0000-0000E2000000}"/>
    <cellStyle name="Normal 3 2 3 3 4" xfId="127" xr:uid="{00000000-0005-0000-0000-0000E3000000}"/>
    <cellStyle name="Normal 3 2 3 3 4 2" xfId="735" xr:uid="{00000000-0005-0000-0000-0000E4000000}"/>
    <cellStyle name="Normal 3 2 3 3 5" xfId="524" xr:uid="{00000000-0005-0000-0000-0000E5000000}"/>
    <cellStyle name="Normal 3 2 3 4" xfId="128" xr:uid="{00000000-0005-0000-0000-0000E6000000}"/>
    <cellStyle name="Normal 3 2 3 4 2" xfId="129" xr:uid="{00000000-0005-0000-0000-0000E7000000}"/>
    <cellStyle name="Normal 3 2 3 4 2 2" xfId="130" xr:uid="{00000000-0005-0000-0000-0000E8000000}"/>
    <cellStyle name="Normal 3 2 3 4 2 2 2" xfId="833" xr:uid="{00000000-0005-0000-0000-0000E9000000}"/>
    <cellStyle name="Normal 3 2 3 4 2 3" xfId="622" xr:uid="{00000000-0005-0000-0000-0000EA000000}"/>
    <cellStyle name="Normal 3 2 3 4 3" xfId="131" xr:uid="{00000000-0005-0000-0000-0000EB000000}"/>
    <cellStyle name="Normal 3 2 3 4 3 2" xfId="132" xr:uid="{00000000-0005-0000-0000-0000EC000000}"/>
    <cellStyle name="Normal 3 2 3 4 3 2 2" xfId="892" xr:uid="{00000000-0005-0000-0000-0000ED000000}"/>
    <cellStyle name="Normal 3 2 3 4 3 3" xfId="681" xr:uid="{00000000-0005-0000-0000-0000EE000000}"/>
    <cellStyle name="Normal 3 2 3 4 4" xfId="133" xr:uid="{00000000-0005-0000-0000-0000EF000000}"/>
    <cellStyle name="Normal 3 2 3 4 4 2" xfId="752" xr:uid="{00000000-0005-0000-0000-0000F0000000}"/>
    <cellStyle name="Normal 3 2 3 4 5" xfId="541" xr:uid="{00000000-0005-0000-0000-0000F1000000}"/>
    <cellStyle name="Normal 3 2 3 5" xfId="134" xr:uid="{00000000-0005-0000-0000-0000F2000000}"/>
    <cellStyle name="Normal 3 2 3 5 2" xfId="135" xr:uid="{00000000-0005-0000-0000-0000F3000000}"/>
    <cellStyle name="Normal 3 2 3 5 2 2" xfId="136" xr:uid="{00000000-0005-0000-0000-0000F4000000}"/>
    <cellStyle name="Normal 3 2 3 5 2 2 2" xfId="846" xr:uid="{00000000-0005-0000-0000-0000F5000000}"/>
    <cellStyle name="Normal 3 2 3 5 2 3" xfId="635" xr:uid="{00000000-0005-0000-0000-0000F6000000}"/>
    <cellStyle name="Normal 3 2 3 5 3" xfId="137" xr:uid="{00000000-0005-0000-0000-0000F7000000}"/>
    <cellStyle name="Normal 3 2 3 5 3 2" xfId="138" xr:uid="{00000000-0005-0000-0000-0000F8000000}"/>
    <cellStyle name="Normal 3 2 3 5 3 2 2" xfId="904" xr:uid="{00000000-0005-0000-0000-0000F9000000}"/>
    <cellStyle name="Normal 3 2 3 5 3 3" xfId="693" xr:uid="{00000000-0005-0000-0000-0000FA000000}"/>
    <cellStyle name="Normal 3 2 3 5 4" xfId="139" xr:uid="{00000000-0005-0000-0000-0000FB000000}"/>
    <cellStyle name="Normal 3 2 3 5 4 2" xfId="764" xr:uid="{00000000-0005-0000-0000-0000FC000000}"/>
    <cellStyle name="Normal 3 2 3 5 5" xfId="553" xr:uid="{00000000-0005-0000-0000-0000FD000000}"/>
    <cellStyle name="Normal 3 2 3 6" xfId="140" xr:uid="{00000000-0005-0000-0000-0000FE000000}"/>
    <cellStyle name="Normal 3 2 3 6 2" xfId="141" xr:uid="{00000000-0005-0000-0000-0000FF000000}"/>
    <cellStyle name="Normal 3 2 3 6 2 2" xfId="801" xr:uid="{00000000-0005-0000-0000-000000010000}"/>
    <cellStyle name="Normal 3 2 3 6 3" xfId="590" xr:uid="{00000000-0005-0000-0000-000001010000}"/>
    <cellStyle name="Normal 3 2 3 7" xfId="142" xr:uid="{00000000-0005-0000-0000-000002010000}"/>
    <cellStyle name="Normal 3 2 3 7 2" xfId="143" xr:uid="{00000000-0005-0000-0000-000003010000}"/>
    <cellStyle name="Normal 3 2 3 7 2 2" xfId="834" xr:uid="{00000000-0005-0000-0000-000004010000}"/>
    <cellStyle name="Normal 3 2 3 7 3" xfId="623" xr:uid="{00000000-0005-0000-0000-000005010000}"/>
    <cellStyle name="Normal 3 2 3 8" xfId="144" xr:uid="{00000000-0005-0000-0000-000006010000}"/>
    <cellStyle name="Normal 3 2 3 8 2" xfId="724" xr:uid="{00000000-0005-0000-0000-000007010000}"/>
    <cellStyle name="Normal 3 2 3 9" xfId="513" xr:uid="{00000000-0005-0000-0000-000008010000}"/>
    <cellStyle name="Normal 3 2 4" xfId="145" xr:uid="{00000000-0005-0000-0000-000009010000}"/>
    <cellStyle name="Normal 3 2 4 2" xfId="146" xr:uid="{00000000-0005-0000-0000-00000A010000}"/>
    <cellStyle name="Normal 3 2 4 2 2" xfId="147" xr:uid="{00000000-0005-0000-0000-00000B010000}"/>
    <cellStyle name="Normal 3 2 4 2 2 2" xfId="148" xr:uid="{00000000-0005-0000-0000-00000C010000}"/>
    <cellStyle name="Normal 3 2 4 2 2 2 2" xfId="831" xr:uid="{00000000-0005-0000-0000-00000D010000}"/>
    <cellStyle name="Normal 3 2 4 2 2 3" xfId="620" xr:uid="{00000000-0005-0000-0000-00000E010000}"/>
    <cellStyle name="Normal 3 2 4 2 3" xfId="149" xr:uid="{00000000-0005-0000-0000-00000F010000}"/>
    <cellStyle name="Normal 3 2 4 2 3 2" xfId="150" xr:uid="{00000000-0005-0000-0000-000010010000}"/>
    <cellStyle name="Normal 3 2 4 2 3 2 2" xfId="890" xr:uid="{00000000-0005-0000-0000-000011010000}"/>
    <cellStyle name="Normal 3 2 4 2 3 3" xfId="679" xr:uid="{00000000-0005-0000-0000-000012010000}"/>
    <cellStyle name="Normal 3 2 4 2 4" xfId="151" xr:uid="{00000000-0005-0000-0000-000013010000}"/>
    <cellStyle name="Normal 3 2 4 2 4 2" xfId="750" xr:uid="{00000000-0005-0000-0000-000014010000}"/>
    <cellStyle name="Normal 3 2 4 2 5" xfId="539" xr:uid="{00000000-0005-0000-0000-000015010000}"/>
    <cellStyle name="Normal 3 2 4 3" xfId="152" xr:uid="{00000000-0005-0000-0000-000016010000}"/>
    <cellStyle name="Normal 3 2 4 3 2" xfId="153" xr:uid="{00000000-0005-0000-0000-000017010000}"/>
    <cellStyle name="Normal 3 2 4 3 2 2" xfId="154" xr:uid="{00000000-0005-0000-0000-000018010000}"/>
    <cellStyle name="Normal 3 2 4 3 2 2 2" xfId="814" xr:uid="{00000000-0005-0000-0000-000019010000}"/>
    <cellStyle name="Normal 3 2 4 3 2 3" xfId="603" xr:uid="{00000000-0005-0000-0000-00001A010000}"/>
    <cellStyle name="Normal 3 2 4 3 3" xfId="155" xr:uid="{00000000-0005-0000-0000-00001B010000}"/>
    <cellStyle name="Normal 3 2 4 3 3 2" xfId="156" xr:uid="{00000000-0005-0000-0000-00001C010000}"/>
    <cellStyle name="Normal 3 2 4 3 3 2 2" xfId="874" xr:uid="{00000000-0005-0000-0000-00001D010000}"/>
    <cellStyle name="Normal 3 2 4 3 3 3" xfId="663" xr:uid="{00000000-0005-0000-0000-00001E010000}"/>
    <cellStyle name="Normal 3 2 4 3 4" xfId="157" xr:uid="{00000000-0005-0000-0000-00001F010000}"/>
    <cellStyle name="Normal 3 2 4 3 4 2" xfId="734" xr:uid="{00000000-0005-0000-0000-000020010000}"/>
    <cellStyle name="Normal 3 2 4 3 5" xfId="523" xr:uid="{00000000-0005-0000-0000-000021010000}"/>
    <cellStyle name="Normal 3 2 4 4" xfId="158" xr:uid="{00000000-0005-0000-0000-000022010000}"/>
    <cellStyle name="Normal 3 2 4 4 2" xfId="159" xr:uid="{00000000-0005-0000-0000-000023010000}"/>
    <cellStyle name="Normal 3 2 4 4 2 2" xfId="160" xr:uid="{00000000-0005-0000-0000-000024010000}"/>
    <cellStyle name="Normal 3 2 4 4 2 2 2" xfId="838" xr:uid="{00000000-0005-0000-0000-000025010000}"/>
    <cellStyle name="Normal 3 2 4 4 2 3" xfId="627" xr:uid="{00000000-0005-0000-0000-000026010000}"/>
    <cellStyle name="Normal 3 2 4 4 3" xfId="161" xr:uid="{00000000-0005-0000-0000-000027010000}"/>
    <cellStyle name="Normal 3 2 4 4 3 2" xfId="162" xr:uid="{00000000-0005-0000-0000-000028010000}"/>
    <cellStyle name="Normal 3 2 4 4 3 2 2" xfId="896" xr:uid="{00000000-0005-0000-0000-000029010000}"/>
    <cellStyle name="Normal 3 2 4 4 3 3" xfId="685" xr:uid="{00000000-0005-0000-0000-00002A010000}"/>
    <cellStyle name="Normal 3 2 4 4 4" xfId="163" xr:uid="{00000000-0005-0000-0000-00002B010000}"/>
    <cellStyle name="Normal 3 2 4 4 4 2" xfId="756" xr:uid="{00000000-0005-0000-0000-00002C010000}"/>
    <cellStyle name="Normal 3 2 4 4 5" xfId="545" xr:uid="{00000000-0005-0000-0000-00002D010000}"/>
    <cellStyle name="Normal 3 2 4 5" xfId="164" xr:uid="{00000000-0005-0000-0000-00002E010000}"/>
    <cellStyle name="Normal 3 2 4 5 2" xfId="165" xr:uid="{00000000-0005-0000-0000-00002F010000}"/>
    <cellStyle name="Normal 3 2 4 5 2 2" xfId="166" xr:uid="{00000000-0005-0000-0000-000030010000}"/>
    <cellStyle name="Normal 3 2 4 5 2 2 2" xfId="850" xr:uid="{00000000-0005-0000-0000-000031010000}"/>
    <cellStyle name="Normal 3 2 4 5 2 3" xfId="639" xr:uid="{00000000-0005-0000-0000-000032010000}"/>
    <cellStyle name="Normal 3 2 4 5 3" xfId="167" xr:uid="{00000000-0005-0000-0000-000033010000}"/>
    <cellStyle name="Normal 3 2 4 5 3 2" xfId="168" xr:uid="{00000000-0005-0000-0000-000034010000}"/>
    <cellStyle name="Normal 3 2 4 5 3 2 2" xfId="908" xr:uid="{00000000-0005-0000-0000-000035010000}"/>
    <cellStyle name="Normal 3 2 4 5 3 3" xfId="697" xr:uid="{00000000-0005-0000-0000-000036010000}"/>
    <cellStyle name="Normal 3 2 4 5 4" xfId="169" xr:uid="{00000000-0005-0000-0000-000037010000}"/>
    <cellStyle name="Normal 3 2 4 5 4 2" xfId="768" xr:uid="{00000000-0005-0000-0000-000038010000}"/>
    <cellStyle name="Normal 3 2 4 5 5" xfId="557" xr:uid="{00000000-0005-0000-0000-000039010000}"/>
    <cellStyle name="Normal 3 2 4 6" xfId="170" xr:uid="{00000000-0005-0000-0000-00003A010000}"/>
    <cellStyle name="Normal 3 2 4 6 2" xfId="171" xr:uid="{00000000-0005-0000-0000-00003B010000}"/>
    <cellStyle name="Normal 3 2 4 6 2 2" xfId="804" xr:uid="{00000000-0005-0000-0000-00003C010000}"/>
    <cellStyle name="Normal 3 2 4 6 3" xfId="593" xr:uid="{00000000-0005-0000-0000-00003D010000}"/>
    <cellStyle name="Normal 3 2 4 7" xfId="172" xr:uid="{00000000-0005-0000-0000-00003E010000}"/>
    <cellStyle name="Normal 3 2 4 7 2" xfId="173" xr:uid="{00000000-0005-0000-0000-00003F010000}"/>
    <cellStyle name="Normal 3 2 4 7 2 2" xfId="795" xr:uid="{00000000-0005-0000-0000-000040010000}"/>
    <cellStyle name="Normal 3 2 4 7 3" xfId="584" xr:uid="{00000000-0005-0000-0000-000041010000}"/>
    <cellStyle name="Normal 3 2 4 8" xfId="174" xr:uid="{00000000-0005-0000-0000-000042010000}"/>
    <cellStyle name="Normal 3 2 4 8 2" xfId="726" xr:uid="{00000000-0005-0000-0000-000043010000}"/>
    <cellStyle name="Normal 3 2 4 9" xfId="515" xr:uid="{00000000-0005-0000-0000-000044010000}"/>
    <cellStyle name="Normal 3 2 5" xfId="175" xr:uid="{00000000-0005-0000-0000-000045010000}"/>
    <cellStyle name="Normal 3 2 5 2" xfId="176" xr:uid="{00000000-0005-0000-0000-000046010000}"/>
    <cellStyle name="Normal 3 2 5 2 2" xfId="177" xr:uid="{00000000-0005-0000-0000-000047010000}"/>
    <cellStyle name="Normal 3 2 5 2 2 2" xfId="178" xr:uid="{00000000-0005-0000-0000-000048010000}"/>
    <cellStyle name="Normal 3 2 5 2 2 2 2" xfId="836" xr:uid="{00000000-0005-0000-0000-000049010000}"/>
    <cellStyle name="Normal 3 2 5 2 2 3" xfId="625" xr:uid="{00000000-0005-0000-0000-00004A010000}"/>
    <cellStyle name="Normal 3 2 5 2 3" xfId="179" xr:uid="{00000000-0005-0000-0000-00004B010000}"/>
    <cellStyle name="Normal 3 2 5 2 3 2" xfId="180" xr:uid="{00000000-0005-0000-0000-00004C010000}"/>
    <cellStyle name="Normal 3 2 5 2 3 2 2" xfId="894" xr:uid="{00000000-0005-0000-0000-00004D010000}"/>
    <cellStyle name="Normal 3 2 5 2 3 3" xfId="683" xr:uid="{00000000-0005-0000-0000-00004E010000}"/>
    <cellStyle name="Normal 3 2 5 2 4" xfId="181" xr:uid="{00000000-0005-0000-0000-00004F010000}"/>
    <cellStyle name="Normal 3 2 5 2 4 2" xfId="754" xr:uid="{00000000-0005-0000-0000-000050010000}"/>
    <cellStyle name="Normal 3 2 5 2 5" xfId="543" xr:uid="{00000000-0005-0000-0000-000051010000}"/>
    <cellStyle name="Normal 3 2 5 3" xfId="182" xr:uid="{00000000-0005-0000-0000-000052010000}"/>
    <cellStyle name="Normal 3 2 5 3 2" xfId="183" xr:uid="{00000000-0005-0000-0000-000053010000}"/>
    <cellStyle name="Normal 3 2 5 3 2 2" xfId="184" xr:uid="{00000000-0005-0000-0000-000054010000}"/>
    <cellStyle name="Normal 3 2 5 3 2 2 2" xfId="848" xr:uid="{00000000-0005-0000-0000-000055010000}"/>
    <cellStyle name="Normal 3 2 5 3 2 3" xfId="637" xr:uid="{00000000-0005-0000-0000-000056010000}"/>
    <cellStyle name="Normal 3 2 5 3 3" xfId="185" xr:uid="{00000000-0005-0000-0000-000057010000}"/>
    <cellStyle name="Normal 3 2 5 3 3 2" xfId="186" xr:uid="{00000000-0005-0000-0000-000058010000}"/>
    <cellStyle name="Normal 3 2 5 3 3 2 2" xfId="906" xr:uid="{00000000-0005-0000-0000-000059010000}"/>
    <cellStyle name="Normal 3 2 5 3 3 3" xfId="695" xr:uid="{00000000-0005-0000-0000-00005A010000}"/>
    <cellStyle name="Normal 3 2 5 3 4" xfId="187" xr:uid="{00000000-0005-0000-0000-00005B010000}"/>
    <cellStyle name="Normal 3 2 5 3 4 2" xfId="766" xr:uid="{00000000-0005-0000-0000-00005C010000}"/>
    <cellStyle name="Normal 3 2 5 3 5" xfId="555" xr:uid="{00000000-0005-0000-0000-00005D010000}"/>
    <cellStyle name="Normal 3 2 5 4" xfId="188" xr:uid="{00000000-0005-0000-0000-00005E010000}"/>
    <cellStyle name="Normal 3 2 5 4 2" xfId="189" xr:uid="{00000000-0005-0000-0000-00005F010000}"/>
    <cellStyle name="Normal 3 2 5 4 2 2" xfId="190" xr:uid="{00000000-0005-0000-0000-000060010000}"/>
    <cellStyle name="Normal 3 2 5 4 2 2 2" xfId="859" xr:uid="{00000000-0005-0000-0000-000061010000}"/>
    <cellStyle name="Normal 3 2 5 4 2 3" xfId="648" xr:uid="{00000000-0005-0000-0000-000062010000}"/>
    <cellStyle name="Normal 3 2 5 4 3" xfId="191" xr:uid="{00000000-0005-0000-0000-000063010000}"/>
    <cellStyle name="Normal 3 2 5 4 3 2" xfId="192" xr:uid="{00000000-0005-0000-0000-000064010000}"/>
    <cellStyle name="Normal 3 2 5 4 3 2 2" xfId="916" xr:uid="{00000000-0005-0000-0000-000065010000}"/>
    <cellStyle name="Normal 3 2 5 4 3 3" xfId="705" xr:uid="{00000000-0005-0000-0000-000066010000}"/>
    <cellStyle name="Normal 3 2 5 4 4" xfId="193" xr:uid="{00000000-0005-0000-0000-000067010000}"/>
    <cellStyle name="Normal 3 2 5 4 4 2" xfId="776" xr:uid="{00000000-0005-0000-0000-000068010000}"/>
    <cellStyle name="Normal 3 2 5 4 5" xfId="565" xr:uid="{00000000-0005-0000-0000-000069010000}"/>
    <cellStyle name="Normal 3 2 5 5" xfId="194" xr:uid="{00000000-0005-0000-0000-00006A010000}"/>
    <cellStyle name="Normal 3 2 5 5 2" xfId="195" xr:uid="{00000000-0005-0000-0000-00006B010000}"/>
    <cellStyle name="Normal 3 2 5 5 2 2" xfId="196" xr:uid="{00000000-0005-0000-0000-00006C010000}"/>
    <cellStyle name="Normal 3 2 5 5 2 2 2" xfId="868" xr:uid="{00000000-0005-0000-0000-00006D010000}"/>
    <cellStyle name="Normal 3 2 5 5 2 3" xfId="657" xr:uid="{00000000-0005-0000-0000-00006E010000}"/>
    <cellStyle name="Normal 3 2 5 5 3" xfId="197" xr:uid="{00000000-0005-0000-0000-00006F010000}"/>
    <cellStyle name="Normal 3 2 5 5 3 2" xfId="198" xr:uid="{00000000-0005-0000-0000-000070010000}"/>
    <cellStyle name="Normal 3 2 5 5 3 2 2" xfId="924" xr:uid="{00000000-0005-0000-0000-000071010000}"/>
    <cellStyle name="Normal 3 2 5 5 3 3" xfId="713" xr:uid="{00000000-0005-0000-0000-000072010000}"/>
    <cellStyle name="Normal 3 2 5 5 4" xfId="199" xr:uid="{00000000-0005-0000-0000-000073010000}"/>
    <cellStyle name="Normal 3 2 5 5 4 2" xfId="784" xr:uid="{00000000-0005-0000-0000-000074010000}"/>
    <cellStyle name="Normal 3 2 5 5 5" xfId="573" xr:uid="{00000000-0005-0000-0000-000075010000}"/>
    <cellStyle name="Normal 3 2 5 6" xfId="200" xr:uid="{00000000-0005-0000-0000-000076010000}"/>
    <cellStyle name="Normal 3 2 5 6 2" xfId="201" xr:uid="{00000000-0005-0000-0000-000077010000}"/>
    <cellStyle name="Normal 3 2 5 6 2 2" xfId="807" xr:uid="{00000000-0005-0000-0000-000078010000}"/>
    <cellStyle name="Normal 3 2 5 6 3" xfId="596" xr:uid="{00000000-0005-0000-0000-000079010000}"/>
    <cellStyle name="Normal 3 2 5 7" xfId="202" xr:uid="{00000000-0005-0000-0000-00007A010000}"/>
    <cellStyle name="Normal 3 2 5 7 2" xfId="203" xr:uid="{00000000-0005-0000-0000-00007B010000}"/>
    <cellStyle name="Normal 3 2 5 7 2 2" xfId="816" xr:uid="{00000000-0005-0000-0000-00007C010000}"/>
    <cellStyle name="Normal 3 2 5 7 3" xfId="605" xr:uid="{00000000-0005-0000-0000-00007D010000}"/>
    <cellStyle name="Normal 3 2 5 8" xfId="204" xr:uid="{00000000-0005-0000-0000-00007E010000}"/>
    <cellStyle name="Normal 3 2 5 8 2" xfId="728" xr:uid="{00000000-0005-0000-0000-00007F010000}"/>
    <cellStyle name="Normal 3 2 5 9" xfId="517" xr:uid="{00000000-0005-0000-0000-000080010000}"/>
    <cellStyle name="Normal 3 2 6" xfId="205" xr:uid="{00000000-0005-0000-0000-000081010000}"/>
    <cellStyle name="Normal 3 2 6 2" xfId="206" xr:uid="{00000000-0005-0000-0000-000082010000}"/>
    <cellStyle name="Normal 3 2 6 2 2" xfId="207" xr:uid="{00000000-0005-0000-0000-000083010000}"/>
    <cellStyle name="Normal 3 2 6 2 2 2" xfId="208" xr:uid="{00000000-0005-0000-0000-000084010000}"/>
    <cellStyle name="Normal 3 2 6 2 2 2 2" xfId="840" xr:uid="{00000000-0005-0000-0000-000085010000}"/>
    <cellStyle name="Normal 3 2 6 2 2 3" xfId="629" xr:uid="{00000000-0005-0000-0000-000086010000}"/>
    <cellStyle name="Normal 3 2 6 2 3" xfId="209" xr:uid="{00000000-0005-0000-0000-000087010000}"/>
    <cellStyle name="Normal 3 2 6 2 3 2" xfId="210" xr:uid="{00000000-0005-0000-0000-000088010000}"/>
    <cellStyle name="Normal 3 2 6 2 3 2 2" xfId="898" xr:uid="{00000000-0005-0000-0000-000089010000}"/>
    <cellStyle name="Normal 3 2 6 2 3 3" xfId="687" xr:uid="{00000000-0005-0000-0000-00008A010000}"/>
    <cellStyle name="Normal 3 2 6 2 4" xfId="211" xr:uid="{00000000-0005-0000-0000-00008B010000}"/>
    <cellStyle name="Normal 3 2 6 2 4 2" xfId="758" xr:uid="{00000000-0005-0000-0000-00008C010000}"/>
    <cellStyle name="Normal 3 2 6 2 5" xfId="547" xr:uid="{00000000-0005-0000-0000-00008D010000}"/>
    <cellStyle name="Normal 3 2 6 3" xfId="212" xr:uid="{00000000-0005-0000-0000-00008E010000}"/>
    <cellStyle name="Normal 3 2 6 3 2" xfId="213" xr:uid="{00000000-0005-0000-0000-00008F010000}"/>
    <cellStyle name="Normal 3 2 6 3 2 2" xfId="214" xr:uid="{00000000-0005-0000-0000-000090010000}"/>
    <cellStyle name="Normal 3 2 6 3 2 2 2" xfId="852" xr:uid="{00000000-0005-0000-0000-000091010000}"/>
    <cellStyle name="Normal 3 2 6 3 2 3" xfId="641" xr:uid="{00000000-0005-0000-0000-000092010000}"/>
    <cellStyle name="Normal 3 2 6 3 3" xfId="215" xr:uid="{00000000-0005-0000-0000-000093010000}"/>
    <cellStyle name="Normal 3 2 6 3 3 2" xfId="216" xr:uid="{00000000-0005-0000-0000-000094010000}"/>
    <cellStyle name="Normal 3 2 6 3 3 2 2" xfId="910" xr:uid="{00000000-0005-0000-0000-000095010000}"/>
    <cellStyle name="Normal 3 2 6 3 3 3" xfId="699" xr:uid="{00000000-0005-0000-0000-000096010000}"/>
    <cellStyle name="Normal 3 2 6 3 4" xfId="217" xr:uid="{00000000-0005-0000-0000-000097010000}"/>
    <cellStyle name="Normal 3 2 6 3 4 2" xfId="770" xr:uid="{00000000-0005-0000-0000-000098010000}"/>
    <cellStyle name="Normal 3 2 6 3 5" xfId="559" xr:uid="{00000000-0005-0000-0000-000099010000}"/>
    <cellStyle name="Normal 3 2 6 4" xfId="218" xr:uid="{00000000-0005-0000-0000-00009A010000}"/>
    <cellStyle name="Normal 3 2 6 4 2" xfId="219" xr:uid="{00000000-0005-0000-0000-00009B010000}"/>
    <cellStyle name="Normal 3 2 6 4 2 2" xfId="220" xr:uid="{00000000-0005-0000-0000-00009C010000}"/>
    <cellStyle name="Normal 3 2 6 4 2 2 2" xfId="861" xr:uid="{00000000-0005-0000-0000-00009D010000}"/>
    <cellStyle name="Normal 3 2 6 4 2 3" xfId="650" xr:uid="{00000000-0005-0000-0000-00009E010000}"/>
    <cellStyle name="Normal 3 2 6 4 3" xfId="221" xr:uid="{00000000-0005-0000-0000-00009F010000}"/>
    <cellStyle name="Normal 3 2 6 4 3 2" xfId="222" xr:uid="{00000000-0005-0000-0000-0000A0010000}"/>
    <cellStyle name="Normal 3 2 6 4 3 2 2" xfId="918" xr:uid="{00000000-0005-0000-0000-0000A1010000}"/>
    <cellStyle name="Normal 3 2 6 4 3 3" xfId="707" xr:uid="{00000000-0005-0000-0000-0000A2010000}"/>
    <cellStyle name="Normal 3 2 6 4 4" xfId="223" xr:uid="{00000000-0005-0000-0000-0000A3010000}"/>
    <cellStyle name="Normal 3 2 6 4 4 2" xfId="778" xr:uid="{00000000-0005-0000-0000-0000A4010000}"/>
    <cellStyle name="Normal 3 2 6 4 5" xfId="567" xr:uid="{00000000-0005-0000-0000-0000A5010000}"/>
    <cellStyle name="Normal 3 2 6 5" xfId="224" xr:uid="{00000000-0005-0000-0000-0000A6010000}"/>
    <cellStyle name="Normal 3 2 6 5 2" xfId="225" xr:uid="{00000000-0005-0000-0000-0000A7010000}"/>
    <cellStyle name="Normal 3 2 6 5 2 2" xfId="226" xr:uid="{00000000-0005-0000-0000-0000A8010000}"/>
    <cellStyle name="Normal 3 2 6 5 2 2 2" xfId="870" xr:uid="{00000000-0005-0000-0000-0000A9010000}"/>
    <cellStyle name="Normal 3 2 6 5 2 3" xfId="659" xr:uid="{00000000-0005-0000-0000-0000AA010000}"/>
    <cellStyle name="Normal 3 2 6 5 3" xfId="227" xr:uid="{00000000-0005-0000-0000-0000AB010000}"/>
    <cellStyle name="Normal 3 2 6 5 3 2" xfId="228" xr:uid="{00000000-0005-0000-0000-0000AC010000}"/>
    <cellStyle name="Normal 3 2 6 5 3 2 2" xfId="926" xr:uid="{00000000-0005-0000-0000-0000AD010000}"/>
    <cellStyle name="Normal 3 2 6 5 3 3" xfId="715" xr:uid="{00000000-0005-0000-0000-0000AE010000}"/>
    <cellStyle name="Normal 3 2 6 5 4" xfId="229" xr:uid="{00000000-0005-0000-0000-0000AF010000}"/>
    <cellStyle name="Normal 3 2 6 5 4 2" xfId="786" xr:uid="{00000000-0005-0000-0000-0000B0010000}"/>
    <cellStyle name="Normal 3 2 6 5 5" xfId="575" xr:uid="{00000000-0005-0000-0000-0000B1010000}"/>
    <cellStyle name="Normal 3 2 6 6" xfId="230" xr:uid="{00000000-0005-0000-0000-0000B2010000}"/>
    <cellStyle name="Normal 3 2 6 6 2" xfId="231" xr:uid="{00000000-0005-0000-0000-0000B3010000}"/>
    <cellStyle name="Normal 3 2 6 6 2 2" xfId="810" xr:uid="{00000000-0005-0000-0000-0000B4010000}"/>
    <cellStyle name="Normal 3 2 6 6 3" xfId="599" xr:uid="{00000000-0005-0000-0000-0000B5010000}"/>
    <cellStyle name="Normal 3 2 6 7" xfId="232" xr:uid="{00000000-0005-0000-0000-0000B6010000}"/>
    <cellStyle name="Normal 3 2 6 7 2" xfId="233" xr:uid="{00000000-0005-0000-0000-0000B7010000}"/>
    <cellStyle name="Normal 3 2 6 7 2 2" xfId="806" xr:uid="{00000000-0005-0000-0000-0000B8010000}"/>
    <cellStyle name="Normal 3 2 6 7 3" xfId="595" xr:uid="{00000000-0005-0000-0000-0000B9010000}"/>
    <cellStyle name="Normal 3 2 6 8" xfId="234" xr:uid="{00000000-0005-0000-0000-0000BA010000}"/>
    <cellStyle name="Normal 3 2 6 8 2" xfId="730" xr:uid="{00000000-0005-0000-0000-0000BB010000}"/>
    <cellStyle name="Normal 3 2 6 9" xfId="519" xr:uid="{00000000-0005-0000-0000-0000BC010000}"/>
    <cellStyle name="Normal 3 2 7" xfId="235" xr:uid="{00000000-0005-0000-0000-0000BD010000}"/>
    <cellStyle name="Normal 3 2 7 2" xfId="236" xr:uid="{00000000-0005-0000-0000-0000BE010000}"/>
    <cellStyle name="Normal 3 2 7 2 2" xfId="237" xr:uid="{00000000-0005-0000-0000-0000BF010000}"/>
    <cellStyle name="Normal 3 2 7 2 2 2" xfId="238" xr:uid="{00000000-0005-0000-0000-0000C0010000}"/>
    <cellStyle name="Normal 3 2 7 2 2 2 2" xfId="843" xr:uid="{00000000-0005-0000-0000-0000C1010000}"/>
    <cellStyle name="Normal 3 2 7 2 2 3" xfId="632" xr:uid="{00000000-0005-0000-0000-0000C2010000}"/>
    <cellStyle name="Normal 3 2 7 2 3" xfId="239" xr:uid="{00000000-0005-0000-0000-0000C3010000}"/>
    <cellStyle name="Normal 3 2 7 2 3 2" xfId="240" xr:uid="{00000000-0005-0000-0000-0000C4010000}"/>
    <cellStyle name="Normal 3 2 7 2 3 2 2" xfId="901" xr:uid="{00000000-0005-0000-0000-0000C5010000}"/>
    <cellStyle name="Normal 3 2 7 2 3 3" xfId="690" xr:uid="{00000000-0005-0000-0000-0000C6010000}"/>
    <cellStyle name="Normal 3 2 7 2 4" xfId="241" xr:uid="{00000000-0005-0000-0000-0000C7010000}"/>
    <cellStyle name="Normal 3 2 7 2 4 2" xfId="761" xr:uid="{00000000-0005-0000-0000-0000C8010000}"/>
    <cellStyle name="Normal 3 2 7 2 5" xfId="550" xr:uid="{00000000-0005-0000-0000-0000C9010000}"/>
    <cellStyle name="Normal 3 2 7 3" xfId="242" xr:uid="{00000000-0005-0000-0000-0000CA010000}"/>
    <cellStyle name="Normal 3 2 7 3 2" xfId="243" xr:uid="{00000000-0005-0000-0000-0000CB010000}"/>
    <cellStyle name="Normal 3 2 7 3 2 2" xfId="244" xr:uid="{00000000-0005-0000-0000-0000CC010000}"/>
    <cellStyle name="Normal 3 2 7 3 2 2 2" xfId="856" xr:uid="{00000000-0005-0000-0000-0000CD010000}"/>
    <cellStyle name="Normal 3 2 7 3 2 3" xfId="645" xr:uid="{00000000-0005-0000-0000-0000CE010000}"/>
    <cellStyle name="Normal 3 2 7 3 3" xfId="245" xr:uid="{00000000-0005-0000-0000-0000CF010000}"/>
    <cellStyle name="Normal 3 2 7 3 3 2" xfId="246" xr:uid="{00000000-0005-0000-0000-0000D0010000}"/>
    <cellStyle name="Normal 3 2 7 3 3 2 2" xfId="913" xr:uid="{00000000-0005-0000-0000-0000D1010000}"/>
    <cellStyle name="Normal 3 2 7 3 3 3" xfId="702" xr:uid="{00000000-0005-0000-0000-0000D2010000}"/>
    <cellStyle name="Normal 3 2 7 3 4" xfId="247" xr:uid="{00000000-0005-0000-0000-0000D3010000}"/>
    <cellStyle name="Normal 3 2 7 3 4 2" xfId="773" xr:uid="{00000000-0005-0000-0000-0000D4010000}"/>
    <cellStyle name="Normal 3 2 7 3 5" xfId="562" xr:uid="{00000000-0005-0000-0000-0000D5010000}"/>
    <cellStyle name="Normal 3 2 7 4" xfId="248" xr:uid="{00000000-0005-0000-0000-0000D6010000}"/>
    <cellStyle name="Normal 3 2 7 4 2" xfId="249" xr:uid="{00000000-0005-0000-0000-0000D7010000}"/>
    <cellStyle name="Normal 3 2 7 4 2 2" xfId="250" xr:uid="{00000000-0005-0000-0000-0000D8010000}"/>
    <cellStyle name="Normal 3 2 7 4 2 2 2" xfId="865" xr:uid="{00000000-0005-0000-0000-0000D9010000}"/>
    <cellStyle name="Normal 3 2 7 4 2 3" xfId="654" xr:uid="{00000000-0005-0000-0000-0000DA010000}"/>
    <cellStyle name="Normal 3 2 7 4 3" xfId="251" xr:uid="{00000000-0005-0000-0000-0000DB010000}"/>
    <cellStyle name="Normal 3 2 7 4 3 2" xfId="252" xr:uid="{00000000-0005-0000-0000-0000DC010000}"/>
    <cellStyle name="Normal 3 2 7 4 3 2 2" xfId="921" xr:uid="{00000000-0005-0000-0000-0000DD010000}"/>
    <cellStyle name="Normal 3 2 7 4 3 3" xfId="710" xr:uid="{00000000-0005-0000-0000-0000DE010000}"/>
    <cellStyle name="Normal 3 2 7 4 4" xfId="253" xr:uid="{00000000-0005-0000-0000-0000DF010000}"/>
    <cellStyle name="Normal 3 2 7 4 4 2" xfId="781" xr:uid="{00000000-0005-0000-0000-0000E0010000}"/>
    <cellStyle name="Normal 3 2 7 4 5" xfId="570" xr:uid="{00000000-0005-0000-0000-0000E1010000}"/>
    <cellStyle name="Normal 3 2 7 5" xfId="254" xr:uid="{00000000-0005-0000-0000-0000E2010000}"/>
    <cellStyle name="Normal 3 2 7 5 2" xfId="255" xr:uid="{00000000-0005-0000-0000-0000E3010000}"/>
    <cellStyle name="Normal 3 2 7 5 2 2" xfId="256" xr:uid="{00000000-0005-0000-0000-0000E4010000}"/>
    <cellStyle name="Normal 3 2 7 5 2 2 2" xfId="872" xr:uid="{00000000-0005-0000-0000-0000E5010000}"/>
    <cellStyle name="Normal 3 2 7 5 2 3" xfId="661" xr:uid="{00000000-0005-0000-0000-0000E6010000}"/>
    <cellStyle name="Normal 3 2 7 5 3" xfId="257" xr:uid="{00000000-0005-0000-0000-0000E7010000}"/>
    <cellStyle name="Normal 3 2 7 5 3 2" xfId="258" xr:uid="{00000000-0005-0000-0000-0000E8010000}"/>
    <cellStyle name="Normal 3 2 7 5 3 2 2" xfId="928" xr:uid="{00000000-0005-0000-0000-0000E9010000}"/>
    <cellStyle name="Normal 3 2 7 5 3 3" xfId="717" xr:uid="{00000000-0005-0000-0000-0000EA010000}"/>
    <cellStyle name="Normal 3 2 7 5 4" xfId="259" xr:uid="{00000000-0005-0000-0000-0000EB010000}"/>
    <cellStyle name="Normal 3 2 7 5 4 2" xfId="788" xr:uid="{00000000-0005-0000-0000-0000EC010000}"/>
    <cellStyle name="Normal 3 2 7 5 5" xfId="577" xr:uid="{00000000-0005-0000-0000-0000ED010000}"/>
    <cellStyle name="Normal 3 2 7 6" xfId="260" xr:uid="{00000000-0005-0000-0000-0000EE010000}"/>
    <cellStyle name="Normal 3 2 7 6 2" xfId="261" xr:uid="{00000000-0005-0000-0000-0000EF010000}"/>
    <cellStyle name="Normal 3 2 7 6 2 2" xfId="812" xr:uid="{00000000-0005-0000-0000-0000F0010000}"/>
    <cellStyle name="Normal 3 2 7 6 3" xfId="601" xr:uid="{00000000-0005-0000-0000-0000F1010000}"/>
    <cellStyle name="Normal 3 2 7 7" xfId="262" xr:uid="{00000000-0005-0000-0000-0000F2010000}"/>
    <cellStyle name="Normal 3 2 7 7 2" xfId="263" xr:uid="{00000000-0005-0000-0000-0000F3010000}"/>
    <cellStyle name="Normal 3 2 7 7 2 2" xfId="864" xr:uid="{00000000-0005-0000-0000-0000F4010000}"/>
    <cellStyle name="Normal 3 2 7 7 3" xfId="653" xr:uid="{00000000-0005-0000-0000-0000F5010000}"/>
    <cellStyle name="Normal 3 2 7 8" xfId="264" xr:uid="{00000000-0005-0000-0000-0000F6010000}"/>
    <cellStyle name="Normal 3 2 7 8 2" xfId="732" xr:uid="{00000000-0005-0000-0000-0000F7010000}"/>
    <cellStyle name="Normal 3 2 7 9" xfId="521" xr:uid="{00000000-0005-0000-0000-0000F8010000}"/>
    <cellStyle name="Normal 3 2 8" xfId="265" xr:uid="{00000000-0005-0000-0000-0000F9010000}"/>
    <cellStyle name="Normal 3 2 8 2" xfId="266" xr:uid="{00000000-0005-0000-0000-0000FA010000}"/>
    <cellStyle name="Normal 3 2 8 2 2" xfId="267" xr:uid="{00000000-0005-0000-0000-0000FB010000}"/>
    <cellStyle name="Normal 3 2 8 2 2 2" xfId="818" xr:uid="{00000000-0005-0000-0000-0000FC010000}"/>
    <cellStyle name="Normal 3 2 8 2 3" xfId="607" xr:uid="{00000000-0005-0000-0000-0000FD010000}"/>
    <cellStyle name="Normal 3 2 8 3" xfId="268" xr:uid="{00000000-0005-0000-0000-0000FE010000}"/>
    <cellStyle name="Normal 3 2 8 3 2" xfId="269" xr:uid="{00000000-0005-0000-0000-0000FF010000}"/>
    <cellStyle name="Normal 3 2 8 3 2 2" xfId="877" xr:uid="{00000000-0005-0000-0000-000000020000}"/>
    <cellStyle name="Normal 3 2 8 3 3" xfId="666" xr:uid="{00000000-0005-0000-0000-000001020000}"/>
    <cellStyle name="Normal 3 2 8 4" xfId="270" xr:uid="{00000000-0005-0000-0000-000002020000}"/>
    <cellStyle name="Normal 3 2 8 4 2" xfId="737" xr:uid="{00000000-0005-0000-0000-000003020000}"/>
    <cellStyle name="Normal 3 2 8 5" xfId="526" xr:uid="{00000000-0005-0000-0000-000004020000}"/>
    <cellStyle name="Normal 3 2 9" xfId="271" xr:uid="{00000000-0005-0000-0000-000005020000}"/>
    <cellStyle name="Normal 3 2 9 2" xfId="272" xr:uid="{00000000-0005-0000-0000-000006020000}"/>
    <cellStyle name="Normal 3 2 9 2 2" xfId="273" xr:uid="{00000000-0005-0000-0000-000007020000}"/>
    <cellStyle name="Normal 3 2 9 2 2 2" xfId="827" xr:uid="{00000000-0005-0000-0000-000008020000}"/>
    <cellStyle name="Normal 3 2 9 2 3" xfId="616" xr:uid="{00000000-0005-0000-0000-000009020000}"/>
    <cellStyle name="Normal 3 2 9 3" xfId="274" xr:uid="{00000000-0005-0000-0000-00000A020000}"/>
    <cellStyle name="Normal 3 2 9 3 2" xfId="275" xr:uid="{00000000-0005-0000-0000-00000B020000}"/>
    <cellStyle name="Normal 3 2 9 3 2 2" xfId="886" xr:uid="{00000000-0005-0000-0000-00000C020000}"/>
    <cellStyle name="Normal 3 2 9 3 3" xfId="675" xr:uid="{00000000-0005-0000-0000-00000D020000}"/>
    <cellStyle name="Normal 3 2 9 4" xfId="276" xr:uid="{00000000-0005-0000-0000-00000E020000}"/>
    <cellStyle name="Normal 3 2 9 4 2" xfId="746" xr:uid="{00000000-0005-0000-0000-00000F020000}"/>
    <cellStyle name="Normal 3 2 9 5" xfId="535" xr:uid="{00000000-0005-0000-0000-000010020000}"/>
    <cellStyle name="Normal 3 3" xfId="277" xr:uid="{00000000-0005-0000-0000-000011020000}"/>
    <cellStyle name="Normal 3 3 10" xfId="278" xr:uid="{00000000-0005-0000-0000-000012020000}"/>
    <cellStyle name="Normal 3 3 10 2" xfId="279" xr:uid="{00000000-0005-0000-0000-000013020000}"/>
    <cellStyle name="Normal 3 3 10 2 2" xfId="280" xr:uid="{00000000-0005-0000-0000-000014020000}"/>
    <cellStyle name="Normal 3 3 10 2 2 2" xfId="830" xr:uid="{00000000-0005-0000-0000-000015020000}"/>
    <cellStyle name="Normal 3 3 10 2 3" xfId="619" xr:uid="{00000000-0005-0000-0000-000016020000}"/>
    <cellStyle name="Normal 3 3 10 3" xfId="281" xr:uid="{00000000-0005-0000-0000-000017020000}"/>
    <cellStyle name="Normal 3 3 10 3 2" xfId="282" xr:uid="{00000000-0005-0000-0000-000018020000}"/>
    <cellStyle name="Normal 3 3 10 3 2 2" xfId="889" xr:uid="{00000000-0005-0000-0000-000019020000}"/>
    <cellStyle name="Normal 3 3 10 3 3" xfId="678" xr:uid="{00000000-0005-0000-0000-00001A020000}"/>
    <cellStyle name="Normal 3 3 10 4" xfId="283" xr:uid="{00000000-0005-0000-0000-00001B020000}"/>
    <cellStyle name="Normal 3 3 10 4 2" xfId="749" xr:uid="{00000000-0005-0000-0000-00001C020000}"/>
    <cellStyle name="Normal 3 3 10 5" xfId="538" xr:uid="{00000000-0005-0000-0000-00001D020000}"/>
    <cellStyle name="Normal 3 3 11" xfId="284" xr:uid="{00000000-0005-0000-0000-00001E020000}"/>
    <cellStyle name="Normal 3 3 11 2" xfId="285" xr:uid="{00000000-0005-0000-0000-00001F020000}"/>
    <cellStyle name="Normal 3 3 11 2 2" xfId="286" xr:uid="{00000000-0005-0000-0000-000020020000}"/>
    <cellStyle name="Normal 3 3 11 2 2 2" xfId="824" xr:uid="{00000000-0005-0000-0000-000021020000}"/>
    <cellStyle name="Normal 3 3 11 2 3" xfId="613" xr:uid="{00000000-0005-0000-0000-000022020000}"/>
    <cellStyle name="Normal 3 3 11 3" xfId="287" xr:uid="{00000000-0005-0000-0000-000023020000}"/>
    <cellStyle name="Normal 3 3 11 3 2" xfId="288" xr:uid="{00000000-0005-0000-0000-000024020000}"/>
    <cellStyle name="Normal 3 3 11 3 2 2" xfId="883" xr:uid="{00000000-0005-0000-0000-000025020000}"/>
    <cellStyle name="Normal 3 3 11 3 3" xfId="672" xr:uid="{00000000-0005-0000-0000-000026020000}"/>
    <cellStyle name="Normal 3 3 11 4" xfId="289" xr:uid="{00000000-0005-0000-0000-000027020000}"/>
    <cellStyle name="Normal 3 3 11 4 2" xfId="743" xr:uid="{00000000-0005-0000-0000-000028020000}"/>
    <cellStyle name="Normal 3 3 11 5" xfId="532" xr:uid="{00000000-0005-0000-0000-000029020000}"/>
    <cellStyle name="Normal 3 3 12" xfId="290" xr:uid="{00000000-0005-0000-0000-00002A020000}"/>
    <cellStyle name="Normal 3 3 12 2" xfId="291" xr:uid="{00000000-0005-0000-0000-00002B020000}"/>
    <cellStyle name="Normal 3 3 12 2 2" xfId="793" xr:uid="{00000000-0005-0000-0000-00002C020000}"/>
    <cellStyle name="Normal 3 3 12 3" xfId="582" xr:uid="{00000000-0005-0000-0000-00002D020000}"/>
    <cellStyle name="Normal 3 3 13" xfId="292" xr:uid="{00000000-0005-0000-0000-00002E020000}"/>
    <cellStyle name="Normal 3 3 13 2" xfId="293" xr:uid="{00000000-0005-0000-0000-00002F020000}"/>
    <cellStyle name="Normal 3 3 13 2 2" xfId="794" xr:uid="{00000000-0005-0000-0000-000030020000}"/>
    <cellStyle name="Normal 3 3 13 3" xfId="583" xr:uid="{00000000-0005-0000-0000-000031020000}"/>
    <cellStyle name="Normal 3 3 14" xfId="294" xr:uid="{00000000-0005-0000-0000-000032020000}"/>
    <cellStyle name="Normal 3 3 14 2" xfId="721" xr:uid="{00000000-0005-0000-0000-000033020000}"/>
    <cellStyle name="Normal 3 3 15" xfId="510" xr:uid="{00000000-0005-0000-0000-000034020000}"/>
    <cellStyle name="Normal 3 3 2" xfId="295" xr:uid="{00000000-0005-0000-0000-000035020000}"/>
    <cellStyle name="Normal 3 3 2 2" xfId="296" xr:uid="{00000000-0005-0000-0000-000036020000}"/>
    <cellStyle name="Normal 3 3 2 2 2" xfId="297" xr:uid="{00000000-0005-0000-0000-000037020000}"/>
    <cellStyle name="Normal 3 3 2 2 2 2" xfId="298" xr:uid="{00000000-0005-0000-0000-000038020000}"/>
    <cellStyle name="Normal 3 3 2 2 2 2 2" xfId="823" xr:uid="{00000000-0005-0000-0000-000039020000}"/>
    <cellStyle name="Normal 3 3 2 2 2 3" xfId="612" xr:uid="{00000000-0005-0000-0000-00003A020000}"/>
    <cellStyle name="Normal 3 3 2 2 3" xfId="299" xr:uid="{00000000-0005-0000-0000-00003B020000}"/>
    <cellStyle name="Normal 3 3 2 2 3 2" xfId="300" xr:uid="{00000000-0005-0000-0000-00003C020000}"/>
    <cellStyle name="Normal 3 3 2 2 3 2 2" xfId="882" xr:uid="{00000000-0005-0000-0000-00003D020000}"/>
    <cellStyle name="Normal 3 3 2 2 3 3" xfId="671" xr:uid="{00000000-0005-0000-0000-00003E020000}"/>
    <cellStyle name="Normal 3 3 2 2 4" xfId="301" xr:uid="{00000000-0005-0000-0000-00003F020000}"/>
    <cellStyle name="Normal 3 3 2 2 4 2" xfId="742" xr:uid="{00000000-0005-0000-0000-000040020000}"/>
    <cellStyle name="Normal 3 3 2 2 5" xfId="531" xr:uid="{00000000-0005-0000-0000-000041020000}"/>
    <cellStyle name="Normal 3 3 2 3" xfId="302" xr:uid="{00000000-0005-0000-0000-000042020000}"/>
    <cellStyle name="Normal 3 3 2 3 2" xfId="303" xr:uid="{00000000-0005-0000-0000-000043020000}"/>
    <cellStyle name="Normal 3 3 2 3 2 2" xfId="304" xr:uid="{00000000-0005-0000-0000-000044020000}"/>
    <cellStyle name="Normal 3 3 2 3 2 2 2" xfId="820" xr:uid="{00000000-0005-0000-0000-000045020000}"/>
    <cellStyle name="Normal 3 3 2 3 2 3" xfId="609" xr:uid="{00000000-0005-0000-0000-000046020000}"/>
    <cellStyle name="Normal 3 3 2 3 3" xfId="305" xr:uid="{00000000-0005-0000-0000-000047020000}"/>
    <cellStyle name="Normal 3 3 2 3 3 2" xfId="306" xr:uid="{00000000-0005-0000-0000-000048020000}"/>
    <cellStyle name="Normal 3 3 2 3 3 2 2" xfId="879" xr:uid="{00000000-0005-0000-0000-000049020000}"/>
    <cellStyle name="Normal 3 3 2 3 3 3" xfId="668" xr:uid="{00000000-0005-0000-0000-00004A020000}"/>
    <cellStyle name="Normal 3 3 2 3 4" xfId="307" xr:uid="{00000000-0005-0000-0000-00004B020000}"/>
    <cellStyle name="Normal 3 3 2 3 4 2" xfId="739" xr:uid="{00000000-0005-0000-0000-00004C020000}"/>
    <cellStyle name="Normal 3 3 2 3 5" xfId="528" xr:uid="{00000000-0005-0000-0000-00004D020000}"/>
    <cellStyle name="Normal 3 3 2 4" xfId="308" xr:uid="{00000000-0005-0000-0000-00004E020000}"/>
    <cellStyle name="Normal 3 3 2 4 2" xfId="309" xr:uid="{00000000-0005-0000-0000-00004F020000}"/>
    <cellStyle name="Normal 3 3 2 4 2 2" xfId="310" xr:uid="{00000000-0005-0000-0000-000050020000}"/>
    <cellStyle name="Normal 3 3 2 4 2 2 2" xfId="835" xr:uid="{00000000-0005-0000-0000-000051020000}"/>
    <cellStyle name="Normal 3 3 2 4 2 3" xfId="624" xr:uid="{00000000-0005-0000-0000-000052020000}"/>
    <cellStyle name="Normal 3 3 2 4 3" xfId="311" xr:uid="{00000000-0005-0000-0000-000053020000}"/>
    <cellStyle name="Normal 3 3 2 4 3 2" xfId="312" xr:uid="{00000000-0005-0000-0000-000054020000}"/>
    <cellStyle name="Normal 3 3 2 4 3 2 2" xfId="893" xr:uid="{00000000-0005-0000-0000-000055020000}"/>
    <cellStyle name="Normal 3 3 2 4 3 3" xfId="682" xr:uid="{00000000-0005-0000-0000-000056020000}"/>
    <cellStyle name="Normal 3 3 2 4 4" xfId="313" xr:uid="{00000000-0005-0000-0000-000057020000}"/>
    <cellStyle name="Normal 3 3 2 4 4 2" xfId="753" xr:uid="{00000000-0005-0000-0000-000058020000}"/>
    <cellStyle name="Normal 3 3 2 4 5" xfId="542" xr:uid="{00000000-0005-0000-0000-000059020000}"/>
    <cellStyle name="Normal 3 3 2 5" xfId="314" xr:uid="{00000000-0005-0000-0000-00005A020000}"/>
    <cellStyle name="Normal 3 3 2 5 2" xfId="315" xr:uid="{00000000-0005-0000-0000-00005B020000}"/>
    <cellStyle name="Normal 3 3 2 5 2 2" xfId="316" xr:uid="{00000000-0005-0000-0000-00005C020000}"/>
    <cellStyle name="Normal 3 3 2 5 2 2 2" xfId="847" xr:uid="{00000000-0005-0000-0000-00005D020000}"/>
    <cellStyle name="Normal 3 3 2 5 2 3" xfId="636" xr:uid="{00000000-0005-0000-0000-00005E020000}"/>
    <cellStyle name="Normal 3 3 2 5 3" xfId="317" xr:uid="{00000000-0005-0000-0000-00005F020000}"/>
    <cellStyle name="Normal 3 3 2 5 3 2" xfId="318" xr:uid="{00000000-0005-0000-0000-000060020000}"/>
    <cellStyle name="Normal 3 3 2 5 3 2 2" xfId="905" xr:uid="{00000000-0005-0000-0000-000061020000}"/>
    <cellStyle name="Normal 3 3 2 5 3 3" xfId="694" xr:uid="{00000000-0005-0000-0000-000062020000}"/>
    <cellStyle name="Normal 3 3 2 5 4" xfId="319" xr:uid="{00000000-0005-0000-0000-000063020000}"/>
    <cellStyle name="Normal 3 3 2 5 4 2" xfId="765" xr:uid="{00000000-0005-0000-0000-000064020000}"/>
    <cellStyle name="Normal 3 3 2 5 5" xfId="554" xr:uid="{00000000-0005-0000-0000-000065020000}"/>
    <cellStyle name="Normal 3 3 2 6" xfId="320" xr:uid="{00000000-0005-0000-0000-000066020000}"/>
    <cellStyle name="Normal 3 3 2 6 2" xfId="321" xr:uid="{00000000-0005-0000-0000-000067020000}"/>
    <cellStyle name="Normal 3 3 2 6 2 2" xfId="799" xr:uid="{00000000-0005-0000-0000-000068020000}"/>
    <cellStyle name="Normal 3 3 2 6 3" xfId="588" xr:uid="{00000000-0005-0000-0000-000069020000}"/>
    <cellStyle name="Normal 3 3 2 7" xfId="322" xr:uid="{00000000-0005-0000-0000-00006A020000}"/>
    <cellStyle name="Normal 3 3 2 7 2" xfId="323" xr:uid="{00000000-0005-0000-0000-00006B020000}"/>
    <cellStyle name="Normal 3 3 2 7 2 2" xfId="797" xr:uid="{00000000-0005-0000-0000-00006C020000}"/>
    <cellStyle name="Normal 3 3 2 7 3" xfId="586" xr:uid="{00000000-0005-0000-0000-00006D020000}"/>
    <cellStyle name="Normal 3 3 2 8" xfId="324" xr:uid="{00000000-0005-0000-0000-00006E020000}"/>
    <cellStyle name="Normal 3 3 2 8 2" xfId="723" xr:uid="{00000000-0005-0000-0000-00006F020000}"/>
    <cellStyle name="Normal 3 3 2 9" xfId="512" xr:uid="{00000000-0005-0000-0000-000070020000}"/>
    <cellStyle name="Normal 3 3 3" xfId="325" xr:uid="{00000000-0005-0000-0000-000071020000}"/>
    <cellStyle name="Normal 3 3 3 2" xfId="326" xr:uid="{00000000-0005-0000-0000-000072020000}"/>
    <cellStyle name="Normal 3 3 3 2 2" xfId="327" xr:uid="{00000000-0005-0000-0000-000073020000}"/>
    <cellStyle name="Normal 3 3 3 2 2 2" xfId="328" xr:uid="{00000000-0005-0000-0000-000074020000}"/>
    <cellStyle name="Normal 3 3 3 2 2 2 2" xfId="829" xr:uid="{00000000-0005-0000-0000-000075020000}"/>
    <cellStyle name="Normal 3 3 3 2 2 3" xfId="618" xr:uid="{00000000-0005-0000-0000-000076020000}"/>
    <cellStyle name="Normal 3 3 3 2 3" xfId="329" xr:uid="{00000000-0005-0000-0000-000077020000}"/>
    <cellStyle name="Normal 3 3 3 2 3 2" xfId="330" xr:uid="{00000000-0005-0000-0000-000078020000}"/>
    <cellStyle name="Normal 3 3 3 2 3 2 2" xfId="888" xr:uid="{00000000-0005-0000-0000-000079020000}"/>
    <cellStyle name="Normal 3 3 3 2 3 3" xfId="677" xr:uid="{00000000-0005-0000-0000-00007A020000}"/>
    <cellStyle name="Normal 3 3 3 2 4" xfId="331" xr:uid="{00000000-0005-0000-0000-00007B020000}"/>
    <cellStyle name="Normal 3 3 3 2 4 2" xfId="748" xr:uid="{00000000-0005-0000-0000-00007C020000}"/>
    <cellStyle name="Normal 3 3 3 2 5" xfId="537" xr:uid="{00000000-0005-0000-0000-00007D020000}"/>
    <cellStyle name="Normal 3 3 3 3" xfId="332" xr:uid="{00000000-0005-0000-0000-00007E020000}"/>
    <cellStyle name="Normal 3 3 3 3 2" xfId="333" xr:uid="{00000000-0005-0000-0000-00007F020000}"/>
    <cellStyle name="Normal 3 3 3 3 2 2" xfId="334" xr:uid="{00000000-0005-0000-0000-000080020000}"/>
    <cellStyle name="Normal 3 3 3 3 2 2 2" xfId="842" xr:uid="{00000000-0005-0000-0000-000081020000}"/>
    <cellStyle name="Normal 3 3 3 3 2 3" xfId="631" xr:uid="{00000000-0005-0000-0000-000082020000}"/>
    <cellStyle name="Normal 3 3 3 3 3" xfId="335" xr:uid="{00000000-0005-0000-0000-000083020000}"/>
    <cellStyle name="Normal 3 3 3 3 3 2" xfId="336" xr:uid="{00000000-0005-0000-0000-000084020000}"/>
    <cellStyle name="Normal 3 3 3 3 3 2 2" xfId="900" xr:uid="{00000000-0005-0000-0000-000085020000}"/>
    <cellStyle name="Normal 3 3 3 3 3 3" xfId="689" xr:uid="{00000000-0005-0000-0000-000086020000}"/>
    <cellStyle name="Normal 3 3 3 3 4" xfId="337" xr:uid="{00000000-0005-0000-0000-000087020000}"/>
    <cellStyle name="Normal 3 3 3 3 4 2" xfId="760" xr:uid="{00000000-0005-0000-0000-000088020000}"/>
    <cellStyle name="Normal 3 3 3 3 5" xfId="549" xr:uid="{00000000-0005-0000-0000-000089020000}"/>
    <cellStyle name="Normal 3 3 3 4" xfId="338" xr:uid="{00000000-0005-0000-0000-00008A020000}"/>
    <cellStyle name="Normal 3 3 3 4 2" xfId="339" xr:uid="{00000000-0005-0000-0000-00008B020000}"/>
    <cellStyle name="Normal 3 3 3 4 2 2" xfId="340" xr:uid="{00000000-0005-0000-0000-00008C020000}"/>
    <cellStyle name="Normal 3 3 3 4 2 2 2" xfId="854" xr:uid="{00000000-0005-0000-0000-00008D020000}"/>
    <cellStyle name="Normal 3 3 3 4 2 3" xfId="643" xr:uid="{00000000-0005-0000-0000-00008E020000}"/>
    <cellStyle name="Normal 3 3 3 4 3" xfId="341" xr:uid="{00000000-0005-0000-0000-00008F020000}"/>
    <cellStyle name="Normal 3 3 3 4 3 2" xfId="342" xr:uid="{00000000-0005-0000-0000-000090020000}"/>
    <cellStyle name="Normal 3 3 3 4 3 2 2" xfId="912" xr:uid="{00000000-0005-0000-0000-000091020000}"/>
    <cellStyle name="Normal 3 3 3 4 3 3" xfId="701" xr:uid="{00000000-0005-0000-0000-000092020000}"/>
    <cellStyle name="Normal 3 3 3 4 4" xfId="343" xr:uid="{00000000-0005-0000-0000-000093020000}"/>
    <cellStyle name="Normal 3 3 3 4 4 2" xfId="772" xr:uid="{00000000-0005-0000-0000-000094020000}"/>
    <cellStyle name="Normal 3 3 3 4 5" xfId="561" xr:uid="{00000000-0005-0000-0000-000095020000}"/>
    <cellStyle name="Normal 3 3 3 5" xfId="344" xr:uid="{00000000-0005-0000-0000-000096020000}"/>
    <cellStyle name="Normal 3 3 3 5 2" xfId="345" xr:uid="{00000000-0005-0000-0000-000097020000}"/>
    <cellStyle name="Normal 3 3 3 5 2 2" xfId="346" xr:uid="{00000000-0005-0000-0000-000098020000}"/>
    <cellStyle name="Normal 3 3 3 5 2 2 2" xfId="863" xr:uid="{00000000-0005-0000-0000-000099020000}"/>
    <cellStyle name="Normal 3 3 3 5 2 3" xfId="652" xr:uid="{00000000-0005-0000-0000-00009A020000}"/>
    <cellStyle name="Normal 3 3 3 5 3" xfId="347" xr:uid="{00000000-0005-0000-0000-00009B020000}"/>
    <cellStyle name="Normal 3 3 3 5 3 2" xfId="348" xr:uid="{00000000-0005-0000-0000-00009C020000}"/>
    <cellStyle name="Normal 3 3 3 5 3 2 2" xfId="920" xr:uid="{00000000-0005-0000-0000-00009D020000}"/>
    <cellStyle name="Normal 3 3 3 5 3 3" xfId="709" xr:uid="{00000000-0005-0000-0000-00009E020000}"/>
    <cellStyle name="Normal 3 3 3 5 4" xfId="349" xr:uid="{00000000-0005-0000-0000-00009F020000}"/>
    <cellStyle name="Normal 3 3 3 5 4 2" xfId="780" xr:uid="{00000000-0005-0000-0000-0000A0020000}"/>
    <cellStyle name="Normal 3 3 3 5 5" xfId="569" xr:uid="{00000000-0005-0000-0000-0000A1020000}"/>
    <cellStyle name="Normal 3 3 3 6" xfId="350" xr:uid="{00000000-0005-0000-0000-0000A2020000}"/>
    <cellStyle name="Normal 3 3 3 6 2" xfId="351" xr:uid="{00000000-0005-0000-0000-0000A3020000}"/>
    <cellStyle name="Normal 3 3 3 6 2 2" xfId="802" xr:uid="{00000000-0005-0000-0000-0000A4020000}"/>
    <cellStyle name="Normal 3 3 3 6 3" xfId="591" xr:uid="{00000000-0005-0000-0000-0000A5020000}"/>
    <cellStyle name="Normal 3 3 3 7" xfId="352" xr:uid="{00000000-0005-0000-0000-0000A6020000}"/>
    <cellStyle name="Normal 3 3 3 7 2" xfId="353" xr:uid="{00000000-0005-0000-0000-0000A7020000}"/>
    <cellStyle name="Normal 3 3 3 7 2 2" xfId="791" xr:uid="{00000000-0005-0000-0000-0000A8020000}"/>
    <cellStyle name="Normal 3 3 3 7 3" xfId="580" xr:uid="{00000000-0005-0000-0000-0000A9020000}"/>
    <cellStyle name="Normal 3 3 3 8" xfId="354" xr:uid="{00000000-0005-0000-0000-0000AA020000}"/>
    <cellStyle name="Normal 3 3 3 8 2" xfId="725" xr:uid="{00000000-0005-0000-0000-0000AB020000}"/>
    <cellStyle name="Normal 3 3 3 9" xfId="514" xr:uid="{00000000-0005-0000-0000-0000AC020000}"/>
    <cellStyle name="Normal 3 3 4" xfId="355" xr:uid="{00000000-0005-0000-0000-0000AD020000}"/>
    <cellStyle name="Normal 3 3 4 2" xfId="356" xr:uid="{00000000-0005-0000-0000-0000AE020000}"/>
    <cellStyle name="Normal 3 3 4 2 2" xfId="357" xr:uid="{00000000-0005-0000-0000-0000AF020000}"/>
    <cellStyle name="Normal 3 3 4 2 2 2" xfId="358" xr:uid="{00000000-0005-0000-0000-0000B0020000}"/>
    <cellStyle name="Normal 3 3 4 2 2 2 2" xfId="832" xr:uid="{00000000-0005-0000-0000-0000B1020000}"/>
    <cellStyle name="Normal 3 3 4 2 2 3" xfId="621" xr:uid="{00000000-0005-0000-0000-0000B2020000}"/>
    <cellStyle name="Normal 3 3 4 2 3" xfId="359" xr:uid="{00000000-0005-0000-0000-0000B3020000}"/>
    <cellStyle name="Normal 3 3 4 2 3 2" xfId="360" xr:uid="{00000000-0005-0000-0000-0000B4020000}"/>
    <cellStyle name="Normal 3 3 4 2 3 2 2" xfId="891" xr:uid="{00000000-0005-0000-0000-0000B5020000}"/>
    <cellStyle name="Normal 3 3 4 2 3 3" xfId="680" xr:uid="{00000000-0005-0000-0000-0000B6020000}"/>
    <cellStyle name="Normal 3 3 4 2 4" xfId="361" xr:uid="{00000000-0005-0000-0000-0000B7020000}"/>
    <cellStyle name="Normal 3 3 4 2 4 2" xfId="751" xr:uid="{00000000-0005-0000-0000-0000B8020000}"/>
    <cellStyle name="Normal 3 3 4 2 5" xfId="540" xr:uid="{00000000-0005-0000-0000-0000B9020000}"/>
    <cellStyle name="Normal 3 3 4 3" xfId="362" xr:uid="{00000000-0005-0000-0000-0000BA020000}"/>
    <cellStyle name="Normal 3 3 4 3 2" xfId="363" xr:uid="{00000000-0005-0000-0000-0000BB020000}"/>
    <cellStyle name="Normal 3 3 4 3 2 2" xfId="364" xr:uid="{00000000-0005-0000-0000-0000BC020000}"/>
    <cellStyle name="Normal 3 3 4 3 2 2 2" xfId="845" xr:uid="{00000000-0005-0000-0000-0000BD020000}"/>
    <cellStyle name="Normal 3 3 4 3 2 3" xfId="634" xr:uid="{00000000-0005-0000-0000-0000BE020000}"/>
    <cellStyle name="Normal 3 3 4 3 3" xfId="365" xr:uid="{00000000-0005-0000-0000-0000BF020000}"/>
    <cellStyle name="Normal 3 3 4 3 3 2" xfId="366" xr:uid="{00000000-0005-0000-0000-0000C0020000}"/>
    <cellStyle name="Normal 3 3 4 3 3 2 2" xfId="903" xr:uid="{00000000-0005-0000-0000-0000C1020000}"/>
    <cellStyle name="Normal 3 3 4 3 3 3" xfId="692" xr:uid="{00000000-0005-0000-0000-0000C2020000}"/>
    <cellStyle name="Normal 3 3 4 3 4" xfId="367" xr:uid="{00000000-0005-0000-0000-0000C3020000}"/>
    <cellStyle name="Normal 3 3 4 3 4 2" xfId="763" xr:uid="{00000000-0005-0000-0000-0000C4020000}"/>
    <cellStyle name="Normal 3 3 4 3 5" xfId="552" xr:uid="{00000000-0005-0000-0000-0000C5020000}"/>
    <cellStyle name="Normal 3 3 4 4" xfId="368" xr:uid="{00000000-0005-0000-0000-0000C6020000}"/>
    <cellStyle name="Normal 3 3 4 4 2" xfId="369" xr:uid="{00000000-0005-0000-0000-0000C7020000}"/>
    <cellStyle name="Normal 3 3 4 4 2 2" xfId="370" xr:uid="{00000000-0005-0000-0000-0000C8020000}"/>
    <cellStyle name="Normal 3 3 4 4 2 2 2" xfId="858" xr:uid="{00000000-0005-0000-0000-0000C9020000}"/>
    <cellStyle name="Normal 3 3 4 4 2 3" xfId="647" xr:uid="{00000000-0005-0000-0000-0000CA020000}"/>
    <cellStyle name="Normal 3 3 4 4 3" xfId="371" xr:uid="{00000000-0005-0000-0000-0000CB020000}"/>
    <cellStyle name="Normal 3 3 4 4 3 2" xfId="372" xr:uid="{00000000-0005-0000-0000-0000CC020000}"/>
    <cellStyle name="Normal 3 3 4 4 3 2 2" xfId="915" xr:uid="{00000000-0005-0000-0000-0000CD020000}"/>
    <cellStyle name="Normal 3 3 4 4 3 3" xfId="704" xr:uid="{00000000-0005-0000-0000-0000CE020000}"/>
    <cellStyle name="Normal 3 3 4 4 4" xfId="373" xr:uid="{00000000-0005-0000-0000-0000CF020000}"/>
    <cellStyle name="Normal 3 3 4 4 4 2" xfId="775" xr:uid="{00000000-0005-0000-0000-0000D0020000}"/>
    <cellStyle name="Normal 3 3 4 4 5" xfId="564" xr:uid="{00000000-0005-0000-0000-0000D1020000}"/>
    <cellStyle name="Normal 3 3 4 5" xfId="374" xr:uid="{00000000-0005-0000-0000-0000D2020000}"/>
    <cellStyle name="Normal 3 3 4 5 2" xfId="375" xr:uid="{00000000-0005-0000-0000-0000D3020000}"/>
    <cellStyle name="Normal 3 3 4 5 2 2" xfId="376" xr:uid="{00000000-0005-0000-0000-0000D4020000}"/>
    <cellStyle name="Normal 3 3 4 5 2 2 2" xfId="867" xr:uid="{00000000-0005-0000-0000-0000D5020000}"/>
    <cellStyle name="Normal 3 3 4 5 2 3" xfId="656" xr:uid="{00000000-0005-0000-0000-0000D6020000}"/>
    <cellStyle name="Normal 3 3 4 5 3" xfId="377" xr:uid="{00000000-0005-0000-0000-0000D7020000}"/>
    <cellStyle name="Normal 3 3 4 5 3 2" xfId="378" xr:uid="{00000000-0005-0000-0000-0000D8020000}"/>
    <cellStyle name="Normal 3 3 4 5 3 2 2" xfId="923" xr:uid="{00000000-0005-0000-0000-0000D9020000}"/>
    <cellStyle name="Normal 3 3 4 5 3 3" xfId="712" xr:uid="{00000000-0005-0000-0000-0000DA020000}"/>
    <cellStyle name="Normal 3 3 4 5 4" xfId="379" xr:uid="{00000000-0005-0000-0000-0000DB020000}"/>
    <cellStyle name="Normal 3 3 4 5 4 2" xfId="783" xr:uid="{00000000-0005-0000-0000-0000DC020000}"/>
    <cellStyle name="Normal 3 3 4 5 5" xfId="572" xr:uid="{00000000-0005-0000-0000-0000DD020000}"/>
    <cellStyle name="Normal 3 3 4 6" xfId="380" xr:uid="{00000000-0005-0000-0000-0000DE020000}"/>
    <cellStyle name="Normal 3 3 4 6 2" xfId="381" xr:uid="{00000000-0005-0000-0000-0000DF020000}"/>
    <cellStyle name="Normal 3 3 4 6 2 2" xfId="805" xr:uid="{00000000-0005-0000-0000-0000E0020000}"/>
    <cellStyle name="Normal 3 3 4 6 3" xfId="594" xr:uid="{00000000-0005-0000-0000-0000E1020000}"/>
    <cellStyle name="Normal 3 3 4 7" xfId="382" xr:uid="{00000000-0005-0000-0000-0000E2020000}"/>
    <cellStyle name="Normal 3 3 4 7 2" xfId="383" xr:uid="{00000000-0005-0000-0000-0000E3020000}"/>
    <cellStyle name="Normal 3 3 4 7 2 2" xfId="790" xr:uid="{00000000-0005-0000-0000-0000E4020000}"/>
    <cellStyle name="Normal 3 3 4 7 3" xfId="579" xr:uid="{00000000-0005-0000-0000-0000E5020000}"/>
    <cellStyle name="Normal 3 3 4 8" xfId="384" xr:uid="{00000000-0005-0000-0000-0000E6020000}"/>
    <cellStyle name="Normal 3 3 4 8 2" xfId="727" xr:uid="{00000000-0005-0000-0000-0000E7020000}"/>
    <cellStyle name="Normal 3 3 4 9" xfId="516" xr:uid="{00000000-0005-0000-0000-0000E8020000}"/>
    <cellStyle name="Normal 3 3 5" xfId="385" xr:uid="{00000000-0005-0000-0000-0000E9020000}"/>
    <cellStyle name="Normal 3 3 5 2" xfId="386" xr:uid="{00000000-0005-0000-0000-0000EA020000}"/>
    <cellStyle name="Normal 3 3 5 2 2" xfId="387" xr:uid="{00000000-0005-0000-0000-0000EB020000}"/>
    <cellStyle name="Normal 3 3 5 2 2 2" xfId="388" xr:uid="{00000000-0005-0000-0000-0000EC020000}"/>
    <cellStyle name="Normal 3 3 5 2 2 2 2" xfId="837" xr:uid="{00000000-0005-0000-0000-0000ED020000}"/>
    <cellStyle name="Normal 3 3 5 2 2 3" xfId="626" xr:uid="{00000000-0005-0000-0000-0000EE020000}"/>
    <cellStyle name="Normal 3 3 5 2 3" xfId="389" xr:uid="{00000000-0005-0000-0000-0000EF020000}"/>
    <cellStyle name="Normal 3 3 5 2 3 2" xfId="390" xr:uid="{00000000-0005-0000-0000-0000F0020000}"/>
    <cellStyle name="Normal 3 3 5 2 3 2 2" xfId="895" xr:uid="{00000000-0005-0000-0000-0000F1020000}"/>
    <cellStyle name="Normal 3 3 5 2 3 3" xfId="684" xr:uid="{00000000-0005-0000-0000-0000F2020000}"/>
    <cellStyle name="Normal 3 3 5 2 4" xfId="391" xr:uid="{00000000-0005-0000-0000-0000F3020000}"/>
    <cellStyle name="Normal 3 3 5 2 4 2" xfId="755" xr:uid="{00000000-0005-0000-0000-0000F4020000}"/>
    <cellStyle name="Normal 3 3 5 2 5" xfId="544" xr:uid="{00000000-0005-0000-0000-0000F5020000}"/>
    <cellStyle name="Normal 3 3 5 3" xfId="392" xr:uid="{00000000-0005-0000-0000-0000F6020000}"/>
    <cellStyle name="Normal 3 3 5 3 2" xfId="393" xr:uid="{00000000-0005-0000-0000-0000F7020000}"/>
    <cellStyle name="Normal 3 3 5 3 2 2" xfId="394" xr:uid="{00000000-0005-0000-0000-0000F8020000}"/>
    <cellStyle name="Normal 3 3 5 3 2 2 2" xfId="849" xr:uid="{00000000-0005-0000-0000-0000F9020000}"/>
    <cellStyle name="Normal 3 3 5 3 2 3" xfId="638" xr:uid="{00000000-0005-0000-0000-0000FA020000}"/>
    <cellStyle name="Normal 3 3 5 3 3" xfId="395" xr:uid="{00000000-0005-0000-0000-0000FB020000}"/>
    <cellStyle name="Normal 3 3 5 3 3 2" xfId="396" xr:uid="{00000000-0005-0000-0000-0000FC020000}"/>
    <cellStyle name="Normal 3 3 5 3 3 2 2" xfId="907" xr:uid="{00000000-0005-0000-0000-0000FD020000}"/>
    <cellStyle name="Normal 3 3 5 3 3 3" xfId="696" xr:uid="{00000000-0005-0000-0000-0000FE020000}"/>
    <cellStyle name="Normal 3 3 5 3 4" xfId="397" xr:uid="{00000000-0005-0000-0000-0000FF020000}"/>
    <cellStyle name="Normal 3 3 5 3 4 2" xfId="767" xr:uid="{00000000-0005-0000-0000-000000030000}"/>
    <cellStyle name="Normal 3 3 5 3 5" xfId="556" xr:uid="{00000000-0005-0000-0000-000001030000}"/>
    <cellStyle name="Normal 3 3 5 4" xfId="398" xr:uid="{00000000-0005-0000-0000-000002030000}"/>
    <cellStyle name="Normal 3 3 5 4 2" xfId="399" xr:uid="{00000000-0005-0000-0000-000003030000}"/>
    <cellStyle name="Normal 3 3 5 4 2 2" xfId="400" xr:uid="{00000000-0005-0000-0000-000004030000}"/>
    <cellStyle name="Normal 3 3 5 4 2 2 2" xfId="860" xr:uid="{00000000-0005-0000-0000-000005030000}"/>
    <cellStyle name="Normal 3 3 5 4 2 3" xfId="649" xr:uid="{00000000-0005-0000-0000-000006030000}"/>
    <cellStyle name="Normal 3 3 5 4 3" xfId="401" xr:uid="{00000000-0005-0000-0000-000007030000}"/>
    <cellStyle name="Normal 3 3 5 4 3 2" xfId="402" xr:uid="{00000000-0005-0000-0000-000008030000}"/>
    <cellStyle name="Normal 3 3 5 4 3 2 2" xfId="917" xr:uid="{00000000-0005-0000-0000-000009030000}"/>
    <cellStyle name="Normal 3 3 5 4 3 3" xfId="706" xr:uid="{00000000-0005-0000-0000-00000A030000}"/>
    <cellStyle name="Normal 3 3 5 4 4" xfId="403" xr:uid="{00000000-0005-0000-0000-00000B030000}"/>
    <cellStyle name="Normal 3 3 5 4 4 2" xfId="777" xr:uid="{00000000-0005-0000-0000-00000C030000}"/>
    <cellStyle name="Normal 3 3 5 4 5" xfId="566" xr:uid="{00000000-0005-0000-0000-00000D030000}"/>
    <cellStyle name="Normal 3 3 5 5" xfId="404" xr:uid="{00000000-0005-0000-0000-00000E030000}"/>
    <cellStyle name="Normal 3 3 5 5 2" xfId="405" xr:uid="{00000000-0005-0000-0000-00000F030000}"/>
    <cellStyle name="Normal 3 3 5 5 2 2" xfId="406" xr:uid="{00000000-0005-0000-0000-000010030000}"/>
    <cellStyle name="Normal 3 3 5 5 2 2 2" xfId="869" xr:uid="{00000000-0005-0000-0000-000011030000}"/>
    <cellStyle name="Normal 3 3 5 5 2 3" xfId="658" xr:uid="{00000000-0005-0000-0000-000012030000}"/>
    <cellStyle name="Normal 3 3 5 5 3" xfId="407" xr:uid="{00000000-0005-0000-0000-000013030000}"/>
    <cellStyle name="Normal 3 3 5 5 3 2" xfId="408" xr:uid="{00000000-0005-0000-0000-000014030000}"/>
    <cellStyle name="Normal 3 3 5 5 3 2 2" xfId="925" xr:uid="{00000000-0005-0000-0000-000015030000}"/>
    <cellStyle name="Normal 3 3 5 5 3 3" xfId="714" xr:uid="{00000000-0005-0000-0000-000016030000}"/>
    <cellStyle name="Normal 3 3 5 5 4" xfId="409" xr:uid="{00000000-0005-0000-0000-000017030000}"/>
    <cellStyle name="Normal 3 3 5 5 4 2" xfId="785" xr:uid="{00000000-0005-0000-0000-000018030000}"/>
    <cellStyle name="Normal 3 3 5 5 5" xfId="574" xr:uid="{00000000-0005-0000-0000-000019030000}"/>
    <cellStyle name="Normal 3 3 5 6" xfId="410" xr:uid="{00000000-0005-0000-0000-00001A030000}"/>
    <cellStyle name="Normal 3 3 5 6 2" xfId="411" xr:uid="{00000000-0005-0000-0000-00001B030000}"/>
    <cellStyle name="Normal 3 3 5 6 2 2" xfId="808" xr:uid="{00000000-0005-0000-0000-00001C030000}"/>
    <cellStyle name="Normal 3 3 5 6 3" xfId="597" xr:uid="{00000000-0005-0000-0000-00001D030000}"/>
    <cellStyle name="Normal 3 3 5 7" xfId="412" xr:uid="{00000000-0005-0000-0000-00001E030000}"/>
    <cellStyle name="Normal 3 3 5 7 2" xfId="413" xr:uid="{00000000-0005-0000-0000-00001F030000}"/>
    <cellStyle name="Normal 3 3 5 7 2 2" xfId="809" xr:uid="{00000000-0005-0000-0000-000020030000}"/>
    <cellStyle name="Normal 3 3 5 7 3" xfId="598" xr:uid="{00000000-0005-0000-0000-000021030000}"/>
    <cellStyle name="Normal 3 3 5 8" xfId="414" xr:uid="{00000000-0005-0000-0000-000022030000}"/>
    <cellStyle name="Normal 3 3 5 8 2" xfId="729" xr:uid="{00000000-0005-0000-0000-000023030000}"/>
    <cellStyle name="Normal 3 3 5 9" xfId="518" xr:uid="{00000000-0005-0000-0000-000024030000}"/>
    <cellStyle name="Normal 3 3 6" xfId="415" xr:uid="{00000000-0005-0000-0000-000025030000}"/>
    <cellStyle name="Normal 3 3 6 2" xfId="416" xr:uid="{00000000-0005-0000-0000-000026030000}"/>
    <cellStyle name="Normal 3 3 6 2 2" xfId="417" xr:uid="{00000000-0005-0000-0000-000027030000}"/>
    <cellStyle name="Normal 3 3 6 2 2 2" xfId="418" xr:uid="{00000000-0005-0000-0000-000028030000}"/>
    <cellStyle name="Normal 3 3 6 2 2 2 2" xfId="841" xr:uid="{00000000-0005-0000-0000-000029030000}"/>
    <cellStyle name="Normal 3 3 6 2 2 3" xfId="630" xr:uid="{00000000-0005-0000-0000-00002A030000}"/>
    <cellStyle name="Normal 3 3 6 2 3" xfId="419" xr:uid="{00000000-0005-0000-0000-00002B030000}"/>
    <cellStyle name="Normal 3 3 6 2 3 2" xfId="420" xr:uid="{00000000-0005-0000-0000-00002C030000}"/>
    <cellStyle name="Normal 3 3 6 2 3 2 2" xfId="899" xr:uid="{00000000-0005-0000-0000-00002D030000}"/>
    <cellStyle name="Normal 3 3 6 2 3 3" xfId="688" xr:uid="{00000000-0005-0000-0000-00002E030000}"/>
    <cellStyle name="Normal 3 3 6 2 4" xfId="421" xr:uid="{00000000-0005-0000-0000-00002F030000}"/>
    <cellStyle name="Normal 3 3 6 2 4 2" xfId="759" xr:uid="{00000000-0005-0000-0000-000030030000}"/>
    <cellStyle name="Normal 3 3 6 2 5" xfId="548" xr:uid="{00000000-0005-0000-0000-000031030000}"/>
    <cellStyle name="Normal 3 3 6 3" xfId="422" xr:uid="{00000000-0005-0000-0000-000032030000}"/>
    <cellStyle name="Normal 3 3 6 3 2" xfId="423" xr:uid="{00000000-0005-0000-0000-000033030000}"/>
    <cellStyle name="Normal 3 3 6 3 2 2" xfId="424" xr:uid="{00000000-0005-0000-0000-000034030000}"/>
    <cellStyle name="Normal 3 3 6 3 2 2 2" xfId="853" xr:uid="{00000000-0005-0000-0000-000035030000}"/>
    <cellStyle name="Normal 3 3 6 3 2 3" xfId="642" xr:uid="{00000000-0005-0000-0000-000036030000}"/>
    <cellStyle name="Normal 3 3 6 3 3" xfId="425" xr:uid="{00000000-0005-0000-0000-000037030000}"/>
    <cellStyle name="Normal 3 3 6 3 3 2" xfId="426" xr:uid="{00000000-0005-0000-0000-000038030000}"/>
    <cellStyle name="Normal 3 3 6 3 3 2 2" xfId="911" xr:uid="{00000000-0005-0000-0000-000039030000}"/>
    <cellStyle name="Normal 3 3 6 3 3 3" xfId="700" xr:uid="{00000000-0005-0000-0000-00003A030000}"/>
    <cellStyle name="Normal 3 3 6 3 4" xfId="427" xr:uid="{00000000-0005-0000-0000-00003B030000}"/>
    <cellStyle name="Normal 3 3 6 3 4 2" xfId="771" xr:uid="{00000000-0005-0000-0000-00003C030000}"/>
    <cellStyle name="Normal 3 3 6 3 5" xfId="560" xr:uid="{00000000-0005-0000-0000-00003D030000}"/>
    <cellStyle name="Normal 3 3 6 4" xfId="428" xr:uid="{00000000-0005-0000-0000-00003E030000}"/>
    <cellStyle name="Normal 3 3 6 4 2" xfId="429" xr:uid="{00000000-0005-0000-0000-00003F030000}"/>
    <cellStyle name="Normal 3 3 6 4 2 2" xfId="430" xr:uid="{00000000-0005-0000-0000-000040030000}"/>
    <cellStyle name="Normal 3 3 6 4 2 2 2" xfId="862" xr:uid="{00000000-0005-0000-0000-000041030000}"/>
    <cellStyle name="Normal 3 3 6 4 2 3" xfId="651" xr:uid="{00000000-0005-0000-0000-000042030000}"/>
    <cellStyle name="Normal 3 3 6 4 3" xfId="431" xr:uid="{00000000-0005-0000-0000-000043030000}"/>
    <cellStyle name="Normal 3 3 6 4 3 2" xfId="432" xr:uid="{00000000-0005-0000-0000-000044030000}"/>
    <cellStyle name="Normal 3 3 6 4 3 2 2" xfId="919" xr:uid="{00000000-0005-0000-0000-000045030000}"/>
    <cellStyle name="Normal 3 3 6 4 3 3" xfId="708" xr:uid="{00000000-0005-0000-0000-000046030000}"/>
    <cellStyle name="Normal 3 3 6 4 4" xfId="433" xr:uid="{00000000-0005-0000-0000-000047030000}"/>
    <cellStyle name="Normal 3 3 6 4 4 2" xfId="779" xr:uid="{00000000-0005-0000-0000-000048030000}"/>
    <cellStyle name="Normal 3 3 6 4 5" xfId="568" xr:uid="{00000000-0005-0000-0000-000049030000}"/>
    <cellStyle name="Normal 3 3 6 5" xfId="434" xr:uid="{00000000-0005-0000-0000-00004A030000}"/>
    <cellStyle name="Normal 3 3 6 5 2" xfId="435" xr:uid="{00000000-0005-0000-0000-00004B030000}"/>
    <cellStyle name="Normal 3 3 6 5 2 2" xfId="436" xr:uid="{00000000-0005-0000-0000-00004C030000}"/>
    <cellStyle name="Normal 3 3 6 5 2 2 2" xfId="871" xr:uid="{00000000-0005-0000-0000-00004D030000}"/>
    <cellStyle name="Normal 3 3 6 5 2 3" xfId="660" xr:uid="{00000000-0005-0000-0000-00004E030000}"/>
    <cellStyle name="Normal 3 3 6 5 3" xfId="437" xr:uid="{00000000-0005-0000-0000-00004F030000}"/>
    <cellStyle name="Normal 3 3 6 5 3 2" xfId="438" xr:uid="{00000000-0005-0000-0000-000050030000}"/>
    <cellStyle name="Normal 3 3 6 5 3 2 2" xfId="927" xr:uid="{00000000-0005-0000-0000-000051030000}"/>
    <cellStyle name="Normal 3 3 6 5 3 3" xfId="716" xr:uid="{00000000-0005-0000-0000-000052030000}"/>
    <cellStyle name="Normal 3 3 6 5 4" xfId="439" xr:uid="{00000000-0005-0000-0000-000053030000}"/>
    <cellStyle name="Normal 3 3 6 5 4 2" xfId="787" xr:uid="{00000000-0005-0000-0000-000054030000}"/>
    <cellStyle name="Normal 3 3 6 5 5" xfId="576" xr:uid="{00000000-0005-0000-0000-000055030000}"/>
    <cellStyle name="Normal 3 3 6 6" xfId="440" xr:uid="{00000000-0005-0000-0000-000056030000}"/>
    <cellStyle name="Normal 3 3 6 6 2" xfId="441" xr:uid="{00000000-0005-0000-0000-000057030000}"/>
    <cellStyle name="Normal 3 3 6 6 2 2" xfId="811" xr:uid="{00000000-0005-0000-0000-000058030000}"/>
    <cellStyle name="Normal 3 3 6 6 3" xfId="600" xr:uid="{00000000-0005-0000-0000-000059030000}"/>
    <cellStyle name="Normal 3 3 6 7" xfId="442" xr:uid="{00000000-0005-0000-0000-00005A030000}"/>
    <cellStyle name="Normal 3 3 6 7 2" xfId="443" xr:uid="{00000000-0005-0000-0000-00005B030000}"/>
    <cellStyle name="Normal 3 3 6 7 2 2" xfId="803" xr:uid="{00000000-0005-0000-0000-00005C030000}"/>
    <cellStyle name="Normal 3 3 6 7 3" xfId="592" xr:uid="{00000000-0005-0000-0000-00005D030000}"/>
    <cellStyle name="Normal 3 3 6 8" xfId="444" xr:uid="{00000000-0005-0000-0000-00005E030000}"/>
    <cellStyle name="Normal 3 3 6 8 2" xfId="731" xr:uid="{00000000-0005-0000-0000-00005F030000}"/>
    <cellStyle name="Normal 3 3 6 9" xfId="520" xr:uid="{00000000-0005-0000-0000-000060030000}"/>
    <cellStyle name="Normal 3 3 7" xfId="445" xr:uid="{00000000-0005-0000-0000-000061030000}"/>
    <cellStyle name="Normal 3 3 7 2" xfId="446" xr:uid="{00000000-0005-0000-0000-000062030000}"/>
    <cellStyle name="Normal 3 3 7 2 2" xfId="447" xr:uid="{00000000-0005-0000-0000-000063030000}"/>
    <cellStyle name="Normal 3 3 7 2 2 2" xfId="448" xr:uid="{00000000-0005-0000-0000-000064030000}"/>
    <cellStyle name="Normal 3 3 7 2 2 2 2" xfId="844" xr:uid="{00000000-0005-0000-0000-000065030000}"/>
    <cellStyle name="Normal 3 3 7 2 2 3" xfId="633" xr:uid="{00000000-0005-0000-0000-000066030000}"/>
    <cellStyle name="Normal 3 3 7 2 3" xfId="449" xr:uid="{00000000-0005-0000-0000-000067030000}"/>
    <cellStyle name="Normal 3 3 7 2 3 2" xfId="450" xr:uid="{00000000-0005-0000-0000-000068030000}"/>
    <cellStyle name="Normal 3 3 7 2 3 2 2" xfId="902" xr:uid="{00000000-0005-0000-0000-000069030000}"/>
    <cellStyle name="Normal 3 3 7 2 3 3" xfId="691" xr:uid="{00000000-0005-0000-0000-00006A030000}"/>
    <cellStyle name="Normal 3 3 7 2 4" xfId="451" xr:uid="{00000000-0005-0000-0000-00006B030000}"/>
    <cellStyle name="Normal 3 3 7 2 4 2" xfId="762" xr:uid="{00000000-0005-0000-0000-00006C030000}"/>
    <cellStyle name="Normal 3 3 7 2 5" xfId="551" xr:uid="{00000000-0005-0000-0000-00006D030000}"/>
    <cellStyle name="Normal 3 3 7 3" xfId="452" xr:uid="{00000000-0005-0000-0000-00006E030000}"/>
    <cellStyle name="Normal 3 3 7 3 2" xfId="453" xr:uid="{00000000-0005-0000-0000-00006F030000}"/>
    <cellStyle name="Normal 3 3 7 3 2 2" xfId="454" xr:uid="{00000000-0005-0000-0000-000070030000}"/>
    <cellStyle name="Normal 3 3 7 3 2 2 2" xfId="857" xr:uid="{00000000-0005-0000-0000-000071030000}"/>
    <cellStyle name="Normal 3 3 7 3 2 3" xfId="646" xr:uid="{00000000-0005-0000-0000-000072030000}"/>
    <cellStyle name="Normal 3 3 7 3 3" xfId="455" xr:uid="{00000000-0005-0000-0000-000073030000}"/>
    <cellStyle name="Normal 3 3 7 3 3 2" xfId="456" xr:uid="{00000000-0005-0000-0000-000074030000}"/>
    <cellStyle name="Normal 3 3 7 3 3 2 2" xfId="914" xr:uid="{00000000-0005-0000-0000-000075030000}"/>
    <cellStyle name="Normal 3 3 7 3 3 3" xfId="703" xr:uid="{00000000-0005-0000-0000-000076030000}"/>
    <cellStyle name="Normal 3 3 7 3 4" xfId="457" xr:uid="{00000000-0005-0000-0000-000077030000}"/>
    <cellStyle name="Normal 3 3 7 3 4 2" xfId="774" xr:uid="{00000000-0005-0000-0000-000078030000}"/>
    <cellStyle name="Normal 3 3 7 3 5" xfId="563" xr:uid="{00000000-0005-0000-0000-000079030000}"/>
    <cellStyle name="Normal 3 3 7 4" xfId="458" xr:uid="{00000000-0005-0000-0000-00007A030000}"/>
    <cellStyle name="Normal 3 3 7 4 2" xfId="459" xr:uid="{00000000-0005-0000-0000-00007B030000}"/>
    <cellStyle name="Normal 3 3 7 4 2 2" xfId="460" xr:uid="{00000000-0005-0000-0000-00007C030000}"/>
    <cellStyle name="Normal 3 3 7 4 2 2 2" xfId="866" xr:uid="{00000000-0005-0000-0000-00007D030000}"/>
    <cellStyle name="Normal 3 3 7 4 2 3" xfId="655" xr:uid="{00000000-0005-0000-0000-00007E030000}"/>
    <cellStyle name="Normal 3 3 7 4 3" xfId="461" xr:uid="{00000000-0005-0000-0000-00007F030000}"/>
    <cellStyle name="Normal 3 3 7 4 3 2" xfId="462" xr:uid="{00000000-0005-0000-0000-000080030000}"/>
    <cellStyle name="Normal 3 3 7 4 3 2 2" xfId="922" xr:uid="{00000000-0005-0000-0000-000081030000}"/>
    <cellStyle name="Normal 3 3 7 4 3 3" xfId="711" xr:uid="{00000000-0005-0000-0000-000082030000}"/>
    <cellStyle name="Normal 3 3 7 4 4" xfId="463" xr:uid="{00000000-0005-0000-0000-000083030000}"/>
    <cellStyle name="Normal 3 3 7 4 4 2" xfId="782" xr:uid="{00000000-0005-0000-0000-000084030000}"/>
    <cellStyle name="Normal 3 3 7 4 5" xfId="571" xr:uid="{00000000-0005-0000-0000-000085030000}"/>
    <cellStyle name="Normal 3 3 7 5" xfId="464" xr:uid="{00000000-0005-0000-0000-000086030000}"/>
    <cellStyle name="Normal 3 3 7 5 2" xfId="465" xr:uid="{00000000-0005-0000-0000-000087030000}"/>
    <cellStyle name="Normal 3 3 7 5 2 2" xfId="466" xr:uid="{00000000-0005-0000-0000-000088030000}"/>
    <cellStyle name="Normal 3 3 7 5 2 2 2" xfId="873" xr:uid="{00000000-0005-0000-0000-000089030000}"/>
    <cellStyle name="Normal 3 3 7 5 2 3" xfId="662" xr:uid="{00000000-0005-0000-0000-00008A030000}"/>
    <cellStyle name="Normal 3 3 7 5 3" xfId="467" xr:uid="{00000000-0005-0000-0000-00008B030000}"/>
    <cellStyle name="Normal 3 3 7 5 3 2" xfId="468" xr:uid="{00000000-0005-0000-0000-00008C030000}"/>
    <cellStyle name="Normal 3 3 7 5 3 2 2" xfId="929" xr:uid="{00000000-0005-0000-0000-00008D030000}"/>
    <cellStyle name="Normal 3 3 7 5 3 3" xfId="718" xr:uid="{00000000-0005-0000-0000-00008E030000}"/>
    <cellStyle name="Normal 3 3 7 5 4" xfId="469" xr:uid="{00000000-0005-0000-0000-00008F030000}"/>
    <cellStyle name="Normal 3 3 7 5 4 2" xfId="789" xr:uid="{00000000-0005-0000-0000-000090030000}"/>
    <cellStyle name="Normal 3 3 7 5 5" xfId="578" xr:uid="{00000000-0005-0000-0000-000091030000}"/>
    <cellStyle name="Normal 3 3 7 6" xfId="470" xr:uid="{00000000-0005-0000-0000-000092030000}"/>
    <cellStyle name="Normal 3 3 7 6 2" xfId="471" xr:uid="{00000000-0005-0000-0000-000093030000}"/>
    <cellStyle name="Normal 3 3 7 6 2 2" xfId="813" xr:uid="{00000000-0005-0000-0000-000094030000}"/>
    <cellStyle name="Normal 3 3 7 6 3" xfId="602" xr:uid="{00000000-0005-0000-0000-000095030000}"/>
    <cellStyle name="Normal 3 3 7 7" xfId="472" xr:uid="{00000000-0005-0000-0000-000096030000}"/>
    <cellStyle name="Normal 3 3 7 7 2" xfId="473" xr:uid="{00000000-0005-0000-0000-000097030000}"/>
    <cellStyle name="Normal 3 3 7 7 2 2" xfId="855" xr:uid="{00000000-0005-0000-0000-000098030000}"/>
    <cellStyle name="Normal 3 3 7 7 3" xfId="644" xr:uid="{00000000-0005-0000-0000-000099030000}"/>
    <cellStyle name="Normal 3 3 7 8" xfId="474" xr:uid="{00000000-0005-0000-0000-00009A030000}"/>
    <cellStyle name="Normal 3 3 7 8 2" xfId="733" xr:uid="{00000000-0005-0000-0000-00009B030000}"/>
    <cellStyle name="Normal 3 3 7 9" xfId="522" xr:uid="{00000000-0005-0000-0000-00009C030000}"/>
    <cellStyle name="Normal 3 3 8" xfId="475" xr:uid="{00000000-0005-0000-0000-00009D030000}"/>
    <cellStyle name="Normal 3 3 8 2" xfId="476" xr:uid="{00000000-0005-0000-0000-00009E030000}"/>
    <cellStyle name="Normal 3 3 8 2 2" xfId="477" xr:uid="{00000000-0005-0000-0000-00009F030000}"/>
    <cellStyle name="Normal 3 3 8 2 2 2" xfId="819" xr:uid="{00000000-0005-0000-0000-0000A0030000}"/>
    <cellStyle name="Normal 3 3 8 2 3" xfId="608" xr:uid="{00000000-0005-0000-0000-0000A1030000}"/>
    <cellStyle name="Normal 3 3 8 3" xfId="478" xr:uid="{00000000-0005-0000-0000-0000A2030000}"/>
    <cellStyle name="Normal 3 3 8 3 2" xfId="479" xr:uid="{00000000-0005-0000-0000-0000A3030000}"/>
    <cellStyle name="Normal 3 3 8 3 2 2" xfId="878" xr:uid="{00000000-0005-0000-0000-0000A4030000}"/>
    <cellStyle name="Normal 3 3 8 3 3" xfId="667" xr:uid="{00000000-0005-0000-0000-0000A5030000}"/>
    <cellStyle name="Normal 3 3 8 4" xfId="480" xr:uid="{00000000-0005-0000-0000-0000A6030000}"/>
    <cellStyle name="Normal 3 3 8 4 2" xfId="738" xr:uid="{00000000-0005-0000-0000-0000A7030000}"/>
    <cellStyle name="Normal 3 3 8 5" xfId="527" xr:uid="{00000000-0005-0000-0000-0000A8030000}"/>
    <cellStyle name="Normal 3 3 9" xfId="481" xr:uid="{00000000-0005-0000-0000-0000A9030000}"/>
    <cellStyle name="Normal 3 3 9 2" xfId="482" xr:uid="{00000000-0005-0000-0000-0000AA030000}"/>
    <cellStyle name="Normal 3 3 9 2 2" xfId="483" xr:uid="{00000000-0005-0000-0000-0000AB030000}"/>
    <cellStyle name="Normal 3 3 9 2 2 2" xfId="821" xr:uid="{00000000-0005-0000-0000-0000AC030000}"/>
    <cellStyle name="Normal 3 3 9 2 3" xfId="610" xr:uid="{00000000-0005-0000-0000-0000AD030000}"/>
    <cellStyle name="Normal 3 3 9 3" xfId="484" xr:uid="{00000000-0005-0000-0000-0000AE030000}"/>
    <cellStyle name="Normal 3 3 9 3 2" xfId="485" xr:uid="{00000000-0005-0000-0000-0000AF030000}"/>
    <cellStyle name="Normal 3 3 9 3 2 2" xfId="880" xr:uid="{00000000-0005-0000-0000-0000B0030000}"/>
    <cellStyle name="Normal 3 3 9 3 3" xfId="669" xr:uid="{00000000-0005-0000-0000-0000B1030000}"/>
    <cellStyle name="Normal 3 3 9 4" xfId="486" xr:uid="{00000000-0005-0000-0000-0000B2030000}"/>
    <cellStyle name="Normal 3 3 9 4 2" xfId="740" xr:uid="{00000000-0005-0000-0000-0000B3030000}"/>
    <cellStyle name="Normal 3 3 9 5" xfId="529" xr:uid="{00000000-0005-0000-0000-0000B4030000}"/>
    <cellStyle name="Normal 4" xfId="487" xr:uid="{00000000-0005-0000-0000-0000B5030000}"/>
    <cellStyle name="Normal 5" xfId="488" xr:uid="{00000000-0005-0000-0000-0000B6030000}"/>
    <cellStyle name="Normal 6" xfId="489" xr:uid="{00000000-0005-0000-0000-0000B7030000}"/>
    <cellStyle name="Normal 7" xfId="490" xr:uid="{00000000-0005-0000-0000-0000B8030000}"/>
    <cellStyle name="Normal 8" xfId="491" xr:uid="{00000000-0005-0000-0000-0000B9030000}"/>
    <cellStyle name="Normal 9" xfId="492" xr:uid="{00000000-0005-0000-0000-0000BA030000}"/>
    <cellStyle name="Notas 2" xfId="979" xr:uid="{00000000-0005-0000-0000-0000BB030000}"/>
    <cellStyle name="Notas 3" xfId="976" xr:uid="{00000000-0005-0000-0000-0000BC030000}"/>
    <cellStyle name="Porcentaje" xfId="2" builtinId="5"/>
    <cellStyle name="Porcentaje 2" xfId="507" xr:uid="{00000000-0005-0000-0000-0000BE030000}"/>
    <cellStyle name="Porcentaje 2 2" xfId="980" xr:uid="{00000000-0005-0000-0000-0000BF030000}"/>
    <cellStyle name="Porcentual 2" xfId="493" xr:uid="{00000000-0005-0000-0000-0000C0030000}"/>
    <cellStyle name="Porcentual 2 10" xfId="494" xr:uid="{00000000-0005-0000-0000-0000C1030000}"/>
    <cellStyle name="Porcentual 2 11" xfId="495" xr:uid="{00000000-0005-0000-0000-0000C2030000}"/>
    <cellStyle name="Porcentual 2 12" xfId="496" xr:uid="{00000000-0005-0000-0000-0000C3030000}"/>
    <cellStyle name="Porcentual 2 13" xfId="497" xr:uid="{00000000-0005-0000-0000-0000C4030000}"/>
    <cellStyle name="Porcentual 2 14" xfId="498" xr:uid="{00000000-0005-0000-0000-0000C5030000}"/>
    <cellStyle name="Porcentual 2 2" xfId="499" xr:uid="{00000000-0005-0000-0000-0000C6030000}"/>
    <cellStyle name="Porcentual 2 3" xfId="500" xr:uid="{00000000-0005-0000-0000-0000C7030000}"/>
    <cellStyle name="Porcentual 2 4" xfId="501" xr:uid="{00000000-0005-0000-0000-0000C8030000}"/>
    <cellStyle name="Porcentual 2 5" xfId="502" xr:uid="{00000000-0005-0000-0000-0000C9030000}"/>
    <cellStyle name="Porcentual 2 6" xfId="503" xr:uid="{00000000-0005-0000-0000-0000CA030000}"/>
    <cellStyle name="Porcentual 2 7" xfId="504" xr:uid="{00000000-0005-0000-0000-0000CB030000}"/>
    <cellStyle name="Porcentual 2 8" xfId="505" xr:uid="{00000000-0005-0000-0000-0000CC030000}"/>
    <cellStyle name="Porcentual 2 9" xfId="506" xr:uid="{00000000-0005-0000-0000-0000CD030000}"/>
    <cellStyle name="Salida" xfId="939" builtinId="21" customBuiltin="1"/>
    <cellStyle name="Texto de advertencia" xfId="943" builtinId="11" customBuiltin="1"/>
    <cellStyle name="Texto explicativo" xfId="944" builtinId="53" customBuiltin="1"/>
    <cellStyle name="Título 2" xfId="932" builtinId="17" customBuiltin="1"/>
    <cellStyle name="Título 3" xfId="933" builtinId="18" customBuiltin="1"/>
    <cellStyle name="Título 4" xfId="981" xr:uid="{00000000-0005-0000-0000-0000D4030000}"/>
    <cellStyle name="Total" xfId="945" builtinId="25" customBuiltin="1"/>
  </cellStyles>
  <dxfs count="15">
    <dxf>
      <font>
        <color theme="0" tint="-0.24994659260841701"/>
      </font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24994659260841701"/>
      </font>
      <fill>
        <patternFill patternType="none">
          <bgColor auto="1"/>
        </patternFill>
      </fill>
      <border>
        <left/>
        <right/>
        <bottom/>
        <vertical/>
        <horizontal/>
      </border>
    </dxf>
    <dxf>
      <font>
        <color theme="9"/>
      </font>
    </dxf>
    <dxf>
      <font>
        <color theme="0" tint="-0.24994659260841701"/>
      </font>
      <fill>
        <patternFill patternType="none">
          <bgColor auto="1"/>
        </patternFill>
      </fill>
      <border>
        <left/>
        <right/>
        <bottom/>
        <vertical/>
        <horizontal/>
      </border>
    </dxf>
    <dxf>
      <font>
        <color theme="9"/>
      </font>
    </dxf>
    <dxf>
      <font>
        <color theme="9"/>
      </font>
    </dxf>
    <dxf>
      <font>
        <color theme="9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  <border>
        <left/>
        <right/>
        <bottom/>
        <vertical/>
        <horizontal/>
      </border>
    </dxf>
    <dxf>
      <font>
        <color theme="0" tint="-0.24994659260841701"/>
      </font>
      <fill>
        <patternFill patternType="none">
          <bgColor auto="1"/>
        </patternFill>
      </fill>
      <border>
        <left/>
        <right/>
        <bottom/>
        <vertical/>
        <horizontal/>
      </border>
    </dxf>
    <dxf>
      <font>
        <color theme="0" tint="-0.24994659260841701"/>
      </font>
      <fill>
        <patternFill patternType="none">
          <bgColor auto="1"/>
        </patternFill>
      </fill>
      <border>
        <left/>
        <right/>
        <top/>
        <vertical/>
        <horizontal/>
      </border>
    </dxf>
    <dxf>
      <font>
        <color theme="0" tint="-0.24994659260841701"/>
      </font>
      <fill>
        <patternFill patternType="none">
          <bgColor auto="1"/>
        </patternFill>
      </fill>
      <border>
        <left/>
        <right/>
        <bottom/>
        <vertical/>
        <horizontal/>
      </border>
    </dxf>
    <dxf>
      <font>
        <color theme="9"/>
      </font>
    </dxf>
    <dxf>
      <font>
        <color theme="0" tint="-0.24994659260841701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 tint="-0.24994659260841701"/>
      </font>
      <fill>
        <patternFill patternType="none">
          <bgColor auto="1"/>
        </patternFill>
      </fill>
      <border>
        <left/>
        <right/>
        <bottom/>
        <vertical/>
        <horizontal/>
      </border>
    </dxf>
  </dxfs>
  <tableStyles count="0" defaultTableStyle="TableStyleMedium2" defaultPivotStyle="PivotStyleLight16"/>
  <colors>
    <mruColors>
      <color rgb="FFFFFFCC"/>
      <color rgb="FFFEF4E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1856815</xdr:colOff>
      <xdr:row>2</xdr:row>
      <xdr:rowOff>53228</xdr:rowOff>
    </xdr:from>
    <xdr:to>
      <xdr:col>11</xdr:col>
      <xdr:colOff>472691</xdr:colOff>
      <xdr:row>5</xdr:row>
      <xdr:rowOff>155482</xdr:rowOff>
    </xdr:to>
    <xdr:pic>
      <xdr:nvPicPr>
        <xdr:cNvPr id="2" name="1 Imagen" descr="Logo Gam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9440" y="253253"/>
          <a:ext cx="2006553" cy="59643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35719</xdr:colOff>
      <xdr:row>2</xdr:row>
      <xdr:rowOff>23814</xdr:rowOff>
    </xdr:from>
    <xdr:to>
      <xdr:col>4</xdr:col>
      <xdr:colOff>306648</xdr:colOff>
      <xdr:row>5</xdr:row>
      <xdr:rowOff>112761</xdr:rowOff>
    </xdr:to>
    <xdr:pic>
      <xdr:nvPicPr>
        <xdr:cNvPr id="2" name="1 Imagen" descr="Logo Gam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3814"/>
          <a:ext cx="2012156" cy="59531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67016</xdr:colOff>
      <xdr:row>0</xdr:row>
      <xdr:rowOff>84024</xdr:rowOff>
    </xdr:from>
    <xdr:to>
      <xdr:col>2</xdr:col>
      <xdr:colOff>2049122</xdr:colOff>
      <xdr:row>3</xdr:row>
      <xdr:rowOff>84772</xdr:rowOff>
    </xdr:to>
    <xdr:pic>
      <xdr:nvPicPr>
        <xdr:cNvPr id="2" name="1 Imagen" descr="Logo Gam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802" y="84024"/>
          <a:ext cx="1982106" cy="62667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0</xdr:rowOff>
    </xdr:from>
    <xdr:to>
      <xdr:col>17</xdr:col>
      <xdr:colOff>745057</xdr:colOff>
      <xdr:row>26</xdr:row>
      <xdr:rowOff>57933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F5ADA58-DE06-4E82-9739-62342BBB5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64353" y="728382"/>
          <a:ext cx="4979200" cy="37949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7030A0"/>
  </sheetPr>
  <dimension ref="A2:W111"/>
  <sheetViews>
    <sheetView showGridLines="0" tabSelected="1" topLeftCell="A75" zoomScale="90" zoomScaleNormal="90" workbookViewId="0">
      <selection activeCell="H16" sqref="H16"/>
    </sheetView>
  </sheetViews>
  <sheetFormatPr baseColWidth="10" defaultColWidth="11.453125" defaultRowHeight="14.5" outlineLevelRow="1"/>
  <cols>
    <col min="1" max="1" width="1.7265625" style="503" customWidth="1"/>
    <col min="2" max="4" width="1.7265625" style="506" customWidth="1"/>
    <col min="5" max="5" width="39.453125" style="506" bestFit="1" customWidth="1"/>
    <col min="6" max="6" width="10.7265625" style="507" customWidth="1"/>
    <col min="7" max="7" width="20.7265625" style="506" customWidth="1"/>
    <col min="8" max="8" width="1.7265625" style="506" customWidth="1"/>
    <col min="9" max="9" width="20.7265625" style="506" customWidth="1"/>
    <col min="10" max="10" width="29.81640625" style="506" customWidth="1"/>
    <col min="11" max="11" width="20.7265625" style="506" customWidth="1"/>
    <col min="12" max="12" width="12.7265625" style="506" customWidth="1"/>
    <col min="13" max="15" width="1.7265625" style="506" customWidth="1"/>
    <col min="16" max="16" width="1.7265625" style="503" customWidth="1"/>
    <col min="17" max="17" width="6.81640625" style="505" bestFit="1" customWidth="1"/>
    <col min="18" max="18" width="11.453125" style="505"/>
    <col min="19" max="19" width="13.453125" style="505" bestFit="1" customWidth="1"/>
    <col min="20" max="21" width="11.453125" style="505"/>
    <col min="22" max="26" width="11.453125" style="506"/>
    <col min="27" max="27" width="11.453125" style="506" customWidth="1"/>
    <col min="28" max="16384" width="11.453125" style="506"/>
  </cols>
  <sheetData>
    <row r="2" spans="2:17" ht="10" customHeight="1" thickBot="1">
      <c r="B2" s="164"/>
      <c r="C2" s="164"/>
      <c r="D2" s="164"/>
      <c r="E2" s="164"/>
      <c r="F2" s="165"/>
      <c r="G2" s="164"/>
      <c r="H2" s="164"/>
      <c r="I2" s="164"/>
      <c r="J2" s="164"/>
      <c r="K2" s="164"/>
      <c r="L2" s="164"/>
      <c r="M2" s="164"/>
      <c r="N2" s="164"/>
      <c r="O2" s="164"/>
    </row>
    <row r="3" spans="2:17" ht="15" thickTop="1">
      <c r="B3" s="164"/>
      <c r="C3" s="166"/>
      <c r="D3" s="167"/>
      <c r="E3" s="167"/>
      <c r="F3" s="168"/>
      <c r="G3" s="167"/>
      <c r="H3" s="167"/>
      <c r="I3" s="167"/>
      <c r="J3" s="167"/>
      <c r="K3" s="167"/>
      <c r="L3" s="167"/>
      <c r="M3" s="167"/>
      <c r="N3" s="169"/>
      <c r="O3" s="164"/>
      <c r="Q3" s="510"/>
    </row>
    <row r="4" spans="2:17" ht="18.5">
      <c r="B4" s="164"/>
      <c r="C4" s="170"/>
      <c r="D4" s="164"/>
      <c r="E4" s="694" t="s">
        <v>431</v>
      </c>
      <c r="F4" s="694"/>
      <c r="G4" s="694"/>
      <c r="H4" s="694"/>
      <c r="I4" s="694"/>
      <c r="J4" s="694"/>
      <c r="K4" s="694"/>
      <c r="L4" s="694"/>
      <c r="M4" s="164"/>
      <c r="N4" s="171"/>
      <c r="O4" s="164"/>
    </row>
    <row r="5" spans="2:17" ht="5.15" customHeight="1">
      <c r="B5" s="164"/>
      <c r="C5" s="170"/>
      <c r="D5" s="164"/>
      <c r="E5" s="164"/>
      <c r="F5" s="165"/>
      <c r="G5" s="164"/>
      <c r="H5" s="164"/>
      <c r="I5" s="164"/>
      <c r="J5" s="164"/>
      <c r="K5" s="164"/>
      <c r="L5" s="164"/>
      <c r="M5" s="164"/>
      <c r="N5" s="171"/>
      <c r="O5" s="164"/>
    </row>
    <row r="6" spans="2:17">
      <c r="B6" s="164"/>
      <c r="C6" s="170"/>
      <c r="D6" s="164"/>
      <c r="E6" s="172" t="s">
        <v>378</v>
      </c>
      <c r="F6" s="165"/>
      <c r="G6" s="164"/>
      <c r="H6" s="164"/>
      <c r="I6" s="164"/>
      <c r="J6" s="164"/>
      <c r="K6" s="164"/>
      <c r="L6" s="164"/>
      <c r="M6" s="164"/>
      <c r="N6" s="171"/>
      <c r="O6" s="164"/>
    </row>
    <row r="7" spans="2:17" ht="5.15" customHeight="1" thickBot="1">
      <c r="B7" s="164"/>
      <c r="C7" s="170"/>
      <c r="D7" s="164"/>
      <c r="E7" s="164"/>
      <c r="F7" s="165"/>
      <c r="G7" s="164"/>
      <c r="H7" s="164"/>
      <c r="I7" s="164"/>
      <c r="J7" s="164"/>
      <c r="K7" s="164"/>
      <c r="L7" s="164"/>
      <c r="M7" s="164"/>
      <c r="N7" s="171"/>
      <c r="O7" s="164"/>
    </row>
    <row r="8" spans="2:17" ht="15.5" thickTop="1" thickBot="1">
      <c r="B8" s="164"/>
      <c r="C8" s="170"/>
      <c r="D8" s="164"/>
      <c r="E8" s="543" t="s">
        <v>380</v>
      </c>
      <c r="F8" s="165"/>
      <c r="G8" s="164"/>
      <c r="H8" s="164"/>
      <c r="I8" s="164"/>
      <c r="J8" s="164"/>
      <c r="K8" s="164"/>
      <c r="L8" s="164"/>
      <c r="M8" s="164"/>
      <c r="N8" s="171"/>
      <c r="O8" s="164"/>
    </row>
    <row r="9" spans="2:17" ht="5.15" customHeight="1" thickTop="1">
      <c r="B9" s="164"/>
      <c r="C9" s="170"/>
      <c r="D9" s="164"/>
      <c r="E9" s="164"/>
      <c r="F9" s="165"/>
      <c r="G9" s="164"/>
      <c r="H9" s="164"/>
      <c r="I9" s="164"/>
      <c r="J9" s="164"/>
      <c r="K9" s="164"/>
      <c r="L9" s="164"/>
      <c r="M9" s="164"/>
      <c r="N9" s="171"/>
      <c r="O9" s="164"/>
    </row>
    <row r="10" spans="2:17">
      <c r="B10" s="164"/>
      <c r="C10" s="170"/>
      <c r="D10" s="164"/>
      <c r="E10" s="164"/>
      <c r="F10" s="165"/>
      <c r="G10" s="164"/>
      <c r="H10" s="164"/>
      <c r="I10" s="164"/>
      <c r="J10" s="164"/>
      <c r="K10" s="164"/>
      <c r="L10" s="164"/>
      <c r="M10" s="164"/>
      <c r="N10" s="171"/>
      <c r="O10" s="164"/>
    </row>
    <row r="11" spans="2:17" ht="15" thickBot="1">
      <c r="B11" s="164"/>
      <c r="C11" s="170"/>
      <c r="D11" s="164"/>
      <c r="E11" s="703" t="s">
        <v>0</v>
      </c>
      <c r="F11" s="704"/>
      <c r="G11" s="704"/>
      <c r="H11" s="704"/>
      <c r="I11" s="704"/>
      <c r="J11" s="704"/>
      <c r="K11" s="704"/>
      <c r="L11" s="705"/>
      <c r="M11" s="164"/>
      <c r="N11" s="171"/>
      <c r="O11" s="164"/>
    </row>
    <row r="12" spans="2:17" ht="5.15" customHeight="1">
      <c r="B12" s="164"/>
      <c r="C12" s="170"/>
      <c r="D12" s="164"/>
      <c r="E12" s="164"/>
      <c r="F12" s="165"/>
      <c r="G12" s="164"/>
      <c r="H12" s="164"/>
      <c r="I12" s="164"/>
      <c r="J12" s="164"/>
      <c r="K12" s="164"/>
      <c r="L12" s="164"/>
      <c r="M12" s="164"/>
      <c r="N12" s="171"/>
      <c r="O12" s="164"/>
    </row>
    <row r="13" spans="2:17">
      <c r="B13" s="164"/>
      <c r="C13" s="170"/>
      <c r="D13" s="164"/>
      <c r="E13" s="312" t="s">
        <v>1</v>
      </c>
      <c r="F13" s="165"/>
      <c r="G13" s="35" t="s">
        <v>695</v>
      </c>
      <c r="H13" s="165"/>
      <c r="I13" s="164"/>
      <c r="J13" s="173" t="s">
        <v>314</v>
      </c>
      <c r="K13" s="693">
        <v>35877.78</v>
      </c>
      <c r="L13" s="164"/>
      <c r="M13" s="164"/>
      <c r="N13" s="171"/>
      <c r="O13" s="164"/>
    </row>
    <row r="14" spans="2:17">
      <c r="B14" s="164"/>
      <c r="C14" s="170"/>
      <c r="D14" s="164"/>
      <c r="E14" s="312" t="s">
        <v>2</v>
      </c>
      <c r="F14" s="165"/>
      <c r="G14" s="37">
        <v>45049</v>
      </c>
      <c r="H14" s="526"/>
      <c r="I14" s="164"/>
      <c r="J14" s="173" t="s">
        <v>313</v>
      </c>
      <c r="K14" s="36">
        <v>63074</v>
      </c>
      <c r="L14" s="164"/>
      <c r="M14" s="164"/>
      <c r="N14" s="171"/>
      <c r="O14" s="164"/>
    </row>
    <row r="15" spans="2:17">
      <c r="B15" s="164"/>
      <c r="C15" s="170"/>
      <c r="D15" s="164"/>
      <c r="E15" s="312" t="s">
        <v>3</v>
      </c>
      <c r="F15" s="165"/>
      <c r="G15" s="37">
        <f>G14</f>
        <v>45049</v>
      </c>
      <c r="H15" s="526"/>
      <c r="I15" s="164"/>
      <c r="J15" s="173" t="s">
        <v>312</v>
      </c>
      <c r="K15" s="36">
        <v>808.75</v>
      </c>
      <c r="L15" s="164"/>
      <c r="M15" s="164"/>
      <c r="N15" s="171"/>
      <c r="O15" s="164"/>
    </row>
    <row r="16" spans="2:17">
      <c r="B16" s="164"/>
      <c r="C16" s="170"/>
      <c r="D16" s="164"/>
      <c r="E16" s="312" t="s">
        <v>4</v>
      </c>
      <c r="F16" s="165"/>
      <c r="G16" s="35" t="s">
        <v>696</v>
      </c>
      <c r="H16" s="164"/>
      <c r="I16" s="164"/>
      <c r="J16" s="164"/>
      <c r="K16" s="164"/>
      <c r="L16" s="164"/>
      <c r="M16" s="164"/>
      <c r="N16" s="171"/>
      <c r="O16" s="164"/>
    </row>
    <row r="17" spans="2:22">
      <c r="B17" s="164"/>
      <c r="C17" s="170"/>
      <c r="D17" s="164"/>
      <c r="E17" s="164"/>
      <c r="F17" s="165"/>
      <c r="G17" s="164"/>
      <c r="H17" s="164"/>
      <c r="I17" s="164"/>
      <c r="J17" s="164"/>
      <c r="K17" s="164"/>
      <c r="L17" s="164"/>
      <c r="M17" s="164"/>
      <c r="N17" s="171"/>
      <c r="O17" s="164"/>
    </row>
    <row r="18" spans="2:22" ht="15" thickBot="1">
      <c r="B18" s="164"/>
      <c r="C18" s="170"/>
      <c r="D18" s="164"/>
      <c r="E18" s="703" t="s">
        <v>5</v>
      </c>
      <c r="F18" s="704"/>
      <c r="G18" s="704"/>
      <c r="H18" s="704"/>
      <c r="I18" s="704"/>
      <c r="J18" s="704"/>
      <c r="K18" s="704"/>
      <c r="L18" s="705"/>
      <c r="M18" s="164"/>
      <c r="N18" s="171"/>
      <c r="O18" s="164"/>
    </row>
    <row r="19" spans="2:22" ht="5.15" customHeight="1">
      <c r="B19" s="164"/>
      <c r="C19" s="170"/>
      <c r="D19" s="164"/>
      <c r="E19" s="164"/>
      <c r="F19" s="165"/>
      <c r="G19" s="164"/>
      <c r="H19" s="164"/>
      <c r="I19" s="164"/>
      <c r="J19" s="164"/>
      <c r="K19" s="164"/>
      <c r="L19" s="164"/>
      <c r="M19" s="164"/>
      <c r="N19" s="171"/>
      <c r="O19" s="164"/>
    </row>
    <row r="20" spans="2:22">
      <c r="B20" s="164"/>
      <c r="C20" s="170"/>
      <c r="D20" s="164"/>
      <c r="E20" s="312" t="s">
        <v>254</v>
      </c>
      <c r="F20" s="165"/>
      <c r="G20" s="700"/>
      <c r="H20" s="701"/>
      <c r="I20" s="701"/>
      <c r="J20" s="701"/>
      <c r="K20" s="701"/>
      <c r="L20" s="702"/>
      <c r="M20" s="164"/>
      <c r="N20" s="171"/>
      <c r="O20" s="164"/>
    </row>
    <row r="21" spans="2:22">
      <c r="B21" s="164"/>
      <c r="C21" s="170"/>
      <c r="D21" s="164"/>
      <c r="E21" s="312" t="s">
        <v>255</v>
      </c>
      <c r="F21" s="165"/>
      <c r="G21" s="700"/>
      <c r="H21" s="701"/>
      <c r="I21" s="701"/>
      <c r="J21" s="701"/>
      <c r="K21" s="701"/>
      <c r="L21" s="702"/>
      <c r="M21" s="164"/>
      <c r="N21" s="171"/>
      <c r="O21" s="164"/>
    </row>
    <row r="22" spans="2:22">
      <c r="B22" s="164"/>
      <c r="C22" s="170"/>
      <c r="D22" s="164"/>
      <c r="E22" s="312" t="s">
        <v>690</v>
      </c>
      <c r="F22" s="165"/>
      <c r="G22" s="700"/>
      <c r="H22" s="701"/>
      <c r="I22" s="701"/>
      <c r="J22" s="701"/>
      <c r="K22" s="701"/>
      <c r="L22" s="702"/>
      <c r="M22" s="164"/>
      <c r="N22" s="171"/>
      <c r="O22" s="164"/>
    </row>
    <row r="23" spans="2:22">
      <c r="B23" s="164"/>
      <c r="C23" s="170"/>
      <c r="D23" s="164"/>
      <c r="E23" s="312" t="s">
        <v>692</v>
      </c>
      <c r="F23" s="165"/>
      <c r="G23" s="700"/>
      <c r="H23" s="701"/>
      <c r="I23" s="701"/>
      <c r="J23" s="701"/>
      <c r="K23" s="701"/>
      <c r="L23" s="702"/>
      <c r="M23" s="164"/>
      <c r="N23" s="171"/>
      <c r="O23" s="164"/>
    </row>
    <row r="24" spans="2:22">
      <c r="B24" s="164"/>
      <c r="C24" s="170"/>
      <c r="D24" s="164"/>
      <c r="E24" s="164"/>
      <c r="F24" s="165"/>
      <c r="G24" s="164"/>
      <c r="H24" s="164"/>
      <c r="I24" s="164"/>
      <c r="J24" s="164"/>
      <c r="K24" s="164"/>
      <c r="L24" s="164"/>
      <c r="M24" s="164"/>
      <c r="N24" s="171"/>
      <c r="O24" s="164"/>
    </row>
    <row r="25" spans="2:22" ht="15" thickBot="1">
      <c r="B25" s="164"/>
      <c r="C25" s="170"/>
      <c r="D25" s="164"/>
      <c r="E25" s="703" t="s">
        <v>6</v>
      </c>
      <c r="F25" s="704"/>
      <c r="G25" s="704"/>
      <c r="H25" s="704"/>
      <c r="I25" s="704"/>
      <c r="J25" s="704"/>
      <c r="K25" s="704"/>
      <c r="L25" s="705"/>
      <c r="M25" s="164"/>
      <c r="N25" s="171"/>
      <c r="O25" s="164"/>
    </row>
    <row r="26" spans="2:22">
      <c r="B26" s="164"/>
      <c r="C26" s="170"/>
      <c r="D26" s="164"/>
      <c r="E26" s="164"/>
      <c r="F26" s="165"/>
      <c r="G26" s="164"/>
      <c r="H26" s="164"/>
      <c r="I26" s="164"/>
      <c r="J26" s="164"/>
      <c r="K26" s="164"/>
      <c r="L26" s="164"/>
      <c r="M26" s="164"/>
      <c r="N26" s="171"/>
      <c r="O26" s="164"/>
    </row>
    <row r="27" spans="2:22" ht="15" thickBot="1">
      <c r="B27" s="164"/>
      <c r="C27" s="170"/>
      <c r="D27" s="164"/>
      <c r="E27" s="695" t="s">
        <v>308</v>
      </c>
      <c r="F27" s="695"/>
      <c r="G27" s="695"/>
      <c r="H27" s="320"/>
      <c r="I27" s="164"/>
      <c r="J27" s="695" t="s">
        <v>310</v>
      </c>
      <c r="K27" s="695"/>
      <c r="L27" s="695"/>
      <c r="M27" s="164"/>
      <c r="N27" s="171"/>
      <c r="O27" s="164"/>
    </row>
    <row r="28" spans="2:22" ht="5.15" customHeight="1" thickBot="1">
      <c r="B28" s="164"/>
      <c r="C28" s="170"/>
      <c r="D28" s="164"/>
      <c r="E28" s="164"/>
      <c r="F28" s="165"/>
      <c r="G28" s="164"/>
      <c r="H28" s="164"/>
      <c r="I28" s="164"/>
      <c r="J28" s="164"/>
      <c r="K28" s="164"/>
      <c r="L28" s="164"/>
      <c r="M28" s="164"/>
      <c r="N28" s="171"/>
      <c r="O28" s="164"/>
    </row>
    <row r="29" spans="2:22" ht="15.5" thickTop="1" thickBot="1">
      <c r="B29" s="164"/>
      <c r="C29" s="170"/>
      <c r="D29" s="164"/>
      <c r="E29" s="312" t="s">
        <v>7</v>
      </c>
      <c r="F29" s="696" t="s">
        <v>332</v>
      </c>
      <c r="G29" s="697"/>
      <c r="H29" s="165"/>
      <c r="I29" s="528">
        <f>IFERROR(VLOOKUP(F29,'Tablas&amp;Gastos'!$C$47:$D$52,2,0),"ERROR")</f>
        <v>1</v>
      </c>
      <c r="J29" s="314" t="s">
        <v>14</v>
      </c>
      <c r="K29" s="543" t="s">
        <v>224</v>
      </c>
      <c r="L29" s="527">
        <f>IFERROR(VLOOKUP(K29,'Tablas&amp;Gastos'!$C$60:$D$65,2,0),"ERROR")</f>
        <v>6</v>
      </c>
      <c r="M29" s="164"/>
      <c r="N29" s="171"/>
      <c r="O29" s="164"/>
      <c r="Q29" s="164"/>
      <c r="R29" s="164"/>
      <c r="S29" s="164"/>
      <c r="T29" s="164"/>
      <c r="U29" s="164"/>
      <c r="V29" s="164"/>
    </row>
    <row r="30" spans="2:22" ht="4.9000000000000004" customHeight="1" thickTop="1">
      <c r="B30" s="164"/>
      <c r="C30" s="170"/>
      <c r="D30" s="164"/>
      <c r="E30" s="312"/>
      <c r="F30" s="165"/>
      <c r="G30" s="165"/>
      <c r="H30" s="165"/>
      <c r="I30" s="528"/>
      <c r="J30" s="314"/>
      <c r="K30" s="165"/>
      <c r="L30" s="527"/>
      <c r="M30" s="164"/>
      <c r="N30" s="171"/>
      <c r="O30" s="164"/>
      <c r="Q30" s="164"/>
      <c r="R30" s="164"/>
      <c r="S30" s="164"/>
      <c r="T30" s="164"/>
      <c r="U30" s="164"/>
      <c r="V30" s="164"/>
    </row>
    <row r="31" spans="2:22">
      <c r="B31" s="164"/>
      <c r="C31" s="170"/>
      <c r="D31" s="164"/>
      <c r="E31" s="312" t="s">
        <v>525</v>
      </c>
      <c r="F31" s="706"/>
      <c r="G31" s="707"/>
      <c r="H31" s="165"/>
      <c r="I31" s="315" t="s">
        <v>524</v>
      </c>
      <c r="J31" s="314"/>
      <c r="K31" s="165"/>
      <c r="L31" s="527"/>
      <c r="M31" s="164"/>
      <c r="N31" s="171"/>
      <c r="O31" s="164"/>
      <c r="Q31" s="164"/>
      <c r="R31" s="164"/>
      <c r="S31" s="164"/>
      <c r="T31" s="164"/>
      <c r="U31" s="164"/>
      <c r="V31" s="164"/>
    </row>
    <row r="32" spans="2:22" ht="5.15" customHeight="1" thickBot="1">
      <c r="B32" s="164"/>
      <c r="C32" s="170"/>
      <c r="D32" s="164"/>
      <c r="E32" s="164"/>
      <c r="F32" s="484"/>
      <c r="G32" s="484"/>
      <c r="H32" s="165"/>
      <c r="I32" s="174"/>
      <c r="J32" s="164"/>
      <c r="K32" s="165"/>
      <c r="L32" s="174"/>
      <c r="M32" s="164"/>
      <c r="N32" s="171"/>
      <c r="O32" s="164"/>
      <c r="Q32" s="164"/>
      <c r="R32" s="164"/>
      <c r="S32" s="164"/>
      <c r="T32" s="164"/>
      <c r="U32" s="164"/>
      <c r="V32" s="164"/>
    </row>
    <row r="33" spans="2:22" ht="15.5" thickTop="1" thickBot="1">
      <c r="B33" s="164"/>
      <c r="C33" s="170"/>
      <c r="D33" s="164"/>
      <c r="E33" s="312" t="s">
        <v>8</v>
      </c>
      <c r="F33" s="698" t="s">
        <v>694</v>
      </c>
      <c r="G33" s="699"/>
      <c r="H33" s="165"/>
      <c r="I33" s="164"/>
      <c r="J33" s="314" t="s">
        <v>28</v>
      </c>
      <c r="K33" s="543" t="s">
        <v>307</v>
      </c>
      <c r="L33" s="312"/>
      <c r="M33" s="164"/>
      <c r="N33" s="171"/>
      <c r="O33" s="164"/>
      <c r="Q33" s="312" t="str">
        <f>IF($E$8="RENTING",IF($K$33="EXCLUSIVO","&lt; Error Uso Exclusivo Renting I28",""),"")</f>
        <v/>
      </c>
      <c r="R33" s="164"/>
      <c r="S33" s="164"/>
      <c r="T33" s="164"/>
      <c r="U33" s="164"/>
      <c r="V33" s="164"/>
    </row>
    <row r="34" spans="2:22" ht="5.15" customHeight="1" thickTop="1">
      <c r="B34" s="164"/>
      <c r="C34" s="170"/>
      <c r="D34" s="164"/>
      <c r="E34" s="164"/>
      <c r="F34" s="681"/>
      <c r="G34" s="681"/>
      <c r="H34" s="165"/>
      <c r="I34" s="174"/>
      <c r="J34" s="164"/>
      <c r="K34" s="484"/>
      <c r="L34" s="174"/>
      <c r="M34" s="164"/>
      <c r="N34" s="171"/>
      <c r="O34" s="164"/>
      <c r="Q34" s="312"/>
      <c r="R34" s="164"/>
      <c r="S34" s="164"/>
      <c r="T34" s="164"/>
      <c r="U34" s="164"/>
      <c r="V34" s="164"/>
    </row>
    <row r="35" spans="2:22">
      <c r="B35" s="164"/>
      <c r="C35" s="170"/>
      <c r="D35" s="164"/>
      <c r="E35" s="312" t="s">
        <v>9</v>
      </c>
      <c r="F35" s="698" t="s">
        <v>698</v>
      </c>
      <c r="G35" s="699"/>
      <c r="H35" s="165"/>
      <c r="I35" s="164"/>
      <c r="J35" s="314" t="s">
        <v>384</v>
      </c>
      <c r="K35" s="116"/>
      <c r="L35" s="529" t="s">
        <v>523</v>
      </c>
      <c r="M35" s="164"/>
      <c r="N35" s="171"/>
      <c r="O35" s="164"/>
      <c r="Q35" s="312" t="str">
        <f>IF(AND($E$8="LEASING OPERATIVO",VALUE($K$35)&lt;&gt;0),"&lt; Error LO no debe indicar Días de Reemplazo I32",IF(AND($E$8="RENTING",$K$33="GENÉRICO",OR($K$35&lt;0,INT($K$35)&lt;&gt;$K$35)),"&lt; Error en Días de Reemplazo Renting I32",IF(AND($E$8="RENTING",K33="SIN REEMPLAZO",VALUE($K$35)&lt;&gt;0),"&lt; Error Renting sin Reemplazo I32","")))</f>
        <v/>
      </c>
      <c r="R35" s="164"/>
      <c r="S35" s="164"/>
      <c r="T35" s="164"/>
      <c r="U35" s="164"/>
      <c r="V35" s="164"/>
    </row>
    <row r="36" spans="2:22">
      <c r="B36" s="164"/>
      <c r="C36" s="170"/>
      <c r="D36" s="164"/>
      <c r="E36" s="312" t="s">
        <v>10</v>
      </c>
      <c r="F36" s="698" t="s">
        <v>697</v>
      </c>
      <c r="G36" s="699"/>
      <c r="H36" s="165"/>
      <c r="I36" s="164"/>
      <c r="J36" s="314" t="s">
        <v>383</v>
      </c>
      <c r="K36" s="125"/>
      <c r="L36" s="529" t="s">
        <v>11</v>
      </c>
      <c r="M36" s="164"/>
      <c r="N36" s="171"/>
      <c r="O36" s="164"/>
      <c r="Q36" s="312" t="str">
        <f>IF(AND($E$8="LEASING OPERATIVO",$K$33="EXCLUSIVO"),IF(OR($K$36="",$K$36&lt;=0,INT($K$36)&lt;&gt;$K$36),"&lt; Error no se indican Unidades Exclusivas I33",""),IF(OR(VALUE($K$36)&lt;&gt;0),"&lt; Error no debe tener Unidades Exclusivas I33",IF(AND($E$8="RENTING",VALUE($K$36)&lt;&gt;0),"&lt; Error Renting no tiene Unidades Exclusivas I33","")))</f>
        <v/>
      </c>
      <c r="R36" s="164"/>
      <c r="S36" s="164"/>
      <c r="T36" s="164"/>
      <c r="U36" s="164"/>
      <c r="V36" s="164"/>
    </row>
    <row r="37" spans="2:22" ht="5.15" customHeight="1">
      <c r="B37" s="164"/>
      <c r="C37" s="170"/>
      <c r="D37" s="164"/>
      <c r="E37" s="164"/>
      <c r="F37" s="682"/>
      <c r="G37" s="607"/>
      <c r="H37" s="164"/>
      <c r="I37" s="164"/>
      <c r="J37" s="164"/>
      <c r="K37" s="164"/>
      <c r="L37" s="530"/>
      <c r="M37" s="164"/>
      <c r="N37" s="171"/>
      <c r="O37" s="164"/>
      <c r="Q37" s="164"/>
      <c r="R37" s="164"/>
      <c r="S37" s="164"/>
      <c r="T37" s="164"/>
      <c r="U37" s="164"/>
      <c r="V37" s="164"/>
    </row>
    <row r="38" spans="2:22">
      <c r="B38" s="164"/>
      <c r="C38" s="170"/>
      <c r="D38" s="164"/>
      <c r="E38" s="312" t="s">
        <v>257</v>
      </c>
      <c r="F38" s="682"/>
      <c r="G38" s="683">
        <v>1</v>
      </c>
      <c r="H38" s="165"/>
      <c r="I38" s="653" t="s">
        <v>674</v>
      </c>
      <c r="J38" s="314" t="s">
        <v>385</v>
      </c>
      <c r="K38" s="163">
        <v>0.03</v>
      </c>
      <c r="L38" s="529" t="s">
        <v>19</v>
      </c>
      <c r="M38" s="164"/>
      <c r="N38" s="171"/>
      <c r="O38" s="164"/>
      <c r="Q38" s="164"/>
      <c r="R38" s="164"/>
      <c r="S38" s="164"/>
      <c r="T38" s="164"/>
      <c r="U38" s="164"/>
      <c r="V38" s="164"/>
    </row>
    <row r="39" spans="2:22">
      <c r="B39" s="164"/>
      <c r="C39" s="170"/>
      <c r="D39" s="164"/>
      <c r="E39" s="312" t="s">
        <v>12</v>
      </c>
      <c r="F39" s="682"/>
      <c r="G39" s="684">
        <v>48</v>
      </c>
      <c r="H39" s="525"/>
      <c r="I39" s="654"/>
      <c r="J39" s="314" t="s">
        <v>568</v>
      </c>
      <c r="K39" s="613">
        <f>+K38</f>
        <v>0.03</v>
      </c>
      <c r="L39" s="529" t="s">
        <v>19</v>
      </c>
      <c r="M39" s="164"/>
      <c r="N39" s="171"/>
      <c r="O39" s="164"/>
      <c r="Q39" s="164"/>
      <c r="R39" s="164"/>
      <c r="S39" s="164"/>
      <c r="T39" s="164"/>
      <c r="U39" s="164"/>
      <c r="V39" s="164"/>
    </row>
    <row r="40" spans="2:22">
      <c r="B40" s="164"/>
      <c r="C40" s="170"/>
      <c r="D40" s="181" t="s">
        <v>672</v>
      </c>
      <c r="E40" s="312"/>
      <c r="F40" s="165"/>
      <c r="G40" s="164"/>
      <c r="H40" s="525"/>
      <c r="I40" s="164"/>
      <c r="J40" s="314" t="s">
        <v>382</v>
      </c>
      <c r="K40" s="615">
        <f>3000*G39</f>
        <v>144000</v>
      </c>
      <c r="L40" s="529" t="s">
        <v>15</v>
      </c>
      <c r="M40" s="164"/>
      <c r="N40" s="171"/>
      <c r="O40" s="164"/>
      <c r="Q40" s="164"/>
      <c r="R40" s="164"/>
      <c r="S40" s="164"/>
      <c r="T40" s="164"/>
      <c r="U40" s="164"/>
      <c r="V40" s="164"/>
    </row>
    <row r="41" spans="2:22">
      <c r="B41" s="164"/>
      <c r="C41" s="170"/>
      <c r="D41" s="181" t="s">
        <v>673</v>
      </c>
      <c r="E41" s="164"/>
      <c r="F41" s="165"/>
      <c r="G41" s="164"/>
      <c r="H41" s="164"/>
      <c r="I41" s="164"/>
      <c r="J41" s="164" t="s">
        <v>669</v>
      </c>
      <c r="K41" s="648">
        <f>R41</f>
        <v>0</v>
      </c>
      <c r="L41" s="164"/>
      <c r="M41" s="164"/>
      <c r="N41" s="171"/>
      <c r="O41" s="164"/>
      <c r="Q41" s="164"/>
      <c r="R41" s="164"/>
      <c r="S41" s="164"/>
      <c r="T41" s="164"/>
      <c r="U41" s="164"/>
      <c r="V41" s="164"/>
    </row>
    <row r="42" spans="2:22" ht="15" thickBot="1">
      <c r="B42" s="164"/>
      <c r="C42" s="170"/>
      <c r="D42" s="164"/>
      <c r="E42" s="695" t="s">
        <v>309</v>
      </c>
      <c r="F42" s="695"/>
      <c r="G42" s="695"/>
      <c r="H42" s="695"/>
      <c r="I42" s="695"/>
      <c r="J42" s="695"/>
      <c r="K42" s="695"/>
      <c r="L42" s="695"/>
      <c r="M42" s="164"/>
      <c r="N42" s="171"/>
      <c r="O42" s="164"/>
      <c r="Q42" s="164"/>
      <c r="R42" s="164"/>
      <c r="S42" s="164"/>
      <c r="T42" s="164"/>
      <c r="U42" s="164"/>
      <c r="V42" s="164"/>
    </row>
    <row r="43" spans="2:22" ht="5.15" customHeight="1">
      <c r="B43" s="164"/>
      <c r="C43" s="170"/>
      <c r="D43" s="164"/>
      <c r="E43" s="164"/>
      <c r="F43" s="165"/>
      <c r="G43" s="164"/>
      <c r="H43" s="164"/>
      <c r="I43" s="164"/>
      <c r="J43" s="164"/>
      <c r="K43" s="164"/>
      <c r="L43" s="164"/>
      <c r="M43" s="164"/>
      <c r="N43" s="171"/>
      <c r="O43" s="164"/>
    </row>
    <row r="44" spans="2:22">
      <c r="B44" s="164"/>
      <c r="C44" s="170"/>
      <c r="D44" s="164"/>
      <c r="E44" s="312" t="s">
        <v>16</v>
      </c>
      <c r="F44" s="313" t="s">
        <v>17</v>
      </c>
      <c r="G44" s="38">
        <v>33890000</v>
      </c>
      <c r="H44" s="522"/>
      <c r="I44" s="164"/>
      <c r="J44" s="164"/>
      <c r="K44" s="164"/>
      <c r="L44" s="164"/>
      <c r="M44" s="164"/>
      <c r="N44" s="171"/>
      <c r="O44" s="164"/>
    </row>
    <row r="45" spans="2:22">
      <c r="B45" s="164"/>
      <c r="C45" s="170"/>
      <c r="D45" s="164"/>
      <c r="E45" s="312" t="s">
        <v>18</v>
      </c>
      <c r="F45" s="313" t="s">
        <v>17</v>
      </c>
      <c r="G45" s="38">
        <v>25417500</v>
      </c>
      <c r="H45" s="522"/>
      <c r="I45" s="164"/>
      <c r="J45" s="314" t="s">
        <v>372</v>
      </c>
      <c r="K45" s="317">
        <f>G45/G44-1</f>
        <v>-0.25</v>
      </c>
      <c r="L45" s="529" t="s">
        <v>19</v>
      </c>
      <c r="M45" s="164"/>
      <c r="N45" s="171"/>
      <c r="O45" s="164"/>
    </row>
    <row r="46" spans="2:22">
      <c r="B46" s="164"/>
      <c r="C46" s="170"/>
      <c r="D46" s="164"/>
      <c r="E46" s="312" t="s">
        <v>509</v>
      </c>
      <c r="F46" s="313" t="s">
        <v>19</v>
      </c>
      <c r="G46" s="39">
        <v>0.48</v>
      </c>
      <c r="H46" s="523"/>
      <c r="I46" s="164"/>
      <c r="J46" s="314" t="s">
        <v>336</v>
      </c>
      <c r="K46" s="317">
        <f>-'Tablas&amp;Gastos'!D87+1</f>
        <v>0.54999999999999993</v>
      </c>
      <c r="L46" s="529" t="s">
        <v>19</v>
      </c>
      <c r="M46" s="164"/>
      <c r="N46" s="171"/>
      <c r="O46" s="164"/>
    </row>
    <row r="47" spans="2:22">
      <c r="B47" s="164"/>
      <c r="C47" s="170"/>
      <c r="D47" s="164"/>
      <c r="E47" s="312" t="s">
        <v>508</v>
      </c>
      <c r="F47" s="313" t="s">
        <v>17</v>
      </c>
      <c r="G47" s="316">
        <f>G45*(1-G46)</f>
        <v>13217100</v>
      </c>
      <c r="H47" s="524"/>
      <c r="I47" s="164"/>
      <c r="J47" s="314" t="s">
        <v>412</v>
      </c>
      <c r="K47" s="316">
        <f>G45*(1-K46)</f>
        <v>11437875.000000002</v>
      </c>
      <c r="L47" s="529" t="s">
        <v>17</v>
      </c>
      <c r="M47" s="164"/>
      <c r="N47" s="171"/>
      <c r="O47" s="164"/>
      <c r="S47" s="508"/>
    </row>
    <row r="48" spans="2:22" ht="4.9000000000000004" customHeight="1">
      <c r="B48" s="164"/>
      <c r="C48" s="170"/>
      <c r="D48" s="164"/>
      <c r="E48" s="164"/>
      <c r="F48" s="164"/>
      <c r="G48" s="164"/>
      <c r="H48" s="164"/>
      <c r="I48" s="164"/>
      <c r="J48" s="164"/>
      <c r="K48" s="164"/>
      <c r="L48" s="530"/>
      <c r="M48" s="164"/>
      <c r="N48" s="171"/>
      <c r="O48" s="164"/>
    </row>
    <row r="49" spans="2:19" ht="15" thickBot="1">
      <c r="B49" s="164"/>
      <c r="C49" s="170"/>
      <c r="D49" s="164"/>
      <c r="E49" s="164"/>
      <c r="F49" s="164"/>
      <c r="G49" s="164"/>
      <c r="H49" s="164"/>
      <c r="I49" s="164"/>
      <c r="J49" s="314" t="s">
        <v>435</v>
      </c>
      <c r="K49" s="316">
        <f>G44*(1-K46)</f>
        <v>15250500.000000002</v>
      </c>
      <c r="L49" s="529" t="s">
        <v>17</v>
      </c>
      <c r="M49" s="164"/>
      <c r="N49" s="171"/>
      <c r="O49" s="164"/>
    </row>
    <row r="50" spans="2:19" ht="4.9000000000000004" customHeight="1">
      <c r="B50" s="164"/>
      <c r="C50" s="170"/>
      <c r="D50" s="534"/>
      <c r="E50" s="535"/>
      <c r="F50" s="535"/>
      <c r="G50" s="535"/>
      <c r="H50" s="536"/>
      <c r="I50" s="164"/>
      <c r="J50" s="164"/>
      <c r="K50" s="164"/>
      <c r="L50" s="164"/>
      <c r="M50" s="164"/>
      <c r="N50" s="171"/>
      <c r="O50" s="164"/>
    </row>
    <row r="51" spans="2:19">
      <c r="B51" s="164"/>
      <c r="C51" s="170"/>
      <c r="D51" s="537"/>
      <c r="E51" s="312" t="s">
        <v>511</v>
      </c>
      <c r="F51" s="313" t="s">
        <v>17</v>
      </c>
      <c r="G51" s="316">
        <f>'Accesorios&amp;Equipos'!$F$46</f>
        <v>0</v>
      </c>
      <c r="H51" s="538"/>
      <c r="I51" s="164"/>
      <c r="J51" s="164"/>
      <c r="K51" s="164"/>
      <c r="L51" s="164"/>
      <c r="M51" s="164"/>
      <c r="N51" s="171"/>
      <c r="O51" s="164"/>
      <c r="S51" s="508"/>
    </row>
    <row r="52" spans="2:19">
      <c r="B52" s="164"/>
      <c r="C52" s="170"/>
      <c r="D52" s="537"/>
      <c r="E52" s="312" t="s">
        <v>512</v>
      </c>
      <c r="F52" s="313" t="s">
        <v>17</v>
      </c>
      <c r="G52" s="316">
        <f>'Accesorios&amp;Equipos'!$F$69</f>
        <v>0</v>
      </c>
      <c r="H52" s="538"/>
      <c r="I52" s="164"/>
      <c r="J52" s="314" t="s">
        <v>563</v>
      </c>
      <c r="K52" s="692">
        <f>G86/(K40/G39)/2</f>
        <v>3.5333333333333332E-3</v>
      </c>
      <c r="L52" s="617" t="s">
        <v>566</v>
      </c>
      <c r="M52" s="164"/>
      <c r="N52" s="171"/>
      <c r="O52" s="164"/>
      <c r="S52" s="508"/>
    </row>
    <row r="53" spans="2:19">
      <c r="B53" s="164"/>
      <c r="C53" s="170"/>
      <c r="D53" s="537"/>
      <c r="E53" s="312" t="s">
        <v>510</v>
      </c>
      <c r="F53" s="313"/>
      <c r="G53" s="39">
        <v>1</v>
      </c>
      <c r="H53" s="539"/>
      <c r="I53" s="600"/>
      <c r="J53" s="314" t="s">
        <v>565</v>
      </c>
      <c r="K53" s="316">
        <v>10000</v>
      </c>
      <c r="L53" s="165" t="s">
        <v>566</v>
      </c>
      <c r="M53" s="164"/>
      <c r="N53" s="171"/>
      <c r="O53" s="164"/>
      <c r="S53" s="508"/>
    </row>
    <row r="54" spans="2:19">
      <c r="B54" s="164"/>
      <c r="C54" s="170"/>
      <c r="D54" s="537"/>
      <c r="E54" s="312" t="s">
        <v>513</v>
      </c>
      <c r="F54" s="313" t="s">
        <v>17</v>
      </c>
      <c r="G54" s="316">
        <f>G52*(1-G53)</f>
        <v>0</v>
      </c>
      <c r="H54" s="538"/>
      <c r="I54" s="164"/>
      <c r="J54" s="314" t="s">
        <v>569</v>
      </c>
      <c r="K54" s="316" t="s">
        <v>573</v>
      </c>
      <c r="L54" s="165" t="s">
        <v>566</v>
      </c>
      <c r="M54" s="164"/>
      <c r="N54" s="171"/>
      <c r="O54" s="164"/>
      <c r="S54" s="508"/>
    </row>
    <row r="55" spans="2:19" ht="4.9000000000000004" customHeight="1" thickBot="1">
      <c r="B55" s="164"/>
      <c r="C55" s="170"/>
      <c r="D55" s="540"/>
      <c r="E55" s="541"/>
      <c r="F55" s="541"/>
      <c r="G55" s="541"/>
      <c r="H55" s="542"/>
      <c r="I55" s="164"/>
      <c r="J55" s="165"/>
      <c r="K55" s="165"/>
      <c r="L55" s="165"/>
      <c r="M55" s="164"/>
      <c r="N55" s="171"/>
      <c r="O55" s="164"/>
    </row>
    <row r="56" spans="2:19" ht="4.9000000000000004" customHeight="1">
      <c r="B56" s="164"/>
      <c r="C56" s="170"/>
      <c r="D56" s="164"/>
      <c r="E56" s="164"/>
      <c r="F56" s="164"/>
      <c r="G56" s="164"/>
      <c r="H56" s="164"/>
      <c r="I56" s="164"/>
      <c r="J56" s="165"/>
      <c r="K56" s="165"/>
      <c r="L56" s="165"/>
      <c r="M56" s="164"/>
      <c r="N56" s="171"/>
      <c r="O56" s="164"/>
    </row>
    <row r="57" spans="2:19">
      <c r="B57" s="164"/>
      <c r="C57" s="170"/>
      <c r="D57" s="164"/>
      <c r="E57" s="312" t="s">
        <v>514</v>
      </c>
      <c r="F57" s="313" t="s">
        <v>17</v>
      </c>
      <c r="G57" s="316">
        <f>G47+G54</f>
        <v>13217100</v>
      </c>
      <c r="H57" s="524"/>
      <c r="I57" s="164"/>
      <c r="J57" s="314" t="s">
        <v>567</v>
      </c>
      <c r="K57" s="709"/>
      <c r="L57" s="710"/>
      <c r="M57" s="164"/>
      <c r="N57" s="171"/>
      <c r="O57" s="164"/>
      <c r="S57" s="508"/>
    </row>
    <row r="58" spans="2:19">
      <c r="B58" s="164"/>
      <c r="C58" s="170"/>
      <c r="D58" s="164"/>
      <c r="E58" s="312" t="s">
        <v>259</v>
      </c>
      <c r="F58" s="313" t="s">
        <v>13</v>
      </c>
      <c r="G58" s="338">
        <v>1</v>
      </c>
      <c r="H58" s="524"/>
      <c r="I58" s="175"/>
      <c r="J58" s="165"/>
      <c r="K58" s="711"/>
      <c r="L58" s="712"/>
      <c r="M58" s="164"/>
      <c r="N58" s="171"/>
      <c r="O58" s="164"/>
    </row>
    <row r="59" spans="2:19">
      <c r="B59" s="164"/>
      <c r="C59" s="170"/>
      <c r="D59" s="164"/>
      <c r="E59" s="315" t="s">
        <v>404</v>
      </c>
      <c r="F59" s="313" t="s">
        <v>17</v>
      </c>
      <c r="G59" s="38"/>
      <c r="H59" s="524"/>
      <c r="I59" s="175"/>
      <c r="J59" s="165"/>
      <c r="K59" s="711"/>
      <c r="L59" s="712"/>
      <c r="M59" s="164"/>
      <c r="N59" s="171"/>
      <c r="O59" s="164"/>
      <c r="Q59" s="509" t="str">
        <f>IF($E$8="RENTING",IF(VALUE($G$59)&gt;=0,"","&lt; Error Sin Pie/Anticipo F45"),IF($E$8="LEASING OPERATIVO",IF(VALUE($G$59)&lt;&gt;0,"&lt; Error Pie/Anticipo F45",""),""))</f>
        <v/>
      </c>
    </row>
    <row r="60" spans="2:19">
      <c r="B60" s="164"/>
      <c r="C60" s="170"/>
      <c r="D60" s="164"/>
      <c r="E60" s="164"/>
      <c r="F60" s="165"/>
      <c r="G60" s="164"/>
      <c r="H60" s="524"/>
      <c r="I60" s="164"/>
      <c r="J60" s="164"/>
      <c r="K60" s="713"/>
      <c r="L60" s="714"/>
      <c r="M60" s="164"/>
      <c r="N60" s="171"/>
      <c r="O60" s="164"/>
    </row>
    <row r="61" spans="2:19">
      <c r="B61" s="164"/>
      <c r="C61" s="170"/>
      <c r="D61" s="164"/>
      <c r="E61" s="164"/>
      <c r="F61" s="165"/>
      <c r="G61" s="164"/>
      <c r="H61" s="524"/>
      <c r="I61" s="164"/>
      <c r="J61" s="164"/>
      <c r="K61" s="636"/>
      <c r="L61" s="636"/>
      <c r="M61" s="164"/>
      <c r="N61" s="171"/>
      <c r="O61" s="164"/>
    </row>
    <row r="62" spans="2:19">
      <c r="B62" s="164"/>
      <c r="C62" s="170"/>
      <c r="D62" s="164"/>
      <c r="E62" s="164"/>
      <c r="F62" s="165"/>
      <c r="G62" s="164"/>
      <c r="H62" s="524"/>
      <c r="I62" s="164"/>
      <c r="J62" s="164" t="s">
        <v>625</v>
      </c>
      <c r="K62" s="637">
        <v>0.25</v>
      </c>
      <c r="L62" s="636"/>
      <c r="M62" s="164"/>
      <c r="N62" s="171"/>
      <c r="O62" s="164"/>
    </row>
    <row r="63" spans="2:19">
      <c r="B63" s="164"/>
      <c r="C63" s="170"/>
      <c r="D63" s="164"/>
      <c r="E63" s="164"/>
      <c r="F63" s="165"/>
      <c r="G63" s="164"/>
      <c r="H63" s="524"/>
      <c r="I63" s="164"/>
      <c r="J63" s="164" t="s">
        <v>626</v>
      </c>
      <c r="K63" s="616">
        <v>60</v>
      </c>
      <c r="L63" s="636"/>
      <c r="M63" s="164"/>
      <c r="N63" s="171"/>
      <c r="O63" s="164"/>
    </row>
    <row r="64" spans="2:19">
      <c r="B64" s="164"/>
      <c r="C64" s="170"/>
      <c r="D64" s="164"/>
      <c r="E64" s="164"/>
      <c r="F64" s="165"/>
      <c r="G64" s="164"/>
      <c r="H64" s="524"/>
      <c r="I64" s="164"/>
      <c r="J64" s="164"/>
      <c r="K64" s="636"/>
      <c r="L64" s="636"/>
      <c r="M64" s="164"/>
      <c r="N64" s="171"/>
      <c r="O64" s="164"/>
    </row>
    <row r="65" spans="2:19" ht="15" thickBot="1">
      <c r="B65" s="164"/>
      <c r="C65" s="170"/>
      <c r="D65" s="164"/>
      <c r="E65" s="695" t="s">
        <v>311</v>
      </c>
      <c r="F65" s="695"/>
      <c r="G65" s="695"/>
      <c r="H65" s="695"/>
      <c r="I65" s="695"/>
      <c r="J65" s="695"/>
      <c r="K65" s="695"/>
      <c r="L65" s="695"/>
      <c r="M65" s="164"/>
      <c r="N65" s="171"/>
      <c r="O65" s="164"/>
    </row>
    <row r="66" spans="2:19" ht="5.15" customHeight="1" thickBot="1">
      <c r="B66" s="164"/>
      <c r="C66" s="170"/>
      <c r="D66" s="164"/>
      <c r="E66" s="164"/>
      <c r="F66" s="165"/>
      <c r="G66" s="164"/>
      <c r="H66" s="164"/>
      <c r="I66" s="164"/>
      <c r="J66" s="164"/>
      <c r="K66" s="164"/>
      <c r="L66" s="164"/>
      <c r="M66" s="164"/>
      <c r="N66" s="171"/>
      <c r="O66" s="164"/>
    </row>
    <row r="67" spans="2:19" ht="15.5" thickTop="1" thickBot="1">
      <c r="B67" s="164"/>
      <c r="C67" s="170"/>
      <c r="D67" s="164"/>
      <c r="E67" s="312" t="s">
        <v>21</v>
      </c>
      <c r="F67" s="313" t="s">
        <v>17</v>
      </c>
      <c r="G67" s="40">
        <v>55000</v>
      </c>
      <c r="H67" s="520"/>
      <c r="I67" s="164"/>
      <c r="J67" s="314" t="s">
        <v>389</v>
      </c>
      <c r="K67" s="543" t="s">
        <v>598</v>
      </c>
      <c r="L67" s="529"/>
      <c r="M67" s="164"/>
      <c r="N67" s="171"/>
      <c r="O67" s="164"/>
    </row>
    <row r="68" spans="2:19" ht="4.9000000000000004" customHeight="1" thickTop="1">
      <c r="B68" s="164"/>
      <c r="C68" s="170"/>
      <c r="D68" s="164"/>
      <c r="E68" s="164"/>
      <c r="F68" s="164"/>
      <c r="G68" s="164"/>
      <c r="H68" s="164"/>
      <c r="I68" s="164"/>
      <c r="J68" s="164"/>
      <c r="K68" s="164"/>
      <c r="L68" s="530"/>
      <c r="M68" s="164"/>
      <c r="N68" s="171"/>
      <c r="O68" s="164"/>
    </row>
    <row r="69" spans="2:19">
      <c r="B69" s="164"/>
      <c r="C69" s="170"/>
      <c r="D69" s="164"/>
      <c r="E69" s="164" t="s">
        <v>390</v>
      </c>
      <c r="F69" s="313" t="s">
        <v>17</v>
      </c>
      <c r="G69" s="515">
        <v>55000</v>
      </c>
      <c r="H69" s="174"/>
      <c r="I69" s="688"/>
      <c r="J69" s="314"/>
      <c r="K69" s="314"/>
      <c r="L69" s="314"/>
      <c r="M69" s="164"/>
      <c r="N69" s="171"/>
      <c r="O69" s="164"/>
    </row>
    <row r="70" spans="2:19" ht="4.9000000000000004" customHeight="1">
      <c r="B70" s="164"/>
      <c r="C70" s="170"/>
      <c r="D70" s="164"/>
      <c r="E70" s="164"/>
      <c r="F70" s="164"/>
      <c r="G70" s="164"/>
      <c r="H70" s="164"/>
      <c r="I70" s="164"/>
      <c r="J70" s="164"/>
      <c r="K70" s="164"/>
      <c r="L70" s="530"/>
      <c r="M70" s="164"/>
      <c r="N70" s="171"/>
      <c r="O70" s="164"/>
    </row>
    <row r="71" spans="2:19">
      <c r="B71" s="164"/>
      <c r="C71" s="170"/>
      <c r="D71" s="164"/>
      <c r="E71" s="312" t="s">
        <v>359</v>
      </c>
      <c r="F71" s="313" t="s">
        <v>17</v>
      </c>
      <c r="G71" s="41">
        <v>28</v>
      </c>
      <c r="H71" s="599"/>
      <c r="I71" s="164"/>
      <c r="J71" s="314" t="s">
        <v>409</v>
      </c>
      <c r="K71" s="36">
        <v>1</v>
      </c>
      <c r="L71" s="529"/>
      <c r="M71" s="164"/>
      <c r="N71" s="171"/>
      <c r="O71" s="164"/>
      <c r="R71" s="606"/>
      <c r="S71" s="606"/>
    </row>
    <row r="72" spans="2:19">
      <c r="B72" s="164"/>
      <c r="C72" s="170"/>
      <c r="D72" s="164"/>
      <c r="E72" s="312" t="s">
        <v>22</v>
      </c>
      <c r="F72" s="313" t="s">
        <v>23</v>
      </c>
      <c r="G72" s="41">
        <v>19</v>
      </c>
      <c r="H72" s="521"/>
      <c r="I72" s="164"/>
      <c r="J72" s="314" t="s">
        <v>391</v>
      </c>
      <c r="K72" s="36" t="s">
        <v>629</v>
      </c>
      <c r="L72" s="529" t="s">
        <v>23</v>
      </c>
      <c r="M72" s="164"/>
      <c r="N72" s="171"/>
      <c r="O72" s="164"/>
      <c r="R72" s="606"/>
      <c r="S72" s="606"/>
    </row>
    <row r="73" spans="2:19" ht="5.15" customHeight="1">
      <c r="B73" s="164"/>
      <c r="C73" s="170"/>
      <c r="D73" s="164"/>
      <c r="E73" s="164"/>
      <c r="F73" s="165"/>
      <c r="G73" s="34"/>
      <c r="H73" s="165"/>
      <c r="I73" s="174"/>
      <c r="J73" s="164"/>
      <c r="K73" s="485"/>
      <c r="L73" s="531"/>
      <c r="M73" s="164"/>
      <c r="N73" s="171"/>
      <c r="O73" s="164"/>
      <c r="R73" s="606"/>
      <c r="S73" s="606"/>
    </row>
    <row r="74" spans="2:19">
      <c r="B74" s="164"/>
      <c r="C74" s="170"/>
      <c r="D74" s="164"/>
      <c r="E74" s="312" t="s">
        <v>335</v>
      </c>
      <c r="F74" s="313" t="s">
        <v>25</v>
      </c>
      <c r="G74" s="41">
        <v>30</v>
      </c>
      <c r="H74" s="521"/>
      <c r="I74" s="164"/>
      <c r="J74" s="314" t="s">
        <v>630</v>
      </c>
      <c r="K74" s="36" t="s">
        <v>637</v>
      </c>
      <c r="L74" s="529"/>
      <c r="M74" s="164"/>
      <c r="N74" s="171"/>
      <c r="O74" s="164"/>
      <c r="R74" s="606"/>
      <c r="S74" s="606"/>
    </row>
    <row r="75" spans="2:19">
      <c r="B75" s="164"/>
      <c r="C75" s="170"/>
      <c r="D75" s="164"/>
      <c r="E75" s="164"/>
      <c r="F75" s="165"/>
      <c r="G75" s="164"/>
      <c r="H75" s="164"/>
      <c r="I75" s="164"/>
      <c r="J75" s="314" t="s">
        <v>631</v>
      </c>
      <c r="K75" s="36" t="s">
        <v>649</v>
      </c>
      <c r="L75" s="164"/>
      <c r="M75" s="164"/>
      <c r="N75" s="171"/>
      <c r="O75" s="164"/>
    </row>
    <row r="76" spans="2:19">
      <c r="B76" s="164"/>
      <c r="C76" s="170"/>
      <c r="D76" s="164"/>
      <c r="E76" s="164"/>
      <c r="F76" s="165"/>
      <c r="G76" s="686"/>
      <c r="H76" s="686"/>
      <c r="I76" s="689"/>
      <c r="J76" s="314" t="s">
        <v>632</v>
      </c>
      <c r="K76" s="36" t="s">
        <v>657</v>
      </c>
      <c r="L76" s="164"/>
      <c r="M76" s="164"/>
      <c r="N76" s="171"/>
      <c r="O76" s="164"/>
    </row>
    <row r="77" spans="2:19">
      <c r="B77" s="164"/>
      <c r="C77" s="170"/>
      <c r="D77" s="164"/>
      <c r="E77" s="164"/>
      <c r="F77" s="165"/>
      <c r="G77" s="686"/>
      <c r="H77" s="686"/>
      <c r="I77" s="689"/>
      <c r="J77" s="314" t="s">
        <v>633</v>
      </c>
      <c r="K77" s="36" t="s">
        <v>664</v>
      </c>
      <c r="L77" s="164"/>
      <c r="M77" s="164"/>
      <c r="N77" s="171"/>
      <c r="O77" s="164"/>
    </row>
    <row r="78" spans="2:19" ht="15" thickBot="1">
      <c r="B78" s="164"/>
      <c r="C78" s="170"/>
      <c r="D78" s="164"/>
      <c r="E78" s="164"/>
      <c r="F78" s="165"/>
      <c r="G78" s="687"/>
      <c r="H78" s="686"/>
      <c r="I78" s="689"/>
      <c r="J78" s="314"/>
      <c r="K78" s="314"/>
      <c r="L78" s="164"/>
      <c r="M78" s="164"/>
      <c r="N78" s="171"/>
      <c r="O78" s="164"/>
    </row>
    <row r="79" spans="2:19" ht="15.5" thickTop="1" thickBot="1">
      <c r="B79" s="164"/>
      <c r="C79" s="170"/>
      <c r="D79" s="164"/>
      <c r="E79" s="164"/>
      <c r="F79" s="165"/>
      <c r="G79" s="164"/>
      <c r="H79" s="164"/>
      <c r="I79" s="164"/>
      <c r="J79" s="314" t="s">
        <v>392</v>
      </c>
      <c r="K79" s="544">
        <v>50000</v>
      </c>
      <c r="L79" s="164"/>
      <c r="M79" s="164"/>
      <c r="N79" s="171"/>
      <c r="O79" s="164"/>
    </row>
    <row r="80" spans="2:19" ht="15.5" thickTop="1" thickBot="1">
      <c r="B80" s="164"/>
      <c r="C80" s="170"/>
      <c r="D80" s="164"/>
      <c r="E80" s="695" t="s">
        <v>315</v>
      </c>
      <c r="F80" s="695"/>
      <c r="G80" s="695"/>
      <c r="H80" s="695"/>
      <c r="I80" s="695"/>
      <c r="J80" s="695"/>
      <c r="K80" s="695"/>
      <c r="L80" s="695"/>
      <c r="M80" s="164"/>
      <c r="N80" s="171"/>
      <c r="O80" s="164"/>
    </row>
    <row r="81" spans="2:23" ht="5.15" customHeight="1">
      <c r="B81" s="164"/>
      <c r="C81" s="170"/>
      <c r="D81" s="164"/>
      <c r="E81" s="176"/>
      <c r="F81" s="177"/>
      <c r="G81" s="176"/>
      <c r="H81" s="164"/>
      <c r="I81" s="176"/>
      <c r="J81" s="176"/>
      <c r="K81" s="176"/>
      <c r="L81" s="176"/>
      <c r="M81" s="164"/>
      <c r="N81" s="171"/>
      <c r="O81" s="164"/>
    </row>
    <row r="82" spans="2:23">
      <c r="B82" s="164"/>
      <c r="C82" s="170"/>
      <c r="D82" s="164"/>
      <c r="E82" s="319" t="s">
        <v>360</v>
      </c>
      <c r="F82" s="320" t="s">
        <v>23</v>
      </c>
      <c r="G82" s="42">
        <v>21.2</v>
      </c>
      <c r="H82" s="517"/>
      <c r="I82" s="178">
        <f>G82*$K$13</f>
        <v>760608.93599999999</v>
      </c>
      <c r="J82" s="179">
        <f>ROUND(I82*1.19,0)</f>
        <v>905125</v>
      </c>
      <c r="K82" s="164" t="s">
        <v>670</v>
      </c>
      <c r="L82" s="649"/>
      <c r="M82" s="164"/>
      <c r="N82" s="171"/>
      <c r="O82" s="164"/>
    </row>
    <row r="83" spans="2:23">
      <c r="B83" s="164"/>
      <c r="C83" s="170"/>
      <c r="D83" s="164"/>
      <c r="E83" s="319" t="s">
        <v>361</v>
      </c>
      <c r="F83" s="320" t="s">
        <v>191</v>
      </c>
      <c r="G83" s="321">
        <f>Resumen!$H$58</f>
        <v>0.10048497438213722</v>
      </c>
      <c r="H83" s="518"/>
      <c r="I83" s="180"/>
      <c r="J83" s="180"/>
      <c r="K83" s="175" t="s">
        <v>699</v>
      </c>
      <c r="L83" s="600">
        <f>Resumen!L47</f>
        <v>747230.81088917912</v>
      </c>
      <c r="M83" s="164"/>
      <c r="N83" s="171"/>
      <c r="O83" s="164"/>
    </row>
    <row r="84" spans="2:23">
      <c r="B84" s="164"/>
      <c r="C84" s="170"/>
      <c r="D84" s="164"/>
      <c r="E84" s="181"/>
      <c r="F84" s="320" t="s">
        <v>26</v>
      </c>
      <c r="G84" s="322">
        <f>Resumen!$H$59</f>
        <v>0.1171119798370901</v>
      </c>
      <c r="H84" s="519"/>
      <c r="I84" s="323" t="s">
        <v>376</v>
      </c>
      <c r="J84" s="182"/>
      <c r="K84" s="175"/>
      <c r="L84" s="164"/>
      <c r="M84" s="164"/>
      <c r="N84" s="171"/>
      <c r="O84" s="164"/>
    </row>
    <row r="85" spans="2:23" s="606" customFormat="1">
      <c r="B85" s="607"/>
      <c r="C85" s="608"/>
      <c r="D85" s="607"/>
      <c r="E85" s="609" t="s">
        <v>562</v>
      </c>
      <c r="F85" s="610" t="s">
        <v>23</v>
      </c>
      <c r="G85" s="612"/>
      <c r="H85" s="607"/>
      <c r="I85" s="607"/>
      <c r="J85" s="607"/>
      <c r="K85" s="607"/>
      <c r="L85" s="607"/>
      <c r="M85" s="607"/>
      <c r="N85" s="611"/>
      <c r="O85" s="607"/>
    </row>
    <row r="86" spans="2:23">
      <c r="B86" s="164"/>
      <c r="C86" s="170"/>
      <c r="D86" s="164"/>
      <c r="E86" s="603" t="s">
        <v>561</v>
      </c>
      <c r="F86" s="604" t="s">
        <v>23</v>
      </c>
      <c r="G86" s="605">
        <f>G82+G85</f>
        <v>21.2</v>
      </c>
      <c r="H86" s="164"/>
      <c r="I86" s="164"/>
      <c r="J86" s="164"/>
      <c r="K86" s="175"/>
      <c r="L86" s="164"/>
      <c r="M86" s="164"/>
      <c r="N86" s="171"/>
      <c r="O86" s="164"/>
    </row>
    <row r="87" spans="2:23" ht="15" thickBot="1">
      <c r="B87" s="164"/>
      <c r="C87" s="170"/>
      <c r="D87" s="164"/>
      <c r="E87" s="716"/>
      <c r="F87" s="716"/>
      <c r="G87" s="652"/>
      <c r="H87" s="164"/>
      <c r="I87" s="164"/>
      <c r="J87" s="164"/>
      <c r="K87" s="175"/>
      <c r="L87" s="164"/>
      <c r="M87" s="164"/>
      <c r="N87" s="171"/>
      <c r="O87" s="164"/>
    </row>
    <row r="88" spans="2:23" ht="15" outlineLevel="1" thickTop="1">
      <c r="B88" s="164"/>
      <c r="C88" s="183"/>
      <c r="D88" s="186"/>
      <c r="E88" s="184"/>
      <c r="F88" s="185"/>
      <c r="G88" s="186"/>
      <c r="H88" s="186"/>
      <c r="I88" s="186"/>
      <c r="J88" s="186"/>
      <c r="K88" s="186"/>
      <c r="L88" s="186"/>
      <c r="M88" s="186"/>
      <c r="N88" s="187"/>
      <c r="O88" s="164"/>
    </row>
    <row r="89" spans="2:23" ht="15" outlineLevel="1" thickBot="1">
      <c r="B89" s="164"/>
      <c r="C89" s="188"/>
      <c r="D89" s="190"/>
      <c r="E89" s="708" t="s">
        <v>394</v>
      </c>
      <c r="F89" s="708"/>
      <c r="G89" s="708"/>
      <c r="H89" s="708"/>
      <c r="I89" s="708"/>
      <c r="J89" s="708"/>
      <c r="K89" s="708"/>
      <c r="L89" s="708"/>
      <c r="M89" s="190"/>
      <c r="N89" s="189"/>
      <c r="O89" s="164"/>
      <c r="V89" s="505"/>
      <c r="W89" s="505"/>
    </row>
    <row r="90" spans="2:23" ht="5.15" customHeight="1" outlineLevel="1">
      <c r="B90" s="164"/>
      <c r="C90" s="188"/>
      <c r="D90" s="190"/>
      <c r="E90" s="190"/>
      <c r="F90" s="191"/>
      <c r="G90" s="190"/>
      <c r="H90" s="190"/>
      <c r="I90" s="190"/>
      <c r="J90" s="190"/>
      <c r="K90" s="190"/>
      <c r="L90" s="190"/>
      <c r="M90" s="190"/>
      <c r="N90" s="189"/>
      <c r="O90" s="164"/>
      <c r="V90" s="505"/>
      <c r="W90" s="505"/>
    </row>
    <row r="91" spans="2:23" outlineLevel="1">
      <c r="B91" s="164"/>
      <c r="C91" s="188"/>
      <c r="D91" s="190"/>
      <c r="E91" s="324" t="s">
        <v>97</v>
      </c>
      <c r="F91" s="325" t="s">
        <v>19</v>
      </c>
      <c r="G91" s="326">
        <v>0.27</v>
      </c>
      <c r="H91" s="191"/>
      <c r="I91" s="191"/>
      <c r="J91" s="324" t="s">
        <v>270</v>
      </c>
      <c r="K91" s="317">
        <v>1</v>
      </c>
      <c r="L91" s="532" t="s">
        <v>19</v>
      </c>
      <c r="M91" s="190"/>
      <c r="N91" s="189"/>
      <c r="O91" s="164"/>
      <c r="V91" s="505"/>
      <c r="W91" s="505"/>
    </row>
    <row r="92" spans="2:23" outlineLevel="1">
      <c r="B92" s="164"/>
      <c r="C92" s="188"/>
      <c r="D92" s="190"/>
      <c r="E92" s="324" t="s">
        <v>364</v>
      </c>
      <c r="F92" s="325" t="s">
        <v>17</v>
      </c>
      <c r="G92" s="318">
        <f>IF($E$8="RENTING",17500,IF($E$8="LEASING OPERATIVO",35000,"Error"))</f>
        <v>35000</v>
      </c>
      <c r="H92" s="191"/>
      <c r="I92" s="191"/>
      <c r="J92" s="324" t="s">
        <v>386</v>
      </c>
      <c r="K92" s="160">
        <v>9.5000000000000001E-2</v>
      </c>
      <c r="L92" s="532" t="s">
        <v>19</v>
      </c>
      <c r="M92" s="190"/>
      <c r="N92" s="189"/>
      <c r="O92" s="164"/>
      <c r="V92" s="505"/>
      <c r="W92" s="505"/>
    </row>
    <row r="93" spans="2:23" outlineLevel="1">
      <c r="B93" s="164"/>
      <c r="C93" s="188"/>
      <c r="D93" s="190"/>
      <c r="E93" s="324" t="s">
        <v>273</v>
      </c>
      <c r="F93" s="325" t="s">
        <v>19</v>
      </c>
      <c r="G93" s="326">
        <v>0.01</v>
      </c>
      <c r="H93" s="191"/>
      <c r="I93" s="191">
        <v>0.5</v>
      </c>
      <c r="J93" s="324" t="s">
        <v>388</v>
      </c>
      <c r="K93" s="160">
        <v>0.03</v>
      </c>
      <c r="L93" s="532" t="s">
        <v>19</v>
      </c>
      <c r="M93" s="190"/>
      <c r="N93" s="189"/>
      <c r="O93" s="164"/>
      <c r="V93" s="505"/>
      <c r="W93" s="505"/>
    </row>
    <row r="94" spans="2:23" outlineLevel="1">
      <c r="B94" s="164"/>
      <c r="C94" s="188"/>
      <c r="D94" s="190"/>
      <c r="E94" s="192"/>
      <c r="F94" s="192"/>
      <c r="G94" s="191"/>
      <c r="H94" s="191"/>
      <c r="I94" s="191"/>
      <c r="J94" s="324" t="s">
        <v>387</v>
      </c>
      <c r="K94" s="326">
        <f>K93+K92</f>
        <v>0.125</v>
      </c>
      <c r="L94" s="532" t="s">
        <v>19</v>
      </c>
      <c r="M94" s="190"/>
      <c r="N94" s="189"/>
      <c r="O94" s="164"/>
      <c r="V94" s="505"/>
      <c r="W94" s="505"/>
    </row>
    <row r="95" spans="2:23" ht="5.15" customHeight="1" outlineLevel="1">
      <c r="B95" s="164"/>
      <c r="C95" s="188"/>
      <c r="D95" s="190"/>
      <c r="E95" s="193"/>
      <c r="F95" s="192"/>
      <c r="G95" s="190"/>
      <c r="H95" s="190"/>
      <c r="I95" s="190"/>
      <c r="J95" s="193"/>
      <c r="K95" s="193"/>
      <c r="L95" s="533"/>
      <c r="M95" s="190"/>
      <c r="N95" s="189"/>
      <c r="O95" s="164"/>
      <c r="V95" s="505"/>
      <c r="W95" s="505"/>
    </row>
    <row r="96" spans="2:23" outlineLevel="1">
      <c r="B96" s="164"/>
      <c r="C96" s="188"/>
      <c r="D96" s="190"/>
      <c r="E96" s="327" t="s">
        <v>396</v>
      </c>
      <c r="F96" s="325" t="s">
        <v>19</v>
      </c>
      <c r="G96" s="39">
        <v>7.0000000000000007E-2</v>
      </c>
      <c r="H96" s="191"/>
      <c r="I96" s="516" t="s">
        <v>393</v>
      </c>
      <c r="J96" s="324" t="s">
        <v>395</v>
      </c>
      <c r="K96" s="317">
        <f>IF($E$8="LEASING OPERATIVO",10%,IF($E$8="RENTING",20%,"-"))</f>
        <v>0.1</v>
      </c>
      <c r="L96" s="532" t="s">
        <v>19</v>
      </c>
      <c r="M96" s="190"/>
      <c r="N96" s="189"/>
      <c r="O96" s="164"/>
    </row>
    <row r="97" spans="2:21" outlineLevel="1">
      <c r="B97" s="164"/>
      <c r="C97" s="188"/>
      <c r="D97" s="190"/>
      <c r="E97" s="327" t="s">
        <v>427</v>
      </c>
      <c r="F97" s="325" t="s">
        <v>17</v>
      </c>
      <c r="G97" s="316">
        <f>(G47+G54)*(1+G96)</f>
        <v>14142297</v>
      </c>
      <c r="H97" s="191"/>
      <c r="I97" s="190"/>
      <c r="J97" s="190"/>
      <c r="K97" s="190"/>
      <c r="L97" s="190"/>
      <c r="M97" s="190"/>
      <c r="N97" s="189"/>
      <c r="O97" s="164"/>
    </row>
    <row r="98" spans="2:21" outlineLevel="1">
      <c r="B98" s="164"/>
      <c r="C98" s="188"/>
      <c r="D98" s="190"/>
      <c r="E98" s="194"/>
      <c r="F98" s="195"/>
      <c r="G98" s="190"/>
      <c r="H98" s="190"/>
      <c r="I98" s="190"/>
      <c r="J98" s="190"/>
      <c r="K98" s="196"/>
      <c r="L98" s="190"/>
      <c r="M98" s="190"/>
      <c r="N98" s="189"/>
      <c r="O98" s="164"/>
    </row>
    <row r="99" spans="2:21" outlineLevel="1">
      <c r="B99" s="164"/>
      <c r="C99" s="188"/>
      <c r="D99" s="190"/>
      <c r="E99" s="194"/>
      <c r="F99" s="195"/>
      <c r="G99" s="715" t="s">
        <v>189</v>
      </c>
      <c r="H99" s="715"/>
      <c r="I99" s="715"/>
      <c r="J99" s="190"/>
      <c r="K99" s="196"/>
      <c r="L99" s="190"/>
      <c r="M99" s="190"/>
      <c r="N99" s="189"/>
      <c r="O99" s="164"/>
    </row>
    <row r="100" spans="2:21" outlineLevel="1">
      <c r="B100" s="164"/>
      <c r="C100" s="188"/>
      <c r="D100" s="190"/>
      <c r="E100" s="194"/>
      <c r="F100" s="194"/>
      <c r="G100" s="328" t="s">
        <v>413</v>
      </c>
      <c r="H100" s="328"/>
      <c r="I100" s="328" t="s">
        <v>414</v>
      </c>
      <c r="J100" s="333" t="s">
        <v>415</v>
      </c>
      <c r="K100" s="334"/>
      <c r="L100" s="197"/>
      <c r="M100" s="190"/>
      <c r="N100" s="189"/>
      <c r="O100" s="164"/>
    </row>
    <row r="101" spans="2:21" outlineLevel="1">
      <c r="B101" s="164"/>
      <c r="C101" s="188"/>
      <c r="D101" s="190"/>
      <c r="E101" s="332" t="s">
        <v>377</v>
      </c>
      <c r="F101" s="328" t="s">
        <v>191</v>
      </c>
      <c r="G101" s="329">
        <f>'Flujo (Propuesto)'!C41</f>
        <v>0.10048497438213722</v>
      </c>
      <c r="H101" s="191"/>
      <c r="I101" s="329">
        <f>'Flujo (Propuesto)'!H28</f>
        <v>0.10725496320103489</v>
      </c>
      <c r="J101" s="335">
        <v>0.1</v>
      </c>
      <c r="K101" s="336" t="s">
        <v>370</v>
      </c>
      <c r="L101" s="197"/>
      <c r="M101" s="190"/>
      <c r="N101" s="189"/>
      <c r="O101" s="164"/>
    </row>
    <row r="102" spans="2:21" outlineLevel="1">
      <c r="B102" s="164"/>
      <c r="C102" s="188"/>
      <c r="D102" s="190"/>
      <c r="E102" s="198"/>
      <c r="F102" s="328" t="s">
        <v>26</v>
      </c>
      <c r="G102" s="330">
        <f>'Flujo (Propuesto)'!C42</f>
        <v>0.1171119798370901</v>
      </c>
      <c r="H102" s="191"/>
      <c r="I102" s="330">
        <f>'Flujo (Propuesto)'!H43</f>
        <v>0.1237213747299124</v>
      </c>
      <c r="J102" s="337">
        <f>NPV(((1+J101)^(1/12)-1),'Flujo (Propuesto)'!H59:DD59)</f>
        <v>682235.36569542845</v>
      </c>
      <c r="K102" s="336" t="s">
        <v>371</v>
      </c>
      <c r="L102" s="197"/>
      <c r="M102" s="190"/>
      <c r="N102" s="189"/>
      <c r="O102" s="164"/>
    </row>
    <row r="103" spans="2:21" outlineLevel="1">
      <c r="B103" s="164"/>
      <c r="C103" s="188"/>
      <c r="D103" s="190"/>
      <c r="E103" s="193"/>
      <c r="F103" s="328" t="s">
        <v>192</v>
      </c>
      <c r="G103" s="331">
        <f>'Flujo (Propuesto)'!C43</f>
        <v>0.11143697902857608</v>
      </c>
      <c r="H103" s="191"/>
      <c r="I103" s="331">
        <f>'Flujo (Propuesto)'!H61</f>
        <v>0.13353125825643986</v>
      </c>
      <c r="J103" s="335">
        <f>J102/((G45+G51+G67)*(G38*(1+K38)+K36))</f>
        <v>2.6003118371341966E-2</v>
      </c>
      <c r="K103" s="336" t="s">
        <v>516</v>
      </c>
      <c r="L103" s="197"/>
      <c r="M103" s="190"/>
      <c r="N103" s="189"/>
      <c r="O103" s="164"/>
    </row>
    <row r="104" spans="2:21" outlineLevel="1">
      <c r="B104" s="164"/>
      <c r="C104" s="188"/>
      <c r="D104" s="190"/>
      <c r="E104" s="190"/>
      <c r="F104" s="191"/>
      <c r="G104" s="190"/>
      <c r="H104" s="190"/>
      <c r="I104" s="190"/>
      <c r="J104" s="199"/>
      <c r="K104" s="196"/>
      <c r="L104" s="190"/>
      <c r="M104" s="190"/>
      <c r="N104" s="189"/>
      <c r="O104" s="164"/>
    </row>
    <row r="105" spans="2:21" ht="15" outlineLevel="1" thickBot="1">
      <c r="B105" s="164"/>
      <c r="C105" s="200"/>
      <c r="D105" s="201"/>
      <c r="E105" s="201"/>
      <c r="F105" s="202"/>
      <c r="G105" s="201"/>
      <c r="H105" s="201"/>
      <c r="I105" s="201"/>
      <c r="J105" s="201"/>
      <c r="K105" s="203"/>
      <c r="L105" s="201"/>
      <c r="M105" s="201"/>
      <c r="N105" s="204"/>
      <c r="O105" s="164"/>
    </row>
    <row r="106" spans="2:21" ht="10" customHeight="1" thickTop="1">
      <c r="B106" s="164"/>
      <c r="C106" s="167"/>
      <c r="D106" s="167"/>
      <c r="E106" s="167"/>
      <c r="F106" s="168"/>
      <c r="G106" s="167"/>
      <c r="H106" s="167"/>
      <c r="I106" s="167"/>
      <c r="J106" s="167"/>
      <c r="K106" s="167"/>
      <c r="L106" s="167"/>
      <c r="M106" s="167"/>
      <c r="N106" s="167"/>
      <c r="O106" s="164"/>
    </row>
    <row r="107" spans="2:21" s="503" customFormat="1">
      <c r="F107" s="504"/>
      <c r="Q107" s="505"/>
      <c r="R107" s="505"/>
      <c r="S107" s="505"/>
      <c r="T107" s="505"/>
      <c r="U107" s="505"/>
    </row>
    <row r="108" spans="2:21" s="503" customFormat="1">
      <c r="F108" s="504"/>
      <c r="Q108" s="505"/>
      <c r="R108" s="505"/>
      <c r="S108" s="505"/>
      <c r="T108" s="505"/>
      <c r="U108" s="505"/>
    </row>
    <row r="109" spans="2:21" s="503" customFormat="1">
      <c r="F109" s="504"/>
      <c r="Q109" s="505"/>
      <c r="R109" s="505"/>
      <c r="S109" s="505"/>
      <c r="T109" s="505"/>
      <c r="U109" s="505"/>
    </row>
    <row r="110" spans="2:21" s="503" customFormat="1">
      <c r="F110" s="504"/>
      <c r="Q110" s="505"/>
      <c r="R110" s="505"/>
      <c r="S110" s="505"/>
      <c r="T110" s="505"/>
      <c r="U110" s="505"/>
    </row>
    <row r="111" spans="2:21" s="503" customFormat="1">
      <c r="F111" s="504"/>
      <c r="Q111" s="505"/>
      <c r="R111" s="505"/>
      <c r="S111" s="505"/>
      <c r="T111" s="505"/>
      <c r="U111" s="505"/>
    </row>
  </sheetData>
  <sheetProtection formatCells="0" formatColumns="0" formatRows="0"/>
  <mergeCells count="22">
    <mergeCell ref="G23:L23"/>
    <mergeCell ref="E89:L89"/>
    <mergeCell ref="E80:L80"/>
    <mergeCell ref="K57:L60"/>
    <mergeCell ref="G99:I99"/>
    <mergeCell ref="E87:F87"/>
    <mergeCell ref="E4:L4"/>
    <mergeCell ref="E27:G27"/>
    <mergeCell ref="J27:L27"/>
    <mergeCell ref="E42:L42"/>
    <mergeCell ref="E65:L65"/>
    <mergeCell ref="F29:G29"/>
    <mergeCell ref="F33:G33"/>
    <mergeCell ref="F35:G35"/>
    <mergeCell ref="F36:G36"/>
    <mergeCell ref="G20:L20"/>
    <mergeCell ref="G21:L21"/>
    <mergeCell ref="G22:L22"/>
    <mergeCell ref="E11:L11"/>
    <mergeCell ref="F31:G31"/>
    <mergeCell ref="E18:L18"/>
    <mergeCell ref="E25:L25"/>
  </mergeCells>
  <phoneticPr fontId="85" type="noConversion"/>
  <conditionalFormatting sqref="E59:H59">
    <cfRule type="expression" dxfId="14" priority="12">
      <formula>$E$8="LEASING OPERATIVO"</formula>
    </cfRule>
  </conditionalFormatting>
  <conditionalFormatting sqref="E31:I31">
    <cfRule type="expression" dxfId="13" priority="9">
      <formula>IF($I$29&lt;&gt;6,1,0)</formula>
    </cfRule>
  </conditionalFormatting>
  <conditionalFormatting sqref="G59:H59">
    <cfRule type="expression" dxfId="12" priority="13">
      <formula>$Q$59="&lt; Error"</formula>
    </cfRule>
  </conditionalFormatting>
  <conditionalFormatting sqref="J58:J59">
    <cfRule type="expression" dxfId="11" priority="3">
      <formula>$E$8="LEASING OPERATIVO"</formula>
    </cfRule>
  </conditionalFormatting>
  <conditionalFormatting sqref="J35:L35">
    <cfRule type="expression" dxfId="10" priority="20">
      <formula>$E$8="LEASING OPERATIVO"</formula>
    </cfRule>
  </conditionalFormatting>
  <conditionalFormatting sqref="J36:L36">
    <cfRule type="expression" dxfId="9" priority="19">
      <formula>$E$8="RENTING"</formula>
    </cfRule>
  </conditionalFormatting>
  <conditionalFormatting sqref="J55:L56">
    <cfRule type="expression" dxfId="8" priority="4">
      <formula>$E$8="LEASING OPERATIVO"</formula>
    </cfRule>
  </conditionalFormatting>
  <conditionalFormatting sqref="K35">
    <cfRule type="expression" dxfId="7" priority="18">
      <formula>$Q$35="&lt; Error"</formula>
    </cfRule>
  </conditionalFormatting>
  <conditionalFormatting sqref="K36">
    <cfRule type="expression" dxfId="6" priority="16">
      <formula>$Q$36="&lt; Error"</formula>
    </cfRule>
  </conditionalFormatting>
  <conditionalFormatting sqref="K55:K56">
    <cfRule type="expression" dxfId="5" priority="5">
      <formula>$Q$59="&lt; Error"</formula>
    </cfRule>
  </conditionalFormatting>
  <conditionalFormatting sqref="K57">
    <cfRule type="expression" dxfId="4" priority="15">
      <formula>$E$8="LEASING OPERATIVO"</formula>
    </cfRule>
    <cfRule type="expression" dxfId="3" priority="21">
      <formula>$Q$59="&lt; Error"</formula>
    </cfRule>
  </conditionalFormatting>
  <conditionalFormatting sqref="L52:L54">
    <cfRule type="expression" dxfId="2" priority="2">
      <formula>$E$8="LEASING OPERATIVO"</formula>
    </cfRule>
  </conditionalFormatting>
  <dataValidations count="2">
    <dataValidation type="list" allowBlank="1" showInputMessage="1" showErrorMessage="1" sqref="K33" xr:uid="{00000000-0002-0000-0000-000000000000}">
      <formula1>"GENÉRICO,EXCLUSIVO,SIN REEMPLAZO"</formula1>
    </dataValidation>
    <dataValidation type="list" allowBlank="1" showInputMessage="1" showErrorMessage="1" sqref="K73 K34 K32" xr:uid="{00000000-0002-0000-0000-000001000000}">
      <formula1>"LIVIANO,SEVERO,MIXTO"</formula1>
    </dataValidation>
  </dataValidations>
  <pageMargins left="0.7" right="0.7" top="0.75" bottom="0.75" header="0.3" footer="0.3"/>
  <pageSetup scale="56" orientation="portrait" r:id="rId1"/>
  <ignoredErrors>
    <ignoredError sqref="K45 K94 K96 I82:J82 G86" unlockedFormula="1"/>
    <ignoredError sqref="G83:G84 G101:K103" evalError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000-000003000000}">
          <x14:formula1>
            <xm:f>'Tablas&amp;Gastos'!$C$47:$C$52</xm:f>
          </x14:formula1>
          <xm:sqref>F73:H73 F34:H34 F32:G32</xm:sqref>
        </x14:dataValidation>
        <x14:dataValidation type="list" allowBlank="1" showInputMessage="1" showErrorMessage="1" xr:uid="{00000000-0002-0000-0000-000004000000}">
          <x14:formula1>
            <xm:f>Traslados!$B$4:$B$39</xm:f>
          </x14:formula1>
          <xm:sqref>K67</xm:sqref>
        </x14:dataValidation>
        <x14:dataValidation type="list" allowBlank="1" showInputMessage="1" showErrorMessage="1" xr:uid="{FB71BD5E-DFC6-44FA-97D5-AC76B6061648}">
          <x14:formula1>
            <xm:f>Tablas!$B$2:$B$9</xm:f>
          </x14:formula1>
          <xm:sqref>K29:K31</xm:sqref>
        </x14:dataValidation>
        <x14:dataValidation type="list" allowBlank="1" showInputMessage="1" showErrorMessage="1" xr:uid="{9628F242-16DF-478E-B5D3-D4ECA80B2347}">
          <x14:formula1>
            <xm:f>Tablas!$F$2:$F$9</xm:f>
          </x14:formula1>
          <xm:sqref>F29:G30</xm:sqref>
        </x14:dataValidation>
        <x14:dataValidation type="list" allowBlank="1" showInputMessage="1" showErrorMessage="1" xr:uid="{6656BD6F-C5A7-4246-AAD1-74C750528C90}">
          <x14:formula1>
            <xm:f>Tablas!$P$2:$P$11</xm:f>
          </x14:formula1>
          <xm:sqref>K53</xm:sqref>
        </x14:dataValidation>
        <x14:dataValidation type="list" allowBlank="1" showInputMessage="1" showErrorMessage="1" xr:uid="{04191444-7923-4C8C-AF4C-8F055AAD3FE6}">
          <x14:formula1>
            <xm:f>Tablas!$R$2:$R$8</xm:f>
          </x14:formula1>
          <xm:sqref>K54</xm:sqref>
        </x14:dataValidation>
        <x14:dataValidation type="list" allowBlank="1" showInputMessage="1" showErrorMessage="1" xr:uid="{34DB677C-DEA0-4286-BADB-7159260DB5CF}">
          <x14:formula1>
            <xm:f>Tablas!$N$13:$N$14</xm:f>
          </x14:formula1>
          <xm:sqref>K72</xm:sqref>
        </x14:dataValidation>
        <x14:dataValidation type="list" allowBlank="1" showInputMessage="1" showErrorMessage="1" xr:uid="{B6F3CD2B-2D8A-4370-97EA-6ED2A8839A9C}">
          <x14:formula1>
            <xm:f>Tablas!$N$2:$N$8</xm:f>
          </x14:formula1>
          <xm:sqref>K74</xm:sqref>
        </x14:dataValidation>
        <x14:dataValidation type="list" allowBlank="1" showInputMessage="1" showErrorMessage="1" xr:uid="{2B88AFF9-E024-41BB-81E0-D88BC922A5D2}">
          <x14:formula1>
            <xm:f>Tablas!$N$17:$N$23</xm:f>
          </x14:formula1>
          <xm:sqref>K75</xm:sqref>
        </x14:dataValidation>
        <x14:dataValidation type="list" allowBlank="1" showInputMessage="1" showErrorMessage="1" xr:uid="{54B3C423-5F42-4E5C-8E61-5D67E960E31B}">
          <x14:formula1>
            <xm:f>Tablas!$N$26:$N$32</xm:f>
          </x14:formula1>
          <xm:sqref>K76</xm:sqref>
        </x14:dataValidation>
        <x14:dataValidation type="list" allowBlank="1" showInputMessage="1" showErrorMessage="1" xr:uid="{6EF90069-B8F2-45D9-8B36-DF2D0B2ECBAE}">
          <x14:formula1>
            <xm:f>Tablas!$N$35:$N$41</xm:f>
          </x14:formula1>
          <xm:sqref>K77</xm:sqref>
        </x14:dataValidation>
        <x14:dataValidation type="list" allowBlank="1" showInputMessage="1" showErrorMessage="1" xr:uid="{B5877529-9581-483E-A38E-AA10436124D1}">
          <x14:formula1>
            <xm:f>Tablas!$J$2:$J$12</xm:f>
          </x14:formula1>
          <xm:sqref>K79</xm:sqref>
        </x14:dataValidation>
        <x14:dataValidation type="list" allowBlank="1" showInputMessage="1" showErrorMessage="1" xr:uid="{5A436CDD-BAD3-40EB-ACF3-76C8C0840448}">
          <x14:formula1>
            <xm:f>Tablas!L2:L6</xm:f>
          </x14:formula1>
          <xm:sqref>E8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1"/>
  <dimension ref="A1:I52"/>
  <sheetViews>
    <sheetView showGridLines="0" topLeftCell="A10" zoomScale="85" zoomScaleNormal="85" workbookViewId="0">
      <selection activeCell="A20" sqref="A20:E22"/>
    </sheetView>
  </sheetViews>
  <sheetFormatPr baseColWidth="10" defaultColWidth="11.453125" defaultRowHeight="12.5"/>
  <cols>
    <col min="1" max="1" width="11.54296875" style="43" customWidth="1"/>
    <col min="2" max="2" width="27.54296875" style="43" bestFit="1" customWidth="1"/>
    <col min="3" max="3" width="24.81640625" style="43" customWidth="1"/>
    <col min="4" max="4" width="20.54296875" style="46" customWidth="1"/>
    <col min="5" max="5" width="32.26953125" style="81" customWidth="1"/>
    <col min="6" max="6" width="17.7265625" style="43" customWidth="1"/>
    <col min="7" max="7" width="22.7265625" style="43" bestFit="1" customWidth="1"/>
    <col min="8" max="8" width="15" style="43" bestFit="1" customWidth="1"/>
    <col min="9" max="9" width="17.26953125" style="43" bestFit="1" customWidth="1"/>
    <col min="10" max="36" width="13.81640625" style="43" bestFit="1" customWidth="1"/>
    <col min="37" max="37" width="16.54296875" style="43" bestFit="1" customWidth="1"/>
    <col min="38" max="48" width="14.1796875" style="43" bestFit="1" customWidth="1"/>
    <col min="49" max="49" width="14.81640625" style="43" bestFit="1" customWidth="1"/>
    <col min="50" max="61" width="6" style="43" bestFit="1" customWidth="1"/>
    <col min="62" max="16384" width="11.453125" style="43"/>
  </cols>
  <sheetData>
    <row r="1" spans="1:9" s="44" customFormat="1" ht="13">
      <c r="B1" s="47"/>
      <c r="C1" s="51"/>
      <c r="D1" s="52"/>
    </row>
    <row r="2" spans="1:9" s="44" customFormat="1" ht="13">
      <c r="A2" s="53"/>
      <c r="B2" s="53" t="s">
        <v>316</v>
      </c>
      <c r="C2" s="53"/>
      <c r="D2" s="54"/>
      <c r="E2" s="55"/>
      <c r="F2" s="53"/>
      <c r="G2" s="53"/>
      <c r="H2" s="53"/>
      <c r="I2" s="53"/>
    </row>
    <row r="3" spans="1:9" s="44" customFormat="1" ht="13" thickBot="1">
      <c r="D3" s="45"/>
      <c r="E3" s="56"/>
    </row>
    <row r="4" spans="1:9" s="44" customFormat="1" ht="13.5" thickBot="1">
      <c r="A4" s="57"/>
      <c r="B4" s="57"/>
      <c r="C4" s="58" t="s">
        <v>317</v>
      </c>
      <c r="D4" s="59">
        <v>3</v>
      </c>
    </row>
    <row r="5" spans="1:9" s="44" customFormat="1" ht="13">
      <c r="A5" s="60" t="s">
        <v>318</v>
      </c>
      <c r="B5" s="60" t="s">
        <v>227</v>
      </c>
      <c r="C5" s="61" t="s">
        <v>32</v>
      </c>
      <c r="D5" s="62" t="s">
        <v>319</v>
      </c>
      <c r="E5" s="63" t="s">
        <v>320</v>
      </c>
      <c r="F5" s="63" t="s">
        <v>321</v>
      </c>
      <c r="G5" s="63" t="s">
        <v>322</v>
      </c>
      <c r="H5" s="63" t="s">
        <v>323</v>
      </c>
      <c r="I5" s="63" t="s">
        <v>324</v>
      </c>
    </row>
    <row r="6" spans="1:9" s="44" customFormat="1">
      <c r="A6" s="64">
        <v>25000</v>
      </c>
      <c r="B6" s="65">
        <v>12</v>
      </c>
      <c r="C6" s="66">
        <v>0.26</v>
      </c>
      <c r="D6" s="67">
        <f>1-C6</f>
        <v>0.74</v>
      </c>
      <c r="E6" s="68">
        <f>+D6*1.1</f>
        <v>0.81400000000000006</v>
      </c>
      <c r="F6" s="68">
        <f>+D6*0.97</f>
        <v>0.71779999999999999</v>
      </c>
      <c r="G6" s="68">
        <f>+D6*1</f>
        <v>0.74</v>
      </c>
      <c r="H6" s="68">
        <f>+D6*0.94</f>
        <v>0.6956</v>
      </c>
      <c r="I6" s="68">
        <f>+D6*0.85</f>
        <v>0.629</v>
      </c>
    </row>
    <row r="7" spans="1:9" s="44" customFormat="1">
      <c r="A7" s="64">
        <v>50000</v>
      </c>
      <c r="B7" s="65">
        <v>24</v>
      </c>
      <c r="C7" s="66">
        <v>0.12</v>
      </c>
      <c r="D7" s="67">
        <f>D6-C7</f>
        <v>0.62</v>
      </c>
      <c r="E7" s="68">
        <f t="shared" ref="E7:E10" si="0">+D7*1.1</f>
        <v>0.68200000000000005</v>
      </c>
      <c r="F7" s="68">
        <f t="shared" ref="F7:F10" si="1">+D7*0.97</f>
        <v>0.60139999999999993</v>
      </c>
      <c r="G7" s="68">
        <f t="shared" ref="G7:G10" si="2">+D7*1</f>
        <v>0.62</v>
      </c>
      <c r="H7" s="68">
        <f t="shared" ref="H7:H10" si="3">+D7*0.94</f>
        <v>0.58279999999999998</v>
      </c>
      <c r="I7" s="68">
        <f t="shared" ref="I7:I10" si="4">+D7*0.85</f>
        <v>0.52700000000000002</v>
      </c>
    </row>
    <row r="8" spans="1:9" s="44" customFormat="1">
      <c r="A8" s="64">
        <v>75000</v>
      </c>
      <c r="B8" s="65">
        <v>36</v>
      </c>
      <c r="C8" s="66">
        <v>0.12</v>
      </c>
      <c r="D8" s="67">
        <f>D7-C8</f>
        <v>0.5</v>
      </c>
      <c r="E8" s="68">
        <f t="shared" si="0"/>
        <v>0.55000000000000004</v>
      </c>
      <c r="F8" s="68">
        <f t="shared" si="1"/>
        <v>0.48499999999999999</v>
      </c>
      <c r="G8" s="68">
        <f t="shared" si="2"/>
        <v>0.5</v>
      </c>
      <c r="H8" s="68">
        <f t="shared" si="3"/>
        <v>0.47</v>
      </c>
      <c r="I8" s="68">
        <f t="shared" si="4"/>
        <v>0.42499999999999999</v>
      </c>
    </row>
    <row r="9" spans="1:9" s="44" customFormat="1">
      <c r="A9" s="64">
        <v>100000</v>
      </c>
      <c r="B9" s="65">
        <v>48</v>
      </c>
      <c r="C9" s="66">
        <v>0.11</v>
      </c>
      <c r="D9" s="67">
        <f>D8-C9</f>
        <v>0.39</v>
      </c>
      <c r="E9" s="68">
        <f t="shared" si="0"/>
        <v>0.42900000000000005</v>
      </c>
      <c r="F9" s="68">
        <f t="shared" si="1"/>
        <v>0.37830000000000003</v>
      </c>
      <c r="G9" s="68">
        <f t="shared" si="2"/>
        <v>0.39</v>
      </c>
      <c r="H9" s="68">
        <f t="shared" si="3"/>
        <v>0.36659999999999998</v>
      </c>
      <c r="I9" s="68">
        <f t="shared" si="4"/>
        <v>0.33150000000000002</v>
      </c>
    </row>
    <row r="10" spans="1:9" s="44" customFormat="1" ht="13" thickBot="1">
      <c r="A10" s="69">
        <v>125000</v>
      </c>
      <c r="B10" s="70">
        <v>60</v>
      </c>
      <c r="C10" s="71">
        <v>0.1</v>
      </c>
      <c r="D10" s="72">
        <f>D9-C10</f>
        <v>0.29000000000000004</v>
      </c>
      <c r="E10" s="68">
        <f t="shared" si="0"/>
        <v>0.31900000000000006</v>
      </c>
      <c r="F10" s="68">
        <f t="shared" si="1"/>
        <v>0.28130000000000005</v>
      </c>
      <c r="G10" s="68">
        <f t="shared" si="2"/>
        <v>0.29000000000000004</v>
      </c>
      <c r="H10" s="68">
        <f t="shared" si="3"/>
        <v>0.27260000000000001</v>
      </c>
      <c r="I10" s="68">
        <f t="shared" si="4"/>
        <v>0.24650000000000002</v>
      </c>
    </row>
    <row r="11" spans="1:9" s="44" customFormat="1" ht="13.5" thickBot="1">
      <c r="A11" s="57"/>
      <c r="B11" s="57"/>
      <c r="C11" s="73" t="s">
        <v>325</v>
      </c>
      <c r="D11" s="74"/>
    </row>
    <row r="12" spans="1:9" s="44" customFormat="1" ht="13">
      <c r="A12" s="60" t="s">
        <v>318</v>
      </c>
      <c r="B12" s="60" t="s">
        <v>227</v>
      </c>
      <c r="C12" s="61" t="s">
        <v>32</v>
      </c>
      <c r="D12" s="62" t="s">
        <v>319</v>
      </c>
      <c r="E12" s="63" t="s">
        <v>320</v>
      </c>
      <c r="F12" s="63" t="s">
        <v>321</v>
      </c>
      <c r="G12" s="63" t="s">
        <v>322</v>
      </c>
      <c r="H12" s="63" t="s">
        <v>323</v>
      </c>
      <c r="I12" s="63" t="s">
        <v>324</v>
      </c>
    </row>
    <row r="13" spans="1:9" s="44" customFormat="1">
      <c r="A13" s="64">
        <v>45000</v>
      </c>
      <c r="B13" s="65">
        <v>12</v>
      </c>
      <c r="C13" s="66">
        <v>0.28999999999999998</v>
      </c>
      <c r="D13" s="67">
        <f>1-C13</f>
        <v>0.71</v>
      </c>
      <c r="E13" s="68">
        <f>+D13*1.1</f>
        <v>0.78100000000000003</v>
      </c>
      <c r="F13" s="68">
        <f>+D13*0.97</f>
        <v>0.68869999999999998</v>
      </c>
      <c r="G13" s="68">
        <f>+D13*1</f>
        <v>0.71</v>
      </c>
      <c r="H13" s="68">
        <f>+D13*0.94</f>
        <v>0.66739999999999988</v>
      </c>
      <c r="I13" s="68">
        <f>+D13*0.85</f>
        <v>0.60349999999999993</v>
      </c>
    </row>
    <row r="14" spans="1:9" s="44" customFormat="1">
      <c r="A14" s="64">
        <v>90000</v>
      </c>
      <c r="B14" s="65">
        <v>24</v>
      </c>
      <c r="C14" s="66">
        <v>0.12</v>
      </c>
      <c r="D14" s="67">
        <f>D13-C14</f>
        <v>0.59</v>
      </c>
      <c r="E14" s="68">
        <f t="shared" ref="E14:E17" si="5">+D14*1.1</f>
        <v>0.64900000000000002</v>
      </c>
      <c r="F14" s="68">
        <f t="shared" ref="F14:F17" si="6">+D14*0.97</f>
        <v>0.57229999999999992</v>
      </c>
      <c r="G14" s="68">
        <f t="shared" ref="G14:G17" si="7">+D14*1</f>
        <v>0.59</v>
      </c>
      <c r="H14" s="68">
        <f t="shared" ref="H14:H17" si="8">+D14*0.94</f>
        <v>0.55459999999999998</v>
      </c>
      <c r="I14" s="68">
        <f t="shared" ref="I14:I17" si="9">+D14*0.85</f>
        <v>0.50149999999999995</v>
      </c>
    </row>
    <row r="15" spans="1:9" s="44" customFormat="1">
      <c r="A15" s="64">
        <v>135000</v>
      </c>
      <c r="B15" s="65">
        <v>36</v>
      </c>
      <c r="C15" s="66">
        <v>0.12</v>
      </c>
      <c r="D15" s="67">
        <f>D14-C15</f>
        <v>0.47</v>
      </c>
      <c r="E15" s="68">
        <f t="shared" si="5"/>
        <v>0.51700000000000002</v>
      </c>
      <c r="F15" s="68">
        <f t="shared" si="6"/>
        <v>0.45589999999999997</v>
      </c>
      <c r="G15" s="68">
        <f t="shared" si="7"/>
        <v>0.47</v>
      </c>
      <c r="H15" s="68">
        <f t="shared" si="8"/>
        <v>0.44179999999999997</v>
      </c>
      <c r="I15" s="68">
        <f t="shared" si="9"/>
        <v>0.39949999999999997</v>
      </c>
    </row>
    <row r="16" spans="1:9" s="44" customFormat="1">
      <c r="A16" s="64">
        <v>180000</v>
      </c>
      <c r="B16" s="65">
        <v>48</v>
      </c>
      <c r="C16" s="66">
        <v>0.11</v>
      </c>
      <c r="D16" s="67">
        <f>D15-C16</f>
        <v>0.36</v>
      </c>
      <c r="E16" s="68">
        <f t="shared" si="5"/>
        <v>0.39600000000000002</v>
      </c>
      <c r="F16" s="68">
        <f t="shared" si="6"/>
        <v>0.34919999999999995</v>
      </c>
      <c r="G16" s="68">
        <f t="shared" si="7"/>
        <v>0.36</v>
      </c>
      <c r="H16" s="68">
        <f t="shared" si="8"/>
        <v>0.33839999999999998</v>
      </c>
      <c r="I16" s="68">
        <f t="shared" si="9"/>
        <v>0.30599999999999999</v>
      </c>
    </row>
    <row r="17" spans="1:9" s="44" customFormat="1" ht="13" thickBot="1">
      <c r="A17" s="69">
        <v>225000</v>
      </c>
      <c r="B17" s="70">
        <v>60</v>
      </c>
      <c r="C17" s="71">
        <v>0.1</v>
      </c>
      <c r="D17" s="72">
        <f>D16-C17</f>
        <v>0.26</v>
      </c>
      <c r="E17" s="68">
        <f t="shared" si="5"/>
        <v>0.28600000000000003</v>
      </c>
      <c r="F17" s="68">
        <f t="shared" si="6"/>
        <v>0.25219999999999998</v>
      </c>
      <c r="G17" s="68">
        <f t="shared" si="7"/>
        <v>0.26</v>
      </c>
      <c r="H17" s="68">
        <f t="shared" si="8"/>
        <v>0.24440000000000001</v>
      </c>
      <c r="I17" s="68">
        <f t="shared" si="9"/>
        <v>0.221</v>
      </c>
    </row>
    <row r="18" spans="1:9" s="44" customFormat="1" ht="13.5" thickBot="1">
      <c r="A18" s="57"/>
      <c r="B18" s="57"/>
      <c r="C18" s="58" t="s">
        <v>27</v>
      </c>
      <c r="D18" s="59">
        <v>4</v>
      </c>
      <c r="E18" s="47"/>
      <c r="F18" s="47"/>
      <c r="G18" s="47"/>
      <c r="H18" s="47"/>
      <c r="I18" s="47"/>
    </row>
    <row r="19" spans="1:9" s="44" customFormat="1" ht="13">
      <c r="A19" s="60" t="s">
        <v>318</v>
      </c>
      <c r="B19" s="60" t="s">
        <v>227</v>
      </c>
      <c r="C19" s="61" t="s">
        <v>32</v>
      </c>
      <c r="D19" s="62" t="s">
        <v>319</v>
      </c>
      <c r="E19" s="63" t="s">
        <v>326</v>
      </c>
      <c r="F19" s="63" t="s">
        <v>327</v>
      </c>
      <c r="G19" s="63" t="s">
        <v>328</v>
      </c>
      <c r="H19" s="63" t="s">
        <v>329</v>
      </c>
      <c r="I19" s="63" t="s">
        <v>330</v>
      </c>
    </row>
    <row r="20" spans="1:9" s="44" customFormat="1">
      <c r="A20" s="64">
        <v>40000</v>
      </c>
      <c r="B20" s="65">
        <v>12</v>
      </c>
      <c r="C20" s="66">
        <v>0.3</v>
      </c>
      <c r="D20" s="67">
        <f>1-C20</f>
        <v>0.7</v>
      </c>
      <c r="E20" s="75">
        <f>+D20*1</f>
        <v>0.7</v>
      </c>
      <c r="F20" s="68">
        <f>+D20*0.97</f>
        <v>0.67899999999999994</v>
      </c>
      <c r="G20" s="68">
        <f>+D20*1</f>
        <v>0.7</v>
      </c>
      <c r="H20" s="68">
        <f>+D20*0.94</f>
        <v>0.65799999999999992</v>
      </c>
      <c r="I20" s="75">
        <f>+D20*0.8</f>
        <v>0.55999999999999994</v>
      </c>
    </row>
    <row r="21" spans="1:9" s="44" customFormat="1">
      <c r="A21" s="64">
        <v>80000</v>
      </c>
      <c r="B21" s="65">
        <v>24</v>
      </c>
      <c r="C21" s="66">
        <v>0.1</v>
      </c>
      <c r="D21" s="67">
        <f>D20-C21</f>
        <v>0.6</v>
      </c>
      <c r="E21" s="75">
        <f t="shared" ref="E21:E24" si="10">+D21*1</f>
        <v>0.6</v>
      </c>
      <c r="F21" s="68">
        <f t="shared" ref="F21:F24" si="11">+D21*0.97</f>
        <v>0.58199999999999996</v>
      </c>
      <c r="G21" s="68">
        <f t="shared" ref="G21:G24" si="12">+D21*1</f>
        <v>0.6</v>
      </c>
      <c r="H21" s="68">
        <f t="shared" ref="H21:H24" si="13">+D21*0.94</f>
        <v>0.56399999999999995</v>
      </c>
      <c r="I21" s="75">
        <f t="shared" ref="I21:I24" si="14">+D21*0.8</f>
        <v>0.48</v>
      </c>
    </row>
    <row r="22" spans="1:9" s="44" customFormat="1">
      <c r="A22" s="64">
        <v>120000</v>
      </c>
      <c r="B22" s="65">
        <v>36</v>
      </c>
      <c r="C22" s="66">
        <v>0.1</v>
      </c>
      <c r="D22" s="67">
        <f>D21-C22</f>
        <v>0.5</v>
      </c>
      <c r="E22" s="75">
        <f t="shared" si="10"/>
        <v>0.5</v>
      </c>
      <c r="F22" s="68">
        <f t="shared" si="11"/>
        <v>0.48499999999999999</v>
      </c>
      <c r="G22" s="68">
        <f t="shared" si="12"/>
        <v>0.5</v>
      </c>
      <c r="H22" s="68">
        <f t="shared" si="13"/>
        <v>0.47</v>
      </c>
      <c r="I22" s="75">
        <f t="shared" si="14"/>
        <v>0.4</v>
      </c>
    </row>
    <row r="23" spans="1:9" s="44" customFormat="1">
      <c r="A23" s="64">
        <v>160000</v>
      </c>
      <c r="B23" s="65">
        <v>48</v>
      </c>
      <c r="C23" s="66">
        <v>0.1</v>
      </c>
      <c r="D23" s="67">
        <f>D22-C23</f>
        <v>0.4</v>
      </c>
      <c r="E23" s="75">
        <f t="shared" si="10"/>
        <v>0.4</v>
      </c>
      <c r="F23" s="68">
        <f t="shared" si="11"/>
        <v>0.38800000000000001</v>
      </c>
      <c r="G23" s="68">
        <f t="shared" si="12"/>
        <v>0.4</v>
      </c>
      <c r="H23" s="68">
        <f t="shared" si="13"/>
        <v>0.376</v>
      </c>
      <c r="I23" s="75">
        <f t="shared" si="14"/>
        <v>0.32000000000000006</v>
      </c>
    </row>
    <row r="24" spans="1:9" s="44" customFormat="1" ht="13" thickBot="1">
      <c r="A24" s="69">
        <v>200000</v>
      </c>
      <c r="B24" s="70">
        <v>60</v>
      </c>
      <c r="C24" s="71">
        <v>0.1</v>
      </c>
      <c r="D24" s="72">
        <f>D23-C24</f>
        <v>0.30000000000000004</v>
      </c>
      <c r="E24" s="75">
        <f t="shared" si="10"/>
        <v>0.30000000000000004</v>
      </c>
      <c r="F24" s="68">
        <f t="shared" si="11"/>
        <v>0.29100000000000004</v>
      </c>
      <c r="G24" s="68">
        <f t="shared" si="12"/>
        <v>0.30000000000000004</v>
      </c>
      <c r="H24" s="68">
        <f t="shared" si="13"/>
        <v>0.28200000000000003</v>
      </c>
      <c r="I24" s="75">
        <f t="shared" si="14"/>
        <v>0.24000000000000005</v>
      </c>
    </row>
    <row r="25" spans="1:9" s="44" customFormat="1" ht="13.5" thickBot="1">
      <c r="A25" s="57"/>
      <c r="B25" s="57"/>
      <c r="C25" s="76" t="s">
        <v>331</v>
      </c>
      <c r="D25" s="59">
        <v>2</v>
      </c>
      <c r="E25" s="48"/>
      <c r="F25" s="47"/>
      <c r="G25" s="48"/>
      <c r="H25" s="47"/>
      <c r="I25" s="47"/>
    </row>
    <row r="26" spans="1:9" s="44" customFormat="1" ht="13">
      <c r="A26" s="60" t="s">
        <v>318</v>
      </c>
      <c r="B26" s="60" t="s">
        <v>227</v>
      </c>
      <c r="C26" s="61" t="s">
        <v>32</v>
      </c>
      <c r="D26" s="62" t="s">
        <v>319</v>
      </c>
      <c r="E26" s="63" t="s">
        <v>326</v>
      </c>
      <c r="F26" s="63" t="s">
        <v>327</v>
      </c>
      <c r="G26" s="63" t="s">
        <v>328</v>
      </c>
      <c r="H26" s="63" t="s">
        <v>329</v>
      </c>
      <c r="I26" s="63" t="s">
        <v>330</v>
      </c>
    </row>
    <row r="27" spans="1:9" s="44" customFormat="1">
      <c r="A27" s="64">
        <v>50000</v>
      </c>
      <c r="B27" s="65">
        <v>12</v>
      </c>
      <c r="C27" s="66">
        <v>0.3</v>
      </c>
      <c r="D27" s="67">
        <f>1-C27</f>
        <v>0.7</v>
      </c>
      <c r="E27" s="75">
        <f>+D27*1</f>
        <v>0.7</v>
      </c>
      <c r="F27" s="68">
        <f>+D27*0.97</f>
        <v>0.67899999999999994</v>
      </c>
      <c r="G27" s="68">
        <f>+D27*1</f>
        <v>0.7</v>
      </c>
      <c r="H27" s="68">
        <f>+D27*0.94</f>
        <v>0.65799999999999992</v>
      </c>
      <c r="I27" s="75">
        <f>+D27*0.8</f>
        <v>0.55999999999999994</v>
      </c>
    </row>
    <row r="28" spans="1:9" s="44" customFormat="1">
      <c r="A28" s="64">
        <v>100000</v>
      </c>
      <c r="B28" s="65">
        <v>24</v>
      </c>
      <c r="C28" s="66">
        <v>0.1</v>
      </c>
      <c r="D28" s="67">
        <f>D27-C28</f>
        <v>0.6</v>
      </c>
      <c r="E28" s="75">
        <f t="shared" ref="E28:E31" si="15">+D28*1</f>
        <v>0.6</v>
      </c>
      <c r="F28" s="68">
        <f t="shared" ref="F28:F31" si="16">+D28*0.97</f>
        <v>0.58199999999999996</v>
      </c>
      <c r="G28" s="68">
        <f t="shared" ref="G28:G31" si="17">+D28*1</f>
        <v>0.6</v>
      </c>
      <c r="H28" s="68">
        <f t="shared" ref="H28:H31" si="18">+D28*0.94</f>
        <v>0.56399999999999995</v>
      </c>
      <c r="I28" s="75">
        <f t="shared" ref="I28:I31" si="19">+D28*0.8</f>
        <v>0.48</v>
      </c>
    </row>
    <row r="29" spans="1:9" s="44" customFormat="1">
      <c r="A29" s="64">
        <v>150000</v>
      </c>
      <c r="B29" s="65">
        <v>36</v>
      </c>
      <c r="C29" s="66">
        <v>0.1</v>
      </c>
      <c r="D29" s="67">
        <f>D28-C29</f>
        <v>0.5</v>
      </c>
      <c r="E29" s="75">
        <f t="shared" si="15"/>
        <v>0.5</v>
      </c>
      <c r="F29" s="68">
        <f t="shared" si="16"/>
        <v>0.48499999999999999</v>
      </c>
      <c r="G29" s="68">
        <f t="shared" si="17"/>
        <v>0.5</v>
      </c>
      <c r="H29" s="68">
        <f t="shared" si="18"/>
        <v>0.47</v>
      </c>
      <c r="I29" s="75">
        <f t="shared" si="19"/>
        <v>0.4</v>
      </c>
    </row>
    <row r="30" spans="1:9" s="44" customFormat="1">
      <c r="A30" s="64">
        <v>200000</v>
      </c>
      <c r="B30" s="65">
        <v>48</v>
      </c>
      <c r="C30" s="66">
        <v>0.1</v>
      </c>
      <c r="D30" s="67">
        <f>D29-C30</f>
        <v>0.4</v>
      </c>
      <c r="E30" s="75">
        <f t="shared" si="15"/>
        <v>0.4</v>
      </c>
      <c r="F30" s="68">
        <f t="shared" si="16"/>
        <v>0.38800000000000001</v>
      </c>
      <c r="G30" s="68">
        <f t="shared" si="17"/>
        <v>0.4</v>
      </c>
      <c r="H30" s="68">
        <f t="shared" si="18"/>
        <v>0.376</v>
      </c>
      <c r="I30" s="75">
        <f t="shared" si="19"/>
        <v>0.32000000000000006</v>
      </c>
    </row>
    <row r="31" spans="1:9" s="44" customFormat="1" ht="13" thickBot="1">
      <c r="A31" s="69">
        <v>250000</v>
      </c>
      <c r="B31" s="70">
        <v>60</v>
      </c>
      <c r="C31" s="71">
        <v>0.1</v>
      </c>
      <c r="D31" s="72">
        <f>D30-C31</f>
        <v>0.30000000000000004</v>
      </c>
      <c r="E31" s="75">
        <f t="shared" si="15"/>
        <v>0.30000000000000004</v>
      </c>
      <c r="F31" s="68">
        <f t="shared" si="16"/>
        <v>0.29100000000000004</v>
      </c>
      <c r="G31" s="68">
        <f t="shared" si="17"/>
        <v>0.30000000000000004</v>
      </c>
      <c r="H31" s="68">
        <f t="shared" si="18"/>
        <v>0.28200000000000003</v>
      </c>
      <c r="I31" s="75">
        <f t="shared" si="19"/>
        <v>0.24000000000000005</v>
      </c>
    </row>
    <row r="32" spans="1:9" s="44" customFormat="1" ht="13.5" thickBot="1">
      <c r="A32" s="57"/>
      <c r="B32" s="57"/>
      <c r="C32" s="58" t="s">
        <v>332</v>
      </c>
      <c r="D32" s="77">
        <v>1</v>
      </c>
      <c r="E32" s="48"/>
      <c r="F32" s="47"/>
      <c r="G32" s="48"/>
      <c r="H32" s="47"/>
      <c r="I32" s="47"/>
    </row>
    <row r="33" spans="1:9" s="44" customFormat="1" ht="13">
      <c r="A33" s="60" t="s">
        <v>318</v>
      </c>
      <c r="B33" s="60" t="s">
        <v>227</v>
      </c>
      <c r="C33" s="61" t="s">
        <v>32</v>
      </c>
      <c r="D33" s="62" t="s">
        <v>319</v>
      </c>
      <c r="E33" s="63" t="s">
        <v>326</v>
      </c>
      <c r="F33" s="63" t="s">
        <v>327</v>
      </c>
      <c r="G33" s="63" t="s">
        <v>328</v>
      </c>
      <c r="H33" s="63" t="s">
        <v>329</v>
      </c>
      <c r="I33" s="63" t="s">
        <v>330</v>
      </c>
    </row>
    <row r="34" spans="1:9" s="44" customFormat="1">
      <c r="A34" s="64">
        <v>40000</v>
      </c>
      <c r="B34" s="65">
        <v>12</v>
      </c>
      <c r="C34" s="66">
        <v>0.3</v>
      </c>
      <c r="D34" s="67">
        <f>1-C34</f>
        <v>0.7</v>
      </c>
      <c r="E34" s="68">
        <f>+D34*1.12</f>
        <v>0.78400000000000003</v>
      </c>
      <c r="F34" s="68">
        <f>+D34*0.97</f>
        <v>0.67899999999999994</v>
      </c>
      <c r="G34" s="68">
        <f>+D34*1</f>
        <v>0.7</v>
      </c>
      <c r="H34" s="68">
        <f>+D34*0.94</f>
        <v>0.65799999999999992</v>
      </c>
      <c r="I34" s="68">
        <f>+D34*0.85</f>
        <v>0.59499999999999997</v>
      </c>
    </row>
    <row r="35" spans="1:9" s="44" customFormat="1">
      <c r="A35" s="64">
        <v>80000</v>
      </c>
      <c r="B35" s="65">
        <v>24</v>
      </c>
      <c r="C35" s="66">
        <v>0.1</v>
      </c>
      <c r="D35" s="67">
        <f>D34-C35</f>
        <v>0.6</v>
      </c>
      <c r="E35" s="68">
        <f t="shared" ref="E35:E38" si="20">+D35*1.1</f>
        <v>0.66</v>
      </c>
      <c r="F35" s="68">
        <f t="shared" ref="F35:F38" si="21">+D35*0.97</f>
        <v>0.58199999999999996</v>
      </c>
      <c r="G35" s="68">
        <f t="shared" ref="G35:G38" si="22">+D35*1</f>
        <v>0.6</v>
      </c>
      <c r="H35" s="68">
        <f t="shared" ref="H35:H38" si="23">+D35*0.94</f>
        <v>0.56399999999999995</v>
      </c>
      <c r="I35" s="68">
        <f t="shared" ref="I35:I38" si="24">+D35*0.85</f>
        <v>0.51</v>
      </c>
    </row>
    <row r="36" spans="1:9" s="44" customFormat="1">
      <c r="A36" s="64">
        <v>120000</v>
      </c>
      <c r="B36" s="65">
        <v>36</v>
      </c>
      <c r="C36" s="66">
        <v>0.1</v>
      </c>
      <c r="D36" s="67">
        <f>D35-C36</f>
        <v>0.5</v>
      </c>
      <c r="E36" s="68">
        <f t="shared" si="20"/>
        <v>0.55000000000000004</v>
      </c>
      <c r="F36" s="68">
        <f t="shared" si="21"/>
        <v>0.48499999999999999</v>
      </c>
      <c r="G36" s="68">
        <f t="shared" si="22"/>
        <v>0.5</v>
      </c>
      <c r="H36" s="68">
        <f t="shared" si="23"/>
        <v>0.47</v>
      </c>
      <c r="I36" s="68">
        <f t="shared" si="24"/>
        <v>0.42499999999999999</v>
      </c>
    </row>
    <row r="37" spans="1:9" s="44" customFormat="1">
      <c r="A37" s="64">
        <v>160000</v>
      </c>
      <c r="B37" s="65">
        <v>48</v>
      </c>
      <c r="C37" s="66">
        <v>0.1</v>
      </c>
      <c r="D37" s="67">
        <f>D36-C37</f>
        <v>0.4</v>
      </c>
      <c r="E37" s="68">
        <f t="shared" si="20"/>
        <v>0.44000000000000006</v>
      </c>
      <c r="F37" s="68">
        <f t="shared" si="21"/>
        <v>0.38800000000000001</v>
      </c>
      <c r="G37" s="68">
        <f t="shared" si="22"/>
        <v>0.4</v>
      </c>
      <c r="H37" s="68">
        <f t="shared" si="23"/>
        <v>0.376</v>
      </c>
      <c r="I37" s="68">
        <f t="shared" si="24"/>
        <v>0.34</v>
      </c>
    </row>
    <row r="38" spans="1:9" s="44" customFormat="1" ht="13" thickBot="1">
      <c r="A38" s="69">
        <v>200000</v>
      </c>
      <c r="B38" s="70">
        <v>60</v>
      </c>
      <c r="C38" s="71">
        <v>0.1</v>
      </c>
      <c r="D38" s="72">
        <f>D37-C38</f>
        <v>0.30000000000000004</v>
      </c>
      <c r="E38" s="68">
        <f t="shared" si="20"/>
        <v>0.33000000000000007</v>
      </c>
      <c r="F38" s="68">
        <f t="shared" si="21"/>
        <v>0.29100000000000004</v>
      </c>
      <c r="G38" s="68">
        <f t="shared" si="22"/>
        <v>0.30000000000000004</v>
      </c>
      <c r="H38" s="68">
        <f t="shared" si="23"/>
        <v>0.28200000000000003</v>
      </c>
      <c r="I38" s="68">
        <f t="shared" si="24"/>
        <v>0.255</v>
      </c>
    </row>
    <row r="39" spans="1:9" s="44" customFormat="1" ht="13.5" thickBot="1">
      <c r="A39" s="57"/>
      <c r="B39" s="57"/>
      <c r="C39" s="78" t="s">
        <v>333</v>
      </c>
      <c r="D39" s="79"/>
      <c r="E39" s="48"/>
      <c r="F39" s="47"/>
      <c r="G39" s="48"/>
      <c r="H39" s="47"/>
      <c r="I39" s="47"/>
    </row>
    <row r="40" spans="1:9" s="44" customFormat="1" ht="13">
      <c r="A40" s="60" t="s">
        <v>318</v>
      </c>
      <c r="B40" s="60" t="s">
        <v>227</v>
      </c>
      <c r="C40" s="61" t="s">
        <v>32</v>
      </c>
      <c r="D40" s="62" t="s">
        <v>319</v>
      </c>
      <c r="E40" s="63" t="s">
        <v>326</v>
      </c>
      <c r="F40" s="63" t="s">
        <v>327</v>
      </c>
      <c r="G40" s="63" t="s">
        <v>328</v>
      </c>
      <c r="H40" s="63" t="s">
        <v>329</v>
      </c>
      <c r="I40" s="63" t="s">
        <v>330</v>
      </c>
    </row>
    <row r="41" spans="1:9" s="44" customFormat="1">
      <c r="A41" s="64">
        <v>50000</v>
      </c>
      <c r="B41" s="65">
        <v>12</v>
      </c>
      <c r="C41" s="66">
        <v>0.25</v>
      </c>
      <c r="D41" s="67">
        <f>1-C41</f>
        <v>0.75</v>
      </c>
      <c r="E41" s="75">
        <f>+D41*1</f>
        <v>0.75</v>
      </c>
      <c r="F41" s="68">
        <f>+D41*0.97</f>
        <v>0.72750000000000004</v>
      </c>
      <c r="G41" s="68">
        <f>+D41*1</f>
        <v>0.75</v>
      </c>
      <c r="H41" s="68">
        <f>+D41*0.94</f>
        <v>0.70499999999999996</v>
      </c>
      <c r="I41" s="68">
        <f>+D41*0.85</f>
        <v>0.63749999999999996</v>
      </c>
    </row>
    <row r="42" spans="1:9" s="44" customFormat="1">
      <c r="A42" s="64">
        <v>100000</v>
      </c>
      <c r="B42" s="65">
        <v>24</v>
      </c>
      <c r="C42" s="66">
        <v>0.1</v>
      </c>
      <c r="D42" s="67">
        <f>D41-C42</f>
        <v>0.65</v>
      </c>
      <c r="E42" s="75">
        <f t="shared" ref="E42:E45" si="25">+D42*1</f>
        <v>0.65</v>
      </c>
      <c r="F42" s="68">
        <f t="shared" ref="F42:F45" si="26">+D42*0.97</f>
        <v>0.63049999999999995</v>
      </c>
      <c r="G42" s="68">
        <f t="shared" ref="G42:G45" si="27">+D42*1</f>
        <v>0.65</v>
      </c>
      <c r="H42" s="68">
        <f t="shared" ref="H42:H45" si="28">+D42*0.94</f>
        <v>0.61099999999999999</v>
      </c>
      <c r="I42" s="68">
        <f t="shared" ref="I42:I45" si="29">+D42*0.85</f>
        <v>0.55249999999999999</v>
      </c>
    </row>
    <row r="43" spans="1:9" s="44" customFormat="1">
      <c r="A43" s="64">
        <v>150000</v>
      </c>
      <c r="B43" s="65">
        <v>36</v>
      </c>
      <c r="C43" s="66">
        <v>0.1</v>
      </c>
      <c r="D43" s="67">
        <f>D42-C43</f>
        <v>0.55000000000000004</v>
      </c>
      <c r="E43" s="75">
        <f t="shared" si="25"/>
        <v>0.55000000000000004</v>
      </c>
      <c r="F43" s="68">
        <f t="shared" si="26"/>
        <v>0.53349999999999997</v>
      </c>
      <c r="G43" s="68">
        <f t="shared" si="27"/>
        <v>0.55000000000000004</v>
      </c>
      <c r="H43" s="68">
        <f t="shared" si="28"/>
        <v>0.51700000000000002</v>
      </c>
      <c r="I43" s="68">
        <f t="shared" si="29"/>
        <v>0.46750000000000003</v>
      </c>
    </row>
    <row r="44" spans="1:9" s="44" customFormat="1">
      <c r="A44" s="64">
        <v>200000</v>
      </c>
      <c r="B44" s="65">
        <v>48</v>
      </c>
      <c r="C44" s="66">
        <v>0.1</v>
      </c>
      <c r="D44" s="67">
        <f>D43-C44</f>
        <v>0.45000000000000007</v>
      </c>
      <c r="E44" s="75">
        <f t="shared" si="25"/>
        <v>0.45000000000000007</v>
      </c>
      <c r="F44" s="68">
        <f t="shared" si="26"/>
        <v>0.43650000000000005</v>
      </c>
      <c r="G44" s="68">
        <f t="shared" si="27"/>
        <v>0.45000000000000007</v>
      </c>
      <c r="H44" s="68">
        <f t="shared" si="28"/>
        <v>0.42300000000000004</v>
      </c>
      <c r="I44" s="68">
        <f t="shared" si="29"/>
        <v>0.38250000000000006</v>
      </c>
    </row>
    <row r="45" spans="1:9" s="44" customFormat="1" ht="13" thickBot="1">
      <c r="A45" s="69">
        <v>250000</v>
      </c>
      <c r="B45" s="70">
        <v>60</v>
      </c>
      <c r="C45" s="71">
        <v>0.1</v>
      </c>
      <c r="D45" s="72">
        <f>D44-C45</f>
        <v>0.35000000000000009</v>
      </c>
      <c r="E45" s="75">
        <f t="shared" si="25"/>
        <v>0.35000000000000009</v>
      </c>
      <c r="F45" s="68">
        <f t="shared" si="26"/>
        <v>0.33950000000000008</v>
      </c>
      <c r="G45" s="68">
        <f t="shared" si="27"/>
        <v>0.35000000000000009</v>
      </c>
      <c r="H45" s="68">
        <f t="shared" si="28"/>
        <v>0.32900000000000007</v>
      </c>
      <c r="I45" s="68">
        <f t="shared" si="29"/>
        <v>0.29750000000000004</v>
      </c>
    </row>
    <row r="46" spans="1:9" s="44" customFormat="1" ht="13.5" thickBot="1">
      <c r="A46" s="57"/>
      <c r="B46" s="57"/>
      <c r="C46" s="80" t="s">
        <v>334</v>
      </c>
      <c r="D46" s="77">
        <v>5</v>
      </c>
      <c r="E46" s="48"/>
      <c r="F46" s="47"/>
      <c r="G46" s="48"/>
      <c r="H46" s="47"/>
      <c r="I46" s="47"/>
    </row>
    <row r="47" spans="1:9" s="44" customFormat="1" ht="13">
      <c r="A47" s="60" t="s">
        <v>318</v>
      </c>
      <c r="B47" s="60" t="s">
        <v>227</v>
      </c>
      <c r="C47" s="61" t="s">
        <v>32</v>
      </c>
      <c r="D47" s="62" t="s">
        <v>319</v>
      </c>
      <c r="E47" s="63" t="s">
        <v>326</v>
      </c>
      <c r="F47" s="63" t="s">
        <v>327</v>
      </c>
      <c r="G47" s="63" t="s">
        <v>328</v>
      </c>
      <c r="H47" s="63" t="s">
        <v>329</v>
      </c>
      <c r="I47" s="63" t="s">
        <v>330</v>
      </c>
    </row>
    <row r="48" spans="1:9" s="44" customFormat="1">
      <c r="A48" s="64">
        <v>50000</v>
      </c>
      <c r="B48" s="65">
        <v>12</v>
      </c>
      <c r="C48" s="66">
        <v>0.25</v>
      </c>
      <c r="D48" s="67">
        <f>1-C48</f>
        <v>0.75</v>
      </c>
      <c r="E48" s="75">
        <f>+D48*1</f>
        <v>0.75</v>
      </c>
      <c r="F48" s="68">
        <f>+D48*0.97</f>
        <v>0.72750000000000004</v>
      </c>
      <c r="G48" s="68">
        <f>+D48*1</f>
        <v>0.75</v>
      </c>
      <c r="H48" s="68">
        <f>+D48*0.94</f>
        <v>0.70499999999999996</v>
      </c>
      <c r="I48" s="68">
        <f>+D48*0.85</f>
        <v>0.63749999999999996</v>
      </c>
    </row>
    <row r="49" spans="1:9" s="44" customFormat="1">
      <c r="A49" s="64">
        <v>100000</v>
      </c>
      <c r="B49" s="65">
        <v>24</v>
      </c>
      <c r="C49" s="66">
        <v>0.1</v>
      </c>
      <c r="D49" s="67">
        <f>D48-C49</f>
        <v>0.65</v>
      </c>
      <c r="E49" s="75">
        <f t="shared" ref="E49:E52" si="30">+D49*1.1</f>
        <v>0.71500000000000008</v>
      </c>
      <c r="F49" s="68">
        <f t="shared" ref="F49:F52" si="31">+D49*0.97</f>
        <v>0.63049999999999995</v>
      </c>
      <c r="G49" s="68">
        <f t="shared" ref="G49:G52" si="32">+D49*1</f>
        <v>0.65</v>
      </c>
      <c r="H49" s="68">
        <f t="shared" ref="H49:H52" si="33">+D49*0.94</f>
        <v>0.61099999999999999</v>
      </c>
      <c r="I49" s="68">
        <f t="shared" ref="I49:I52" si="34">+D49*0.85</f>
        <v>0.55249999999999999</v>
      </c>
    </row>
    <row r="50" spans="1:9">
      <c r="A50" s="64">
        <v>150000</v>
      </c>
      <c r="B50" s="65">
        <v>36</v>
      </c>
      <c r="C50" s="66">
        <v>0.1</v>
      </c>
      <c r="D50" s="67">
        <f>D49-C50</f>
        <v>0.55000000000000004</v>
      </c>
      <c r="E50" s="75">
        <f t="shared" si="30"/>
        <v>0.60500000000000009</v>
      </c>
      <c r="F50" s="68">
        <f t="shared" si="31"/>
        <v>0.53349999999999997</v>
      </c>
      <c r="G50" s="68">
        <f t="shared" si="32"/>
        <v>0.55000000000000004</v>
      </c>
      <c r="H50" s="68">
        <f t="shared" si="33"/>
        <v>0.51700000000000002</v>
      </c>
      <c r="I50" s="68">
        <f t="shared" si="34"/>
        <v>0.46750000000000003</v>
      </c>
    </row>
    <row r="51" spans="1:9">
      <c r="A51" s="64">
        <v>200000</v>
      </c>
      <c r="B51" s="65">
        <v>48</v>
      </c>
      <c r="C51" s="66">
        <v>0.1</v>
      </c>
      <c r="D51" s="67">
        <f>D50-C51</f>
        <v>0.45000000000000007</v>
      </c>
      <c r="E51" s="75">
        <f t="shared" si="30"/>
        <v>0.49500000000000011</v>
      </c>
      <c r="F51" s="68">
        <f t="shared" si="31"/>
        <v>0.43650000000000005</v>
      </c>
      <c r="G51" s="68">
        <f t="shared" si="32"/>
        <v>0.45000000000000007</v>
      </c>
      <c r="H51" s="68">
        <f t="shared" si="33"/>
        <v>0.42300000000000004</v>
      </c>
      <c r="I51" s="68">
        <f t="shared" si="34"/>
        <v>0.38250000000000006</v>
      </c>
    </row>
    <row r="52" spans="1:9" ht="13" thickBot="1">
      <c r="A52" s="69">
        <v>250000</v>
      </c>
      <c r="B52" s="70">
        <v>60</v>
      </c>
      <c r="C52" s="71">
        <v>0.1</v>
      </c>
      <c r="D52" s="72">
        <f>D51-C52</f>
        <v>0.35000000000000009</v>
      </c>
      <c r="E52" s="75">
        <f t="shared" si="30"/>
        <v>0.38500000000000012</v>
      </c>
      <c r="F52" s="68">
        <f t="shared" si="31"/>
        <v>0.33950000000000008</v>
      </c>
      <c r="G52" s="68">
        <f t="shared" si="32"/>
        <v>0.35000000000000009</v>
      </c>
      <c r="H52" s="68">
        <f t="shared" si="33"/>
        <v>0.32900000000000007</v>
      </c>
      <c r="I52" s="68">
        <f t="shared" si="34"/>
        <v>0.29750000000000004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6"/>
  <dimension ref="B2:D15"/>
  <sheetViews>
    <sheetView showGridLines="0" workbookViewId="0"/>
  </sheetViews>
  <sheetFormatPr baseColWidth="10" defaultRowHeight="14.5"/>
  <sheetData>
    <row r="2" spans="2:4">
      <c r="B2" s="814" t="s">
        <v>353</v>
      </c>
      <c r="C2" s="814"/>
      <c r="D2" s="814"/>
    </row>
    <row r="3" spans="2:4">
      <c r="B3" s="815" t="s">
        <v>434</v>
      </c>
      <c r="C3" s="815"/>
      <c r="D3" s="815"/>
    </row>
    <row r="5" spans="2:4" ht="15" thickBot="1">
      <c r="B5" s="146" t="s">
        <v>433</v>
      </c>
      <c r="C5" s="146" t="s">
        <v>32</v>
      </c>
      <c r="D5" s="146" t="s">
        <v>207</v>
      </c>
    </row>
    <row r="6" spans="2:4">
      <c r="B6" s="86">
        <v>10000</v>
      </c>
      <c r="C6" s="92">
        <f>$C$10*4</f>
        <v>4</v>
      </c>
      <c r="D6" s="92">
        <f>C6*Carátula!$G$71</f>
        <v>112</v>
      </c>
    </row>
    <row r="7" spans="2:4">
      <c r="B7" s="86">
        <f>B6+10000</f>
        <v>20000</v>
      </c>
      <c r="C7" s="92">
        <f>$C$10*2</f>
        <v>2</v>
      </c>
      <c r="D7" s="92">
        <f>C7*Carátula!$G$71</f>
        <v>56</v>
      </c>
    </row>
    <row r="8" spans="2:4">
      <c r="B8" s="86">
        <f t="shared" ref="B8:B15" si="0">B7+10000</f>
        <v>30000</v>
      </c>
      <c r="C8" s="92">
        <f>$C$10*1.5</f>
        <v>1.5</v>
      </c>
      <c r="D8" s="92">
        <f>C8*Carátula!$G$71</f>
        <v>42</v>
      </c>
    </row>
    <row r="9" spans="2:4">
      <c r="B9" s="86">
        <f t="shared" si="0"/>
        <v>40000</v>
      </c>
      <c r="C9" s="92">
        <f>C10*1.25</f>
        <v>1.25</v>
      </c>
      <c r="D9" s="92">
        <f>C9*Carátula!$G$71</f>
        <v>35</v>
      </c>
    </row>
    <row r="10" spans="2:4">
      <c r="B10" s="144">
        <f t="shared" si="0"/>
        <v>50000</v>
      </c>
      <c r="C10" s="145">
        <v>1</v>
      </c>
      <c r="D10" s="145">
        <f>C10*Carátula!$G$71</f>
        <v>28</v>
      </c>
    </row>
    <row r="11" spans="2:4">
      <c r="B11" s="86">
        <f t="shared" si="0"/>
        <v>60000</v>
      </c>
      <c r="C11" s="92">
        <v>0.9</v>
      </c>
      <c r="D11" s="92">
        <f>C11*Carátula!$G$71</f>
        <v>25.2</v>
      </c>
    </row>
    <row r="12" spans="2:4">
      <c r="B12" s="86">
        <f t="shared" si="0"/>
        <v>70000</v>
      </c>
      <c r="C12" s="92">
        <v>0.85</v>
      </c>
      <c r="D12" s="92">
        <f>C12*Carátula!$G$71</f>
        <v>23.8</v>
      </c>
    </row>
    <row r="13" spans="2:4">
      <c r="B13" s="86">
        <f t="shared" si="0"/>
        <v>80000</v>
      </c>
      <c r="C13" s="92">
        <v>0.8</v>
      </c>
      <c r="D13" s="92">
        <f>C13*Carátula!$G$71</f>
        <v>22.400000000000002</v>
      </c>
    </row>
    <row r="14" spans="2:4">
      <c r="B14" s="86">
        <f t="shared" si="0"/>
        <v>90000</v>
      </c>
      <c r="C14" s="92">
        <v>0.7</v>
      </c>
      <c r="D14" s="92">
        <f>C14*Carátula!$G$71</f>
        <v>19.599999999999998</v>
      </c>
    </row>
    <row r="15" spans="2:4">
      <c r="B15" s="101">
        <f t="shared" si="0"/>
        <v>100000</v>
      </c>
      <c r="C15" s="143">
        <v>0.6</v>
      </c>
      <c r="D15" s="143">
        <f>C15*Carátula!$G$71</f>
        <v>16.8</v>
      </c>
    </row>
  </sheetData>
  <mergeCells count="2">
    <mergeCell ref="B2:D2"/>
    <mergeCell ref="B3:D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B2:F40"/>
  <sheetViews>
    <sheetView showGridLines="0" workbookViewId="0"/>
  </sheetViews>
  <sheetFormatPr baseColWidth="10" defaultRowHeight="12.5"/>
  <cols>
    <col min="1" max="2" width="11.453125" style="18"/>
    <col min="3" max="3" width="20.1796875" style="18" bestFit="1" customWidth="1"/>
    <col min="4" max="258" width="11.453125" style="18"/>
    <col min="259" max="259" width="20.1796875" style="18" bestFit="1" customWidth="1"/>
    <col min="260" max="514" width="11.453125" style="18"/>
    <col min="515" max="515" width="20.1796875" style="18" bestFit="1" customWidth="1"/>
    <col min="516" max="770" width="11.453125" style="18"/>
    <col min="771" max="771" width="20.1796875" style="18" bestFit="1" customWidth="1"/>
    <col min="772" max="1026" width="11.453125" style="18"/>
    <col min="1027" max="1027" width="20.1796875" style="18" bestFit="1" customWidth="1"/>
    <col min="1028" max="1282" width="11.453125" style="18"/>
    <col min="1283" max="1283" width="20.1796875" style="18" bestFit="1" customWidth="1"/>
    <col min="1284" max="1538" width="11.453125" style="18"/>
    <col min="1539" max="1539" width="20.1796875" style="18" bestFit="1" customWidth="1"/>
    <col min="1540" max="1794" width="11.453125" style="18"/>
    <col min="1795" max="1795" width="20.1796875" style="18" bestFit="1" customWidth="1"/>
    <col min="1796" max="2050" width="11.453125" style="18"/>
    <col min="2051" max="2051" width="20.1796875" style="18" bestFit="1" customWidth="1"/>
    <col min="2052" max="2306" width="11.453125" style="18"/>
    <col min="2307" max="2307" width="20.1796875" style="18" bestFit="1" customWidth="1"/>
    <col min="2308" max="2562" width="11.453125" style="18"/>
    <col min="2563" max="2563" width="20.1796875" style="18" bestFit="1" customWidth="1"/>
    <col min="2564" max="2818" width="11.453125" style="18"/>
    <col min="2819" max="2819" width="20.1796875" style="18" bestFit="1" customWidth="1"/>
    <col min="2820" max="3074" width="11.453125" style="18"/>
    <col min="3075" max="3075" width="20.1796875" style="18" bestFit="1" customWidth="1"/>
    <col min="3076" max="3330" width="11.453125" style="18"/>
    <col min="3331" max="3331" width="20.1796875" style="18" bestFit="1" customWidth="1"/>
    <col min="3332" max="3586" width="11.453125" style="18"/>
    <col min="3587" max="3587" width="20.1796875" style="18" bestFit="1" customWidth="1"/>
    <col min="3588" max="3842" width="11.453125" style="18"/>
    <col min="3843" max="3843" width="20.1796875" style="18" bestFit="1" customWidth="1"/>
    <col min="3844" max="4098" width="11.453125" style="18"/>
    <col min="4099" max="4099" width="20.1796875" style="18" bestFit="1" customWidth="1"/>
    <col min="4100" max="4354" width="11.453125" style="18"/>
    <col min="4355" max="4355" width="20.1796875" style="18" bestFit="1" customWidth="1"/>
    <col min="4356" max="4610" width="11.453125" style="18"/>
    <col min="4611" max="4611" width="20.1796875" style="18" bestFit="1" customWidth="1"/>
    <col min="4612" max="4866" width="11.453125" style="18"/>
    <col min="4867" max="4867" width="20.1796875" style="18" bestFit="1" customWidth="1"/>
    <col min="4868" max="5122" width="11.453125" style="18"/>
    <col min="5123" max="5123" width="20.1796875" style="18" bestFit="1" customWidth="1"/>
    <col min="5124" max="5378" width="11.453125" style="18"/>
    <col min="5379" max="5379" width="20.1796875" style="18" bestFit="1" customWidth="1"/>
    <col min="5380" max="5634" width="11.453125" style="18"/>
    <col min="5635" max="5635" width="20.1796875" style="18" bestFit="1" customWidth="1"/>
    <col min="5636" max="5890" width="11.453125" style="18"/>
    <col min="5891" max="5891" width="20.1796875" style="18" bestFit="1" customWidth="1"/>
    <col min="5892" max="6146" width="11.453125" style="18"/>
    <col min="6147" max="6147" width="20.1796875" style="18" bestFit="1" customWidth="1"/>
    <col min="6148" max="6402" width="11.453125" style="18"/>
    <col min="6403" max="6403" width="20.1796875" style="18" bestFit="1" customWidth="1"/>
    <col min="6404" max="6658" width="11.453125" style="18"/>
    <col min="6659" max="6659" width="20.1796875" style="18" bestFit="1" customWidth="1"/>
    <col min="6660" max="6914" width="11.453125" style="18"/>
    <col min="6915" max="6915" width="20.1796875" style="18" bestFit="1" customWidth="1"/>
    <col min="6916" max="7170" width="11.453125" style="18"/>
    <col min="7171" max="7171" width="20.1796875" style="18" bestFit="1" customWidth="1"/>
    <col min="7172" max="7426" width="11.453125" style="18"/>
    <col min="7427" max="7427" width="20.1796875" style="18" bestFit="1" customWidth="1"/>
    <col min="7428" max="7682" width="11.453125" style="18"/>
    <col min="7683" max="7683" width="20.1796875" style="18" bestFit="1" customWidth="1"/>
    <col min="7684" max="7938" width="11.453125" style="18"/>
    <col min="7939" max="7939" width="20.1796875" style="18" bestFit="1" customWidth="1"/>
    <col min="7940" max="8194" width="11.453125" style="18"/>
    <col min="8195" max="8195" width="20.1796875" style="18" bestFit="1" customWidth="1"/>
    <col min="8196" max="8450" width="11.453125" style="18"/>
    <col min="8451" max="8451" width="20.1796875" style="18" bestFit="1" customWidth="1"/>
    <col min="8452" max="8706" width="11.453125" style="18"/>
    <col min="8707" max="8707" width="20.1796875" style="18" bestFit="1" customWidth="1"/>
    <col min="8708" max="8962" width="11.453125" style="18"/>
    <col min="8963" max="8963" width="20.1796875" style="18" bestFit="1" customWidth="1"/>
    <col min="8964" max="9218" width="11.453125" style="18"/>
    <col min="9219" max="9219" width="20.1796875" style="18" bestFit="1" customWidth="1"/>
    <col min="9220" max="9474" width="11.453125" style="18"/>
    <col min="9475" max="9475" width="20.1796875" style="18" bestFit="1" customWidth="1"/>
    <col min="9476" max="9730" width="11.453125" style="18"/>
    <col min="9731" max="9731" width="20.1796875" style="18" bestFit="1" customWidth="1"/>
    <col min="9732" max="9986" width="11.453125" style="18"/>
    <col min="9987" max="9987" width="20.1796875" style="18" bestFit="1" customWidth="1"/>
    <col min="9988" max="10242" width="11.453125" style="18"/>
    <col min="10243" max="10243" width="20.1796875" style="18" bestFit="1" customWidth="1"/>
    <col min="10244" max="10498" width="11.453125" style="18"/>
    <col min="10499" max="10499" width="20.1796875" style="18" bestFit="1" customWidth="1"/>
    <col min="10500" max="10754" width="11.453125" style="18"/>
    <col min="10755" max="10755" width="20.1796875" style="18" bestFit="1" customWidth="1"/>
    <col min="10756" max="11010" width="11.453125" style="18"/>
    <col min="11011" max="11011" width="20.1796875" style="18" bestFit="1" customWidth="1"/>
    <col min="11012" max="11266" width="11.453125" style="18"/>
    <col min="11267" max="11267" width="20.1796875" style="18" bestFit="1" customWidth="1"/>
    <col min="11268" max="11522" width="11.453125" style="18"/>
    <col min="11523" max="11523" width="20.1796875" style="18" bestFit="1" customWidth="1"/>
    <col min="11524" max="11778" width="11.453125" style="18"/>
    <col min="11779" max="11779" width="20.1796875" style="18" bestFit="1" customWidth="1"/>
    <col min="11780" max="12034" width="11.453125" style="18"/>
    <col min="12035" max="12035" width="20.1796875" style="18" bestFit="1" customWidth="1"/>
    <col min="12036" max="12290" width="11.453125" style="18"/>
    <col min="12291" max="12291" width="20.1796875" style="18" bestFit="1" customWidth="1"/>
    <col min="12292" max="12546" width="11.453125" style="18"/>
    <col min="12547" max="12547" width="20.1796875" style="18" bestFit="1" customWidth="1"/>
    <col min="12548" max="12802" width="11.453125" style="18"/>
    <col min="12803" max="12803" width="20.1796875" style="18" bestFit="1" customWidth="1"/>
    <col min="12804" max="13058" width="11.453125" style="18"/>
    <col min="13059" max="13059" width="20.1796875" style="18" bestFit="1" customWidth="1"/>
    <col min="13060" max="13314" width="11.453125" style="18"/>
    <col min="13315" max="13315" width="20.1796875" style="18" bestFit="1" customWidth="1"/>
    <col min="13316" max="13570" width="11.453125" style="18"/>
    <col min="13571" max="13571" width="20.1796875" style="18" bestFit="1" customWidth="1"/>
    <col min="13572" max="13826" width="11.453125" style="18"/>
    <col min="13827" max="13827" width="20.1796875" style="18" bestFit="1" customWidth="1"/>
    <col min="13828" max="14082" width="11.453125" style="18"/>
    <col min="14083" max="14083" width="20.1796875" style="18" bestFit="1" customWidth="1"/>
    <col min="14084" max="14338" width="11.453125" style="18"/>
    <col min="14339" max="14339" width="20.1796875" style="18" bestFit="1" customWidth="1"/>
    <col min="14340" max="14594" width="11.453125" style="18"/>
    <col min="14595" max="14595" width="20.1796875" style="18" bestFit="1" customWidth="1"/>
    <col min="14596" max="14850" width="11.453125" style="18"/>
    <col min="14851" max="14851" width="20.1796875" style="18" bestFit="1" customWidth="1"/>
    <col min="14852" max="15106" width="11.453125" style="18"/>
    <col min="15107" max="15107" width="20.1796875" style="18" bestFit="1" customWidth="1"/>
    <col min="15108" max="15362" width="11.453125" style="18"/>
    <col min="15363" max="15363" width="20.1796875" style="18" bestFit="1" customWidth="1"/>
    <col min="15364" max="15618" width="11.453125" style="18"/>
    <col min="15619" max="15619" width="20.1796875" style="18" bestFit="1" customWidth="1"/>
    <col min="15620" max="15874" width="11.453125" style="18"/>
    <col min="15875" max="15875" width="20.1796875" style="18" bestFit="1" customWidth="1"/>
    <col min="15876" max="16130" width="11.453125" style="18"/>
    <col min="16131" max="16131" width="20.1796875" style="18" bestFit="1" customWidth="1"/>
    <col min="16132" max="16384" width="11.453125" style="18"/>
  </cols>
  <sheetData>
    <row r="2" spans="2:5" ht="13">
      <c r="B2" s="17" t="s">
        <v>283</v>
      </c>
    </row>
    <row r="4" spans="2:5" ht="13">
      <c r="B4" s="17" t="s">
        <v>281</v>
      </c>
    </row>
    <row r="5" spans="2:5" ht="13">
      <c r="B5" s="15" t="s">
        <v>277</v>
      </c>
      <c r="C5" s="15" t="s">
        <v>278</v>
      </c>
      <c r="D5" s="19" t="s">
        <v>279</v>
      </c>
      <c r="E5" s="19" t="s">
        <v>280</v>
      </c>
    </row>
    <row r="6" spans="2:5">
      <c r="B6" s="20">
        <v>0</v>
      </c>
      <c r="C6" s="20">
        <v>60</v>
      </c>
      <c r="D6" s="21">
        <v>0.01</v>
      </c>
      <c r="E6" s="20">
        <v>0</v>
      </c>
    </row>
    <row r="7" spans="2:5">
      <c r="B7" s="20">
        <v>60.000999999999998</v>
      </c>
      <c r="C7" s="20">
        <v>120</v>
      </c>
      <c r="D7" s="21">
        <v>0.02</v>
      </c>
      <c r="E7" s="20">
        <v>0.6</v>
      </c>
    </row>
    <row r="8" spans="2:5">
      <c r="B8" s="20">
        <v>120.001</v>
      </c>
      <c r="C8" s="20">
        <v>250</v>
      </c>
      <c r="D8" s="21">
        <v>0.03</v>
      </c>
      <c r="E8" s="20">
        <v>1.8</v>
      </c>
    </row>
    <row r="9" spans="2:5">
      <c r="B9" s="20">
        <v>250.001</v>
      </c>
      <c r="C9" s="20">
        <v>400</v>
      </c>
      <c r="D9" s="21">
        <v>0.04</v>
      </c>
      <c r="E9" s="20">
        <v>4.3</v>
      </c>
    </row>
    <row r="10" spans="2:5">
      <c r="B10" s="20">
        <v>400.00099999999998</v>
      </c>
      <c r="C10" s="20">
        <v>99999999999</v>
      </c>
      <c r="D10" s="21">
        <v>4.4999999999999998E-2</v>
      </c>
      <c r="E10" s="20">
        <v>6.3</v>
      </c>
    </row>
    <row r="13" spans="2:5" ht="13">
      <c r="B13" s="22" t="s">
        <v>284</v>
      </c>
      <c r="D13" s="23">
        <v>41801</v>
      </c>
      <c r="E13" s="24">
        <v>37622</v>
      </c>
    </row>
    <row r="14" spans="2:5" ht="13">
      <c r="B14" s="14" t="s">
        <v>285</v>
      </c>
    </row>
    <row r="15" spans="2:5" ht="13">
      <c r="B15" s="15" t="s">
        <v>277</v>
      </c>
      <c r="C15" s="15" t="s">
        <v>278</v>
      </c>
      <c r="D15" s="19" t="s">
        <v>279</v>
      </c>
      <c r="E15" s="19" t="s">
        <v>280</v>
      </c>
    </row>
    <row r="16" spans="2:5">
      <c r="B16" s="25">
        <f t="shared" ref="B16:C20" si="0">+B6*$D$13</f>
        <v>0</v>
      </c>
      <c r="C16" s="25">
        <f t="shared" si="0"/>
        <v>2508060</v>
      </c>
      <c r="D16" s="21">
        <v>0.01</v>
      </c>
      <c r="E16" s="25">
        <f>+E6*$D$13</f>
        <v>0</v>
      </c>
    </row>
    <row r="17" spans="2:5">
      <c r="B17" s="25">
        <f t="shared" si="0"/>
        <v>2508101.801</v>
      </c>
      <c r="C17" s="25">
        <f t="shared" si="0"/>
        <v>5016120</v>
      </c>
      <c r="D17" s="21">
        <v>0.02</v>
      </c>
      <c r="E17" s="25">
        <f>+E7*$D$13</f>
        <v>25080.6</v>
      </c>
    </row>
    <row r="18" spans="2:5">
      <c r="B18" s="25">
        <f t="shared" si="0"/>
        <v>5016161.801</v>
      </c>
      <c r="C18" s="25">
        <f t="shared" si="0"/>
        <v>10450250</v>
      </c>
      <c r="D18" s="21">
        <v>0.03</v>
      </c>
      <c r="E18" s="25">
        <f>+E8*$D$13</f>
        <v>75241.8</v>
      </c>
    </row>
    <row r="19" spans="2:5">
      <c r="B19" s="25">
        <f t="shared" si="0"/>
        <v>10450291.801000001</v>
      </c>
      <c r="C19" s="25">
        <f t="shared" si="0"/>
        <v>16720400</v>
      </c>
      <c r="D19" s="21">
        <v>0.04</v>
      </c>
      <c r="E19" s="25">
        <f>+E9*$D$13</f>
        <v>179744.3</v>
      </c>
    </row>
    <row r="20" spans="2:5">
      <c r="B20" s="25">
        <f t="shared" si="0"/>
        <v>16720441.800999999</v>
      </c>
      <c r="C20" s="25">
        <f t="shared" si="0"/>
        <v>4180099999958199</v>
      </c>
      <c r="D20" s="21">
        <v>4.4999999999999998E-2</v>
      </c>
      <c r="E20" s="25">
        <f>+E10*$D$13</f>
        <v>263346.3</v>
      </c>
    </row>
    <row r="23" spans="2:5" ht="13">
      <c r="B23" s="17" t="s">
        <v>286</v>
      </c>
    </row>
    <row r="24" spans="2:5" ht="13">
      <c r="B24" s="14" t="s">
        <v>287</v>
      </c>
      <c r="D24" s="17" t="s">
        <v>288</v>
      </c>
    </row>
    <row r="25" spans="2:5">
      <c r="B25" s="25">
        <v>1750</v>
      </c>
      <c r="C25" s="25">
        <v>5000</v>
      </c>
      <c r="D25" s="25">
        <f>1*$D$13</f>
        <v>41801</v>
      </c>
      <c r="E25" s="20" t="s">
        <v>289</v>
      </c>
    </row>
    <row r="26" spans="2:5">
      <c r="B26" s="25">
        <v>5001</v>
      </c>
      <c r="C26" s="25">
        <v>10000</v>
      </c>
      <c r="D26" s="25">
        <f>2*$D$13</f>
        <v>83602</v>
      </c>
      <c r="E26" s="20" t="s">
        <v>290</v>
      </c>
    </row>
    <row r="27" spans="2:5">
      <c r="B27" s="25">
        <v>10001</v>
      </c>
      <c r="C27" s="25">
        <v>99999999999</v>
      </c>
      <c r="D27" s="25">
        <f>3*$D$13</f>
        <v>125403</v>
      </c>
      <c r="E27" s="20" t="s">
        <v>291</v>
      </c>
    </row>
    <row r="29" spans="2:5" ht="13">
      <c r="B29" s="17" t="s">
        <v>292</v>
      </c>
    </row>
    <row r="30" spans="2:5" ht="13">
      <c r="B30" s="14" t="s">
        <v>287</v>
      </c>
      <c r="D30" s="17" t="s">
        <v>288</v>
      </c>
    </row>
    <row r="31" spans="2:5">
      <c r="B31" s="25">
        <v>1750</v>
      </c>
      <c r="C31" s="25">
        <v>5000</v>
      </c>
      <c r="D31" s="25">
        <f>0.5*$D$13</f>
        <v>20900.5</v>
      </c>
      <c r="E31" s="26" t="s">
        <v>293</v>
      </c>
    </row>
    <row r="32" spans="2:5">
      <c r="B32" s="25">
        <v>5001</v>
      </c>
      <c r="C32" s="25">
        <v>10000</v>
      </c>
      <c r="D32" s="25">
        <f>1*$D$13</f>
        <v>41801</v>
      </c>
      <c r="E32" s="26" t="s">
        <v>294</v>
      </c>
    </row>
    <row r="33" spans="2:6">
      <c r="B33" s="25">
        <v>10001</v>
      </c>
      <c r="C33" s="25">
        <v>99999999999</v>
      </c>
      <c r="D33" s="25">
        <f>1.5*$D$13</f>
        <v>62701.5</v>
      </c>
      <c r="E33" s="26" t="s">
        <v>295</v>
      </c>
    </row>
    <row r="35" spans="2:6">
      <c r="B35" s="18" t="s">
        <v>296</v>
      </c>
    </row>
    <row r="36" spans="2:6" ht="13">
      <c r="B36" s="18" t="s">
        <v>297</v>
      </c>
      <c r="E36" s="17" t="s">
        <v>288</v>
      </c>
    </row>
    <row r="37" spans="2:6">
      <c r="B37" s="18" t="s">
        <v>298</v>
      </c>
      <c r="E37" s="25">
        <f>0.5*$D$13</f>
        <v>20900.5</v>
      </c>
      <c r="F37" s="26" t="s">
        <v>293</v>
      </c>
    </row>
    <row r="38" spans="2:6">
      <c r="E38" s="27"/>
      <c r="F38" s="28"/>
    </row>
    <row r="39" spans="2:6" ht="13">
      <c r="E39" s="17" t="s">
        <v>288</v>
      </c>
    </row>
    <row r="40" spans="2:6">
      <c r="C40" s="18" t="s">
        <v>299</v>
      </c>
      <c r="E40" s="25">
        <f>0.2*$D$13</f>
        <v>8360.2000000000007</v>
      </c>
      <c r="F40" s="26" t="s">
        <v>300</v>
      </c>
    </row>
  </sheetData>
  <printOptions horizontalCentered="1" verticalCentered="1" gridLinesSet="0"/>
  <pageMargins left="0.75" right="0.75" top="1" bottom="1" header="0.51181102362204722" footer="0.51181102362204722"/>
  <pageSetup orientation="portrait" horizontalDpi="4294967292" verticalDpi="300" r:id="rId1"/>
  <headerFooter alignWithMargins="0">
    <oddHeader>&amp;CGerencia de Negocios</oddHeader>
    <oddFooter>&amp;L&amp;F&amp;CPágina &amp;P&amp;R&amp;A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theme="6" tint="-0.499984740745262"/>
    <pageSetUpPr fitToPage="1"/>
  </sheetPr>
  <dimension ref="B2:M233"/>
  <sheetViews>
    <sheetView showGridLines="0" topLeftCell="A6" zoomScale="85" zoomScaleNormal="85" zoomScaleSheetLayoutView="100" workbookViewId="0">
      <selection activeCell="E17" sqref="E17"/>
    </sheetView>
  </sheetViews>
  <sheetFormatPr baseColWidth="10" defaultColWidth="11.453125" defaultRowHeight="12.5"/>
  <cols>
    <col min="1" max="3" width="1.7265625" style="225" customWidth="1"/>
    <col min="4" max="4" width="24.81640625" style="225" customWidth="1"/>
    <col min="5" max="5" width="37.453125" style="225" customWidth="1"/>
    <col min="6" max="6" width="1.7265625" style="225" customWidth="1"/>
    <col min="7" max="7" width="25.7265625" style="225" customWidth="1"/>
    <col min="8" max="8" width="23.81640625" style="225" customWidth="1"/>
    <col min="9" max="9" width="2.1796875" style="225" customWidth="1"/>
    <col min="10" max="11" width="1.7265625" style="225" customWidth="1"/>
    <col min="12" max="16384" width="11.453125" style="225"/>
  </cols>
  <sheetData>
    <row r="2" spans="2:10" ht="5.15" customHeight="1"/>
    <row r="5" spans="2:10" ht="13">
      <c r="C5" s="719" t="str">
        <f>"ANALISIS "&amp;TEXT(Carátula!$E$8,0)</f>
        <v>ANALISIS LEASING OPERATIVO</v>
      </c>
      <c r="D5" s="719"/>
      <c r="E5" s="719"/>
      <c r="F5" s="719"/>
      <c r="G5" s="719"/>
      <c r="H5" s="719"/>
      <c r="I5" s="719"/>
    </row>
    <row r="6" spans="2:10" s="212" customFormat="1" ht="13">
      <c r="C6" s="14"/>
      <c r="D6" s="14"/>
      <c r="E6" s="14"/>
      <c r="F6" s="14"/>
      <c r="G6" s="339" t="s">
        <v>399</v>
      </c>
      <c r="H6" s="340">
        <f>Carátula!K13</f>
        <v>35877.78</v>
      </c>
      <c r="I6" s="14"/>
    </row>
    <row r="7" spans="2:10" s="212" customFormat="1" ht="13">
      <c r="C7" s="14"/>
      <c r="D7" s="14" t="s">
        <v>145</v>
      </c>
      <c r="E7" s="341" t="str">
        <f>Carátula!G13</f>
        <v>Hernan Garcia</v>
      </c>
      <c r="F7" s="14"/>
      <c r="G7" s="339" t="s">
        <v>398</v>
      </c>
      <c r="H7" s="340">
        <f>Carátula!K14</f>
        <v>63074</v>
      </c>
      <c r="I7" s="14"/>
    </row>
    <row r="8" spans="2:10" s="212" customFormat="1" ht="13">
      <c r="C8" s="14"/>
      <c r="D8" s="342" t="s">
        <v>146</v>
      </c>
      <c r="E8" s="341">
        <f>Carátula!G14</f>
        <v>45049</v>
      </c>
      <c r="F8" s="14"/>
      <c r="G8" s="339" t="s">
        <v>397</v>
      </c>
      <c r="H8" s="340">
        <f>Carátula!K15</f>
        <v>808.75</v>
      </c>
      <c r="I8" s="14"/>
    </row>
    <row r="9" spans="2:10" s="212" customFormat="1" ht="4.9000000000000004" customHeight="1" thickBot="1">
      <c r="C9" s="14"/>
      <c r="D9" s="14"/>
      <c r="E9" s="343"/>
      <c r="F9" s="14"/>
      <c r="G9" s="14"/>
      <c r="H9" s="343"/>
      <c r="I9" s="14"/>
    </row>
    <row r="10" spans="2:10" s="206" customFormat="1" ht="14" thickTop="1" thickBot="1">
      <c r="B10" s="225"/>
      <c r="C10" s="344"/>
      <c r="D10" s="345" t="s">
        <v>147</v>
      </c>
      <c r="E10" s="346"/>
      <c r="F10" s="346"/>
      <c r="G10" s="347"/>
      <c r="H10" s="348"/>
      <c r="I10" s="349"/>
    </row>
    <row r="11" spans="2:10" ht="13" thickTop="1">
      <c r="B11" s="206"/>
      <c r="C11" s="226"/>
      <c r="D11" s="27" t="s">
        <v>148</v>
      </c>
      <c r="E11" s="720">
        <f>Carátula!G20</f>
        <v>0</v>
      </c>
      <c r="F11" s="720"/>
      <c r="G11" s="720"/>
      <c r="H11" s="720"/>
      <c r="I11" s="227"/>
      <c r="J11" s="206"/>
    </row>
    <row r="12" spans="2:10">
      <c r="B12" s="206"/>
      <c r="C12" s="228"/>
      <c r="D12" s="350" t="s">
        <v>149</v>
      </c>
      <c r="E12" s="721">
        <f>Carátula!G21</f>
        <v>0</v>
      </c>
      <c r="F12" s="721"/>
      <c r="G12" s="721"/>
      <c r="H12" s="721"/>
      <c r="I12" s="229"/>
      <c r="J12" s="206"/>
    </row>
    <row r="13" spans="2:10" ht="13">
      <c r="C13" s="230"/>
      <c r="D13" s="351" t="s">
        <v>150</v>
      </c>
      <c r="E13" s="352"/>
      <c r="F13" s="353"/>
      <c r="G13" s="354" t="s">
        <v>143</v>
      </c>
      <c r="H13" s="355"/>
      <c r="I13" s="234"/>
    </row>
    <row r="14" spans="2:10" s="206" customFormat="1">
      <c r="B14" s="225"/>
      <c r="C14" s="226"/>
      <c r="D14" s="27" t="s">
        <v>151</v>
      </c>
      <c r="E14" s="356" t="str">
        <f>Carátula!F29</f>
        <v>CAMIONETA</v>
      </c>
      <c r="F14" s="213"/>
      <c r="G14" s="225"/>
      <c r="H14" s="225"/>
      <c r="I14" s="227"/>
    </row>
    <row r="15" spans="2:10" s="206" customFormat="1">
      <c r="B15" s="225"/>
      <c r="C15" s="226"/>
      <c r="D15" s="27" t="s">
        <v>152</v>
      </c>
      <c r="E15" s="356" t="str">
        <f>Carátula!F33</f>
        <v>VOLKSWAGEN</v>
      </c>
      <c r="F15" s="235"/>
      <c r="G15" s="372" t="s">
        <v>153</v>
      </c>
      <c r="H15" s="27">
        <f>((H17*E26/E25)+H18+H20)</f>
        <v>240039.50458333336</v>
      </c>
      <c r="I15" s="227"/>
    </row>
    <row r="16" spans="2:10" ht="13">
      <c r="C16" s="226"/>
      <c r="D16" s="27" t="s">
        <v>154</v>
      </c>
      <c r="E16" s="356" t="str">
        <f>Carátula!F35</f>
        <v>AMAROK COMFORTLINE 4x4</v>
      </c>
      <c r="F16" s="236"/>
      <c r="G16" s="373" t="s">
        <v>155</v>
      </c>
      <c r="H16" s="369">
        <f>(H17*E26/E25)</f>
        <v>84000</v>
      </c>
      <c r="I16" s="237"/>
    </row>
    <row r="17" spans="3:10" ht="13">
      <c r="C17" s="238"/>
      <c r="D17" s="27" t="s">
        <v>156</v>
      </c>
      <c r="E17" s="356" t="str">
        <f>Carátula!F36</f>
        <v>AT</v>
      </c>
      <c r="G17" s="374" t="s">
        <v>411</v>
      </c>
      <c r="H17" s="375">
        <f>Carátula!G71*H29</f>
        <v>28</v>
      </c>
      <c r="I17" s="227"/>
    </row>
    <row r="18" spans="3:10" ht="13">
      <c r="C18" s="239"/>
      <c r="D18" s="357" t="s">
        <v>157</v>
      </c>
      <c r="E18" s="358">
        <f>Carátula!G82</f>
        <v>21.2</v>
      </c>
      <c r="G18" s="376" t="s">
        <v>158</v>
      </c>
      <c r="H18" s="27">
        <f>'Tablas&amp;Gastos'!F14</f>
        <v>56806.484999999993</v>
      </c>
      <c r="I18" s="227"/>
    </row>
    <row r="19" spans="3:10" ht="13">
      <c r="C19" s="240"/>
      <c r="D19" s="359" t="s">
        <v>159</v>
      </c>
      <c r="E19" s="360">
        <f>Carátula!G38</f>
        <v>1</v>
      </c>
      <c r="G19" s="377" t="s">
        <v>160</v>
      </c>
      <c r="H19" s="375">
        <f>Carátula!G72</f>
        <v>19</v>
      </c>
      <c r="I19" s="241"/>
    </row>
    <row r="20" spans="3:10">
      <c r="C20" s="238"/>
      <c r="D20" s="361" t="s">
        <v>400</v>
      </c>
      <c r="E20" s="362">
        <f>IF(Carátula!$E$8="LEASING OPERATIVO",VALUE(Carátula!$K$36),0)</f>
        <v>0</v>
      </c>
      <c r="G20" s="376" t="s">
        <v>161</v>
      </c>
      <c r="H20" s="27">
        <f>SUM('Tablas&amp;Gastos'!F24)-H16-H18</f>
        <v>99233.019583333371</v>
      </c>
      <c r="I20" s="227"/>
    </row>
    <row r="21" spans="3:10" ht="13">
      <c r="C21" s="238"/>
      <c r="D21" s="361" t="s">
        <v>162</v>
      </c>
      <c r="E21" s="363">
        <f>(Carátula!$K$38*E19)</f>
        <v>0.03</v>
      </c>
      <c r="F21" s="242"/>
      <c r="G21" s="378" t="s">
        <v>405</v>
      </c>
      <c r="H21" s="379">
        <f>'Tablas&amp;Gastos'!D10</f>
        <v>72660</v>
      </c>
      <c r="I21" s="243"/>
    </row>
    <row r="22" spans="3:10" ht="13">
      <c r="C22" s="238"/>
      <c r="D22" s="364" t="s">
        <v>186</v>
      </c>
      <c r="E22" s="365">
        <f>Carátula!$K$38</f>
        <v>0.03</v>
      </c>
      <c r="F22" s="244"/>
      <c r="G22" s="377" t="s">
        <v>406</v>
      </c>
      <c r="H22" s="380">
        <f>'Tablas&amp;Gastos'!D11</f>
        <v>8700</v>
      </c>
      <c r="I22" s="245"/>
    </row>
    <row r="23" spans="3:10" ht="13">
      <c r="C23" s="246"/>
      <c r="D23" s="366" t="s">
        <v>401</v>
      </c>
      <c r="E23" s="367" t="str">
        <f>Carátula!$K$33</f>
        <v>GENÉRICO</v>
      </c>
      <c r="F23" s="244"/>
      <c r="G23" s="377" t="s">
        <v>407</v>
      </c>
      <c r="H23" s="380">
        <f>'Tablas&amp;Gastos'!D12</f>
        <v>33150</v>
      </c>
      <c r="I23" s="245"/>
    </row>
    <row r="24" spans="3:10" ht="13">
      <c r="C24" s="247"/>
      <c r="D24" s="27" t="s">
        <v>163</v>
      </c>
      <c r="E24" s="368" t="str">
        <f>Carátula!$K$29</f>
        <v>MIXTO</v>
      </c>
      <c r="F24" s="249"/>
      <c r="G24" s="381" t="s">
        <v>408</v>
      </c>
      <c r="H24" s="382">
        <f>SUM('Tablas&amp;Gastos'!F15:F22)</f>
        <v>0</v>
      </c>
      <c r="I24" s="250"/>
    </row>
    <row r="25" spans="3:10" ht="13">
      <c r="C25" s="226"/>
      <c r="D25" s="27" t="s">
        <v>164</v>
      </c>
      <c r="E25" s="362">
        <f>Carátula!G39</f>
        <v>48</v>
      </c>
      <c r="G25" s="383" t="s">
        <v>437</v>
      </c>
      <c r="H25" s="384">
        <f>(H16+H18+H20)*E25/E26</f>
        <v>80.013168194444447</v>
      </c>
      <c r="I25" s="241"/>
    </row>
    <row r="26" spans="3:10">
      <c r="C26" s="226"/>
      <c r="D26" s="361" t="s">
        <v>15</v>
      </c>
      <c r="E26" s="368">
        <f>Carátula!K40</f>
        <v>144000</v>
      </c>
      <c r="I26" s="227"/>
      <c r="J26" s="206"/>
    </row>
    <row r="27" spans="3:10" ht="14">
      <c r="C27" s="247"/>
      <c r="D27" s="369" t="s">
        <v>165</v>
      </c>
      <c r="E27" s="370">
        <f>IF(Carátula!G74=0,1,Carátula!G74)</f>
        <v>30</v>
      </c>
      <c r="G27" s="690"/>
      <c r="H27" s="691"/>
      <c r="I27" s="227"/>
      <c r="J27" s="206"/>
    </row>
    <row r="28" spans="3:10" ht="13">
      <c r="C28" s="226"/>
      <c r="D28" s="364" t="s">
        <v>166</v>
      </c>
      <c r="E28" s="371">
        <f>+ROUND(12/(360/E27),)</f>
        <v>1</v>
      </c>
      <c r="I28" s="227"/>
      <c r="J28" s="206"/>
    </row>
    <row r="29" spans="3:10">
      <c r="C29" s="226"/>
      <c r="E29" s="248"/>
      <c r="G29" s="27" t="s">
        <v>410</v>
      </c>
      <c r="H29" s="385">
        <f>Carátula!K71</f>
        <v>1</v>
      </c>
      <c r="I29" s="227"/>
      <c r="J29" s="206"/>
    </row>
    <row r="30" spans="3:10">
      <c r="C30" s="226"/>
      <c r="E30" s="248"/>
      <c r="G30" s="372" t="s">
        <v>341</v>
      </c>
      <c r="H30" s="386">
        <f>Carátula!K79</f>
        <v>50000</v>
      </c>
      <c r="I30" s="227"/>
      <c r="J30" s="206"/>
    </row>
    <row r="31" spans="3:10">
      <c r="C31" s="226"/>
      <c r="E31" s="248"/>
      <c r="G31" s="27" t="s">
        <v>438</v>
      </c>
      <c r="H31" s="598" t="str">
        <f>Carátula!K72</f>
        <v>DIFERENCIADO</v>
      </c>
      <c r="I31" s="227"/>
    </row>
    <row r="32" spans="3:10">
      <c r="C32" s="226"/>
      <c r="E32" s="248"/>
      <c r="G32" s="647" t="s">
        <v>665</v>
      </c>
      <c r="H32" s="235" t="str">
        <f>Carátula!K74</f>
        <v>SN UF 5</v>
      </c>
      <c r="I32" s="227"/>
    </row>
    <row r="33" spans="2:13">
      <c r="C33" s="226"/>
      <c r="E33" s="248"/>
      <c r="G33" s="647" t="s">
        <v>666</v>
      </c>
      <c r="H33" s="235" t="str">
        <f>Carátula!K75</f>
        <v>PT UF 50</v>
      </c>
      <c r="I33" s="227"/>
    </row>
    <row r="34" spans="2:13" ht="13">
      <c r="C34" s="226"/>
      <c r="D34" s="650"/>
      <c r="E34" s="651"/>
      <c r="G34" s="647" t="s">
        <v>667</v>
      </c>
      <c r="H34" s="235" t="str">
        <f>Carátula!K76</f>
        <v>VOL UF 50</v>
      </c>
      <c r="I34" s="227"/>
    </row>
    <row r="35" spans="2:13">
      <c r="C35" s="226"/>
      <c r="E35" s="248"/>
      <c r="G35" s="647" t="s">
        <v>668</v>
      </c>
      <c r="H35" s="235" t="str">
        <f>Carátula!K77</f>
        <v>ROBO UF 50</v>
      </c>
      <c r="I35" s="227"/>
    </row>
    <row r="36" spans="2:13" ht="13">
      <c r="B36" s="252"/>
      <c r="C36" s="230"/>
      <c r="D36" s="351" t="s">
        <v>167</v>
      </c>
      <c r="E36" s="231"/>
      <c r="F36" s="232"/>
      <c r="G36" s="354" t="s">
        <v>168</v>
      </c>
      <c r="H36" s="233"/>
      <c r="I36" s="234"/>
    </row>
    <row r="37" spans="2:13">
      <c r="B37" s="252"/>
      <c r="C37" s="256"/>
      <c r="E37" s="248"/>
      <c r="I37" s="227"/>
    </row>
    <row r="38" spans="2:13">
      <c r="B38" s="252"/>
      <c r="C38" s="256"/>
      <c r="D38" s="387" t="s">
        <v>169</v>
      </c>
      <c r="E38" s="368">
        <f>Carátula!$G$44</f>
        <v>33890000</v>
      </c>
      <c r="G38" s="376" t="s">
        <v>170</v>
      </c>
      <c r="H38" s="27">
        <f>'Flujo (Propuesto)'!DE5</f>
        <v>38738732.242467858</v>
      </c>
      <c r="I38" s="227"/>
    </row>
    <row r="39" spans="2:13" s="252" customFormat="1" ht="13">
      <c r="B39" s="225"/>
      <c r="C39" s="258"/>
      <c r="D39" s="387" t="s">
        <v>171</v>
      </c>
      <c r="E39" s="368">
        <f>Carátula!$G$45</f>
        <v>25417500</v>
      </c>
      <c r="F39" s="225"/>
      <c r="G39" s="376" t="s">
        <v>172</v>
      </c>
      <c r="H39" s="27">
        <f>'Flujo (Propuesto)'!DE6</f>
        <v>-12979654.41950549</v>
      </c>
      <c r="I39" s="241"/>
      <c r="J39" s="225"/>
    </row>
    <row r="40" spans="2:13" s="252" customFormat="1" ht="13">
      <c r="B40" s="225"/>
      <c r="C40" s="256"/>
      <c r="D40" s="388" t="s">
        <v>173</v>
      </c>
      <c r="E40" s="391">
        <f>IF(Carátula!$K$45="-","-",$E$39/$E$38-1)</f>
        <v>-0.25</v>
      </c>
      <c r="F40" s="259"/>
      <c r="G40" s="14" t="s">
        <v>174</v>
      </c>
      <c r="H40" s="396">
        <f>SUM(H38:H39)</f>
        <v>25759077.822962366</v>
      </c>
      <c r="I40" s="227"/>
      <c r="J40" s="225"/>
    </row>
    <row r="41" spans="2:13" s="252" customFormat="1" ht="13">
      <c r="B41" s="225"/>
      <c r="C41" s="256"/>
      <c r="D41" s="387" t="s">
        <v>367</v>
      </c>
      <c r="E41" s="368">
        <f>Carátula!$G$51+Carátula!$G$52</f>
        <v>0</v>
      </c>
      <c r="F41" s="225"/>
      <c r="G41" s="376" t="s">
        <v>175</v>
      </c>
      <c r="H41" s="27">
        <f>'Flujo (Propuesto)'!DE8</f>
        <v>-1836070.0633958459</v>
      </c>
      <c r="I41" s="241"/>
      <c r="J41" s="225"/>
    </row>
    <row r="42" spans="2:13" s="252" customFormat="1" ht="13">
      <c r="B42" s="225"/>
      <c r="C42" s="256"/>
      <c r="D42" s="387" t="s">
        <v>366</v>
      </c>
      <c r="E42" s="368">
        <f>Carátula!$G$67</f>
        <v>55000</v>
      </c>
      <c r="F42" s="225"/>
      <c r="G42" s="384" t="s">
        <v>176</v>
      </c>
      <c r="H42" s="396">
        <f>H40+H41</f>
        <v>23923007.759566519</v>
      </c>
      <c r="I42" s="227"/>
      <c r="J42" s="225"/>
    </row>
    <row r="43" spans="2:13" ht="13">
      <c r="C43" s="226"/>
      <c r="D43" s="387" t="s">
        <v>177</v>
      </c>
      <c r="E43" s="368">
        <f>(E39+E41+E42)</f>
        <v>25472500</v>
      </c>
      <c r="G43" s="395" t="s">
        <v>178</v>
      </c>
      <c r="H43" s="27">
        <f>'Flujo (Propuesto)'!DE13</f>
        <v>-12566412</v>
      </c>
      <c r="I43" s="241"/>
    </row>
    <row r="44" spans="2:13" ht="13">
      <c r="C44" s="256"/>
      <c r="D44" s="27" t="s">
        <v>179</v>
      </c>
      <c r="E44" s="368">
        <f>((E19+E21+E20)*E43)</f>
        <v>26236675</v>
      </c>
      <c r="G44" s="376" t="s">
        <v>180</v>
      </c>
      <c r="H44" s="27">
        <f>'Flujo (Propuesto)'!DE47</f>
        <v>-7237123.0363405216</v>
      </c>
      <c r="I44" s="241"/>
    </row>
    <row r="45" spans="2:13" ht="13">
      <c r="C45" s="262"/>
      <c r="D45" s="389" t="s">
        <v>518</v>
      </c>
      <c r="E45" s="392">
        <f>Carátula!$G$47</f>
        <v>13217100</v>
      </c>
      <c r="F45" s="263"/>
      <c r="G45" s="396" t="s">
        <v>181</v>
      </c>
      <c r="H45" s="396">
        <f>SUM(H42:H44)</f>
        <v>4119472.7232259978</v>
      </c>
      <c r="I45" s="227"/>
    </row>
    <row r="46" spans="2:13" ht="13">
      <c r="B46" s="252"/>
      <c r="C46" s="226"/>
      <c r="D46" s="390" t="s">
        <v>351</v>
      </c>
      <c r="E46" s="391">
        <f>Carátula!$K$46</f>
        <v>0.54999999999999993</v>
      </c>
      <c r="F46" s="263"/>
      <c r="G46" s="376" t="s">
        <v>183</v>
      </c>
      <c r="H46" s="27">
        <f>'Flujo (Propuesto)'!DE49</f>
        <v>-1130549.479669281</v>
      </c>
      <c r="I46" s="241"/>
      <c r="J46" s="260"/>
      <c r="K46" s="252"/>
    </row>
    <row r="47" spans="2:13" ht="13">
      <c r="B47" s="252"/>
      <c r="C47" s="264"/>
      <c r="D47" s="364" t="s">
        <v>182</v>
      </c>
      <c r="E47" s="393">
        <f>Carátula!$G$46</f>
        <v>0.48</v>
      </c>
      <c r="F47" s="263"/>
      <c r="G47" s="396" t="s">
        <v>185</v>
      </c>
      <c r="H47" s="396">
        <f>H45+H46</f>
        <v>2988923.2435567165</v>
      </c>
      <c r="I47" s="227"/>
      <c r="J47" s="260"/>
      <c r="L47" s="225">
        <f>+H47/E19/E25*12</f>
        <v>747230.81088917912</v>
      </c>
      <c r="M47" s="252"/>
    </row>
    <row r="48" spans="2:13" ht="13">
      <c r="B48" s="252"/>
      <c r="C48" s="262"/>
      <c r="D48" s="389" t="s">
        <v>519</v>
      </c>
      <c r="E48" s="392">
        <f>Carátula!$G$54</f>
        <v>0</v>
      </c>
      <c r="G48" s="260"/>
      <c r="H48" s="260"/>
      <c r="I48" s="227"/>
      <c r="J48" s="260"/>
      <c r="M48" s="252"/>
    </row>
    <row r="49" spans="2:13" ht="13">
      <c r="B49" s="252"/>
      <c r="C49" s="264"/>
      <c r="D49" s="366" t="s">
        <v>182</v>
      </c>
      <c r="E49" s="545">
        <f>Carátula!$G$53</f>
        <v>1</v>
      </c>
      <c r="G49" s="260"/>
      <c r="H49" s="260"/>
      <c r="I49" s="227"/>
      <c r="J49" s="260"/>
      <c r="M49" s="252"/>
    </row>
    <row r="50" spans="2:13" ht="13">
      <c r="B50" s="252"/>
      <c r="C50" s="226"/>
      <c r="D50" s="387" t="s">
        <v>184</v>
      </c>
      <c r="E50" s="368">
        <f>Carátula!$G$58</f>
        <v>1</v>
      </c>
      <c r="G50" s="261"/>
      <c r="H50" s="265"/>
      <c r="I50" s="241"/>
      <c r="J50" s="260"/>
      <c r="K50" s="252"/>
    </row>
    <row r="51" spans="2:13" ht="13">
      <c r="B51" s="252"/>
      <c r="C51" s="256"/>
      <c r="D51" s="387" t="s">
        <v>403</v>
      </c>
      <c r="E51" s="394">
        <f>Carátula!$G$59</f>
        <v>0</v>
      </c>
      <c r="F51" s="266"/>
      <c r="I51" s="241"/>
      <c r="J51" s="260"/>
    </row>
    <row r="52" spans="2:13" ht="13">
      <c r="B52" s="252"/>
      <c r="C52" s="256"/>
      <c r="D52" s="267"/>
      <c r="E52" s="268"/>
      <c r="F52" s="266"/>
      <c r="I52" s="241"/>
      <c r="J52" s="260"/>
    </row>
    <row r="53" spans="2:13" ht="13">
      <c r="B53" s="252"/>
      <c r="C53" s="226"/>
      <c r="D53" s="257"/>
      <c r="E53" s="268"/>
      <c r="G53" s="384" t="s">
        <v>187</v>
      </c>
      <c r="H53" s="396">
        <f>'Flujo (Propuesto)'!DE55</f>
        <v>3029120.0741629116</v>
      </c>
      <c r="I53" s="241"/>
      <c r="J53" s="260"/>
    </row>
    <row r="54" spans="2:13" ht="4.9000000000000004" customHeight="1">
      <c r="B54" s="252"/>
      <c r="C54" s="253"/>
      <c r="D54" s="254"/>
      <c r="E54" s="269"/>
      <c r="F54" s="254"/>
      <c r="G54" s="397"/>
      <c r="H54" s="270"/>
      <c r="I54" s="229"/>
    </row>
    <row r="55" spans="2:13" ht="13">
      <c r="B55" s="252"/>
      <c r="C55" s="271"/>
      <c r="D55" s="398" t="s">
        <v>188</v>
      </c>
      <c r="E55" s="273"/>
      <c r="F55" s="272"/>
      <c r="G55" s="398" t="s">
        <v>189</v>
      </c>
      <c r="H55" s="272"/>
      <c r="I55" s="274"/>
    </row>
    <row r="56" spans="2:13" ht="4.9000000000000004" customHeight="1">
      <c r="C56" s="226"/>
      <c r="E56" s="275"/>
      <c r="F56" s="276"/>
      <c r="G56" s="260"/>
      <c r="H56" s="277"/>
      <c r="I56" s="278"/>
    </row>
    <row r="57" spans="2:13" ht="13">
      <c r="C57" s="226"/>
      <c r="D57" s="27" t="s">
        <v>253</v>
      </c>
      <c r="E57" s="400">
        <f>Carátula!G91</f>
        <v>0.27</v>
      </c>
      <c r="G57" s="404" t="s">
        <v>190</v>
      </c>
      <c r="H57" s="406">
        <f>(H38/E25)/E44</f>
        <v>3.0760640276181354E-2</v>
      </c>
      <c r="I57" s="279"/>
    </row>
    <row r="58" spans="2:13" ht="13">
      <c r="C58" s="226"/>
      <c r="D58" s="27" t="s">
        <v>368</v>
      </c>
      <c r="E58" s="400">
        <f>Carátula!G93</f>
        <v>0.01</v>
      </c>
      <c r="G58" s="405" t="s">
        <v>191</v>
      </c>
      <c r="H58" s="406">
        <f>'Flujo (Propuesto)'!C41</f>
        <v>0.10048497438213722</v>
      </c>
      <c r="I58" s="279"/>
    </row>
    <row r="59" spans="2:13" ht="13">
      <c r="C59" s="282"/>
      <c r="D59" s="27" t="s">
        <v>352</v>
      </c>
      <c r="E59" s="401">
        <f>Carátula!K94</f>
        <v>0.125</v>
      </c>
      <c r="G59" s="405" t="s">
        <v>26</v>
      </c>
      <c r="H59" s="406">
        <f>'Flujo (Propuesto)'!C42</f>
        <v>0.1171119798370901</v>
      </c>
      <c r="I59" s="279"/>
    </row>
    <row r="60" spans="2:13" ht="13">
      <c r="C60" s="226"/>
      <c r="D60" s="399" t="s">
        <v>436</v>
      </c>
      <c r="E60" s="402">
        <v>0.1</v>
      </c>
      <c r="G60" s="405" t="s">
        <v>192</v>
      </c>
      <c r="H60" s="406">
        <f>'Flujo (Propuesto)'!C43</f>
        <v>0.11143697902857608</v>
      </c>
      <c r="I60" s="279"/>
    </row>
    <row r="61" spans="2:13" ht="13">
      <c r="C61" s="226"/>
      <c r="D61" s="399" t="s">
        <v>375</v>
      </c>
      <c r="E61" s="403">
        <f>NPV(((1+E60)^(1/12)-1),'Flujo (Propuesto)'!H59:DD59)</f>
        <v>682235.36569542845</v>
      </c>
      <c r="G61" s="405" t="s">
        <v>611</v>
      </c>
      <c r="H61" s="406">
        <f>'Flujo (Propuesto)'!E43</f>
        <v>0.13353125825643986</v>
      </c>
      <c r="I61" s="279"/>
    </row>
    <row r="62" spans="2:13" ht="13">
      <c r="C62" s="226"/>
      <c r="D62" s="399" t="s">
        <v>515</v>
      </c>
      <c r="E62" s="402">
        <f>E61/E44</f>
        <v>2.6003118371341966E-2</v>
      </c>
      <c r="G62" s="280"/>
      <c r="H62" s="281"/>
      <c r="I62" s="279"/>
    </row>
    <row r="63" spans="2:13" s="252" customFormat="1" ht="4.9000000000000004" customHeight="1">
      <c r="B63" s="225"/>
      <c r="C63" s="283"/>
      <c r="D63" s="270"/>
      <c r="E63" s="284"/>
      <c r="F63" s="270"/>
      <c r="G63" s="285"/>
      <c r="H63" s="254"/>
      <c r="I63" s="255"/>
    </row>
    <row r="64" spans="2:13" s="252" customFormat="1" ht="4.9000000000000004" customHeight="1">
      <c r="B64" s="225"/>
      <c r="C64" s="282"/>
      <c r="D64" s="225"/>
      <c r="E64" s="225"/>
      <c r="F64" s="225"/>
      <c r="I64" s="286"/>
    </row>
    <row r="65" spans="2:9" s="252" customFormat="1">
      <c r="B65" s="225"/>
      <c r="C65" s="282"/>
      <c r="I65" s="286"/>
    </row>
    <row r="66" spans="2:9" s="252" customFormat="1">
      <c r="B66" s="225"/>
      <c r="C66" s="282"/>
      <c r="I66" s="286"/>
    </row>
    <row r="67" spans="2:9" s="252" customFormat="1">
      <c r="B67" s="225"/>
      <c r="C67" s="282"/>
      <c r="D67" s="270"/>
      <c r="E67" s="270"/>
      <c r="G67" s="270"/>
      <c r="H67" s="270"/>
      <c r="I67" s="286"/>
    </row>
    <row r="68" spans="2:9" s="252" customFormat="1" ht="13">
      <c r="B68" s="225"/>
      <c r="C68" s="282"/>
      <c r="D68" s="722" t="s">
        <v>193</v>
      </c>
      <c r="E68" s="722"/>
      <c r="F68" s="287"/>
      <c r="G68" s="717" t="s">
        <v>529</v>
      </c>
      <c r="H68" s="717"/>
      <c r="I68" s="286"/>
    </row>
    <row r="69" spans="2:9" s="252" customFormat="1" ht="13">
      <c r="B69" s="225"/>
      <c r="C69" s="282"/>
      <c r="D69" s="718" t="s">
        <v>195</v>
      </c>
      <c r="E69" s="718"/>
      <c r="F69" s="287"/>
      <c r="G69" s="718" t="s">
        <v>530</v>
      </c>
      <c r="H69" s="718"/>
      <c r="I69" s="286"/>
    </row>
    <row r="70" spans="2:9" s="252" customFormat="1" ht="13">
      <c r="B70" s="225"/>
      <c r="C70" s="282"/>
      <c r="D70" s="288"/>
      <c r="E70" s="289"/>
      <c r="F70" s="287"/>
      <c r="G70" s="287"/>
      <c r="H70" s="290"/>
      <c r="I70" s="286"/>
    </row>
    <row r="71" spans="2:9" s="252" customFormat="1" ht="13">
      <c r="B71" s="225"/>
      <c r="C71" s="282"/>
      <c r="D71" s="288"/>
      <c r="E71" s="289"/>
      <c r="F71" s="287"/>
      <c r="G71" s="287"/>
      <c r="H71" s="290"/>
      <c r="I71" s="286"/>
    </row>
    <row r="72" spans="2:9" s="252" customFormat="1">
      <c r="B72" s="225"/>
      <c r="C72" s="282"/>
      <c r="D72" s="270"/>
      <c r="E72" s="270"/>
      <c r="G72" s="270"/>
      <c r="H72" s="270"/>
      <c r="I72" s="286"/>
    </row>
    <row r="73" spans="2:9" s="252" customFormat="1" ht="13">
      <c r="B73" s="225"/>
      <c r="C73" s="282"/>
      <c r="D73" s="717" t="s">
        <v>196</v>
      </c>
      <c r="E73" s="717"/>
      <c r="F73" s="292"/>
      <c r="G73" s="717" t="s">
        <v>402</v>
      </c>
      <c r="H73" s="717"/>
      <c r="I73" s="286"/>
    </row>
    <row r="74" spans="2:9" s="252" customFormat="1" ht="13">
      <c r="B74" s="225"/>
      <c r="C74" s="282"/>
      <c r="D74" s="718" t="s">
        <v>528</v>
      </c>
      <c r="E74" s="718"/>
      <c r="F74" s="292"/>
      <c r="G74" s="718" t="s">
        <v>671</v>
      </c>
      <c r="H74" s="718"/>
      <c r="I74" s="286"/>
    </row>
    <row r="75" spans="2:9" s="252" customFormat="1" ht="13">
      <c r="B75" s="225"/>
      <c r="C75" s="282"/>
      <c r="D75" s="288"/>
      <c r="E75" s="289"/>
      <c r="F75" s="287"/>
      <c r="G75" s="287"/>
      <c r="H75" s="290"/>
      <c r="I75" s="286"/>
    </row>
    <row r="76" spans="2:9" s="252" customFormat="1" ht="13">
      <c r="B76" s="225"/>
      <c r="C76" s="282"/>
      <c r="D76" s="288"/>
      <c r="E76" s="289"/>
      <c r="F76" s="287"/>
      <c r="G76" s="287"/>
      <c r="H76" s="290"/>
      <c r="I76" s="286"/>
    </row>
    <row r="77" spans="2:9" s="252" customFormat="1">
      <c r="B77" s="225"/>
      <c r="C77" s="282"/>
      <c r="D77" s="287"/>
      <c r="E77" s="291"/>
      <c r="F77" s="291"/>
      <c r="G77" s="291"/>
      <c r="H77" s="290"/>
      <c r="I77" s="286"/>
    </row>
    <row r="78" spans="2:9" s="252" customFormat="1" ht="13">
      <c r="B78" s="225"/>
      <c r="C78" s="282"/>
      <c r="D78" s="551"/>
      <c r="E78" s="717" t="s">
        <v>194</v>
      </c>
      <c r="F78" s="717"/>
      <c r="G78" s="717"/>
      <c r="H78" s="551"/>
      <c r="I78" s="286"/>
    </row>
    <row r="79" spans="2:9" s="252" customFormat="1" ht="13">
      <c r="B79" s="225"/>
      <c r="C79" s="282"/>
      <c r="D79" s="551"/>
      <c r="E79" s="718"/>
      <c r="F79" s="718"/>
      <c r="G79" s="718"/>
      <c r="H79" s="551"/>
      <c r="I79" s="286"/>
    </row>
    <row r="80" spans="2:9" s="252" customFormat="1" ht="13.5" thickBot="1">
      <c r="C80" s="293"/>
      <c r="D80" s="294"/>
      <c r="E80" s="295"/>
      <c r="F80" s="295"/>
      <c r="G80" s="295"/>
      <c r="H80" s="294"/>
      <c r="I80" s="296"/>
    </row>
    <row r="81" spans="7:7" s="251" customFormat="1" ht="4.9000000000000004" customHeight="1" thickTop="1"/>
    <row r="82" spans="7:7" s="252" customFormat="1"/>
    <row r="83" spans="7:7" s="252" customFormat="1"/>
    <row r="84" spans="7:7" s="252" customFormat="1"/>
    <row r="85" spans="7:7" s="252" customFormat="1">
      <c r="G85" s="225"/>
    </row>
    <row r="86" spans="7:7" s="252" customFormat="1">
      <c r="G86" s="225"/>
    </row>
    <row r="87" spans="7:7" s="252" customFormat="1">
      <c r="G87" s="225"/>
    </row>
    <row r="88" spans="7:7" s="252" customFormat="1">
      <c r="G88" s="225"/>
    </row>
    <row r="89" spans="7:7" s="252" customFormat="1">
      <c r="G89" s="225"/>
    </row>
    <row r="90" spans="7:7" s="252" customFormat="1">
      <c r="G90" s="225"/>
    </row>
    <row r="91" spans="7:7" s="252" customFormat="1">
      <c r="G91" s="225"/>
    </row>
    <row r="92" spans="7:7" s="252" customFormat="1">
      <c r="G92" s="225"/>
    </row>
    <row r="93" spans="7:7" s="252" customFormat="1">
      <c r="G93" s="225"/>
    </row>
    <row r="94" spans="7:7" s="252" customFormat="1">
      <c r="G94" s="225"/>
    </row>
    <row r="95" spans="7:7" s="252" customFormat="1">
      <c r="G95" s="225"/>
    </row>
    <row r="96" spans="7:7" s="252" customFormat="1"/>
    <row r="97" s="252" customFormat="1"/>
    <row r="98" s="252" customFormat="1"/>
    <row r="99" s="252" customFormat="1"/>
    <row r="100" s="252" customFormat="1"/>
    <row r="101" s="252" customFormat="1"/>
    <row r="102" s="252" customFormat="1"/>
    <row r="103" s="252" customFormat="1"/>
    <row r="104" s="252" customFormat="1"/>
    <row r="105" s="252" customFormat="1"/>
    <row r="106" s="252" customFormat="1"/>
    <row r="107" s="252" customFormat="1"/>
    <row r="108" s="252" customFormat="1"/>
    <row r="109" s="252" customFormat="1"/>
    <row r="110" s="252" customFormat="1"/>
    <row r="111" s="252" customFormat="1"/>
    <row r="112" s="252" customFormat="1"/>
    <row r="113" s="252" customFormat="1"/>
    <row r="114" s="252" customFormat="1"/>
    <row r="115" s="252" customFormat="1"/>
    <row r="116" s="252" customFormat="1"/>
    <row r="117" s="252" customFormat="1"/>
    <row r="118" s="252" customFormat="1"/>
    <row r="119" s="252" customFormat="1"/>
    <row r="120" s="252" customFormat="1"/>
    <row r="121" s="252" customFormat="1"/>
    <row r="122" s="252" customFormat="1"/>
    <row r="123" s="252" customFormat="1"/>
    <row r="124" s="252" customFormat="1"/>
    <row r="125" s="252" customFormat="1"/>
    <row r="126" s="252" customFormat="1"/>
    <row r="127" s="252" customFormat="1"/>
    <row r="128" s="252" customFormat="1"/>
    <row r="129" s="252" customFormat="1"/>
    <row r="130" s="252" customFormat="1"/>
    <row r="131" s="252" customFormat="1"/>
    <row r="132" s="252" customFormat="1"/>
    <row r="133" s="252" customFormat="1"/>
    <row r="134" s="252" customFormat="1"/>
    <row r="135" s="252" customFormat="1"/>
    <row r="136" s="252" customFormat="1"/>
    <row r="137" s="252" customFormat="1"/>
    <row r="138" s="252" customFormat="1"/>
    <row r="139" s="252" customFormat="1"/>
    <row r="140" s="252" customFormat="1"/>
    <row r="141" s="252" customFormat="1"/>
    <row r="142" s="252" customFormat="1"/>
    <row r="143" s="252" customFormat="1"/>
    <row r="144" s="252" customFormat="1"/>
    <row r="145" s="252" customFormat="1"/>
    <row r="146" s="252" customFormat="1"/>
    <row r="147" s="252" customFormat="1"/>
    <row r="148" s="252" customFormat="1"/>
    <row r="149" s="252" customFormat="1"/>
    <row r="150" s="252" customFormat="1"/>
    <row r="151" s="252" customFormat="1"/>
    <row r="152" s="252" customFormat="1"/>
    <row r="153" s="252" customFormat="1"/>
    <row r="154" s="252" customFormat="1"/>
    <row r="155" s="252" customFormat="1"/>
    <row r="156" s="252" customFormat="1"/>
    <row r="157" s="252" customFormat="1"/>
    <row r="158" s="252" customFormat="1"/>
    <row r="159" s="252" customFormat="1"/>
    <row r="160" s="252" customFormat="1"/>
    <row r="161" s="252" customFormat="1"/>
    <row r="162" s="252" customFormat="1"/>
    <row r="163" s="252" customFormat="1"/>
    <row r="164" s="252" customFormat="1"/>
    <row r="165" s="252" customFormat="1"/>
    <row r="166" s="252" customFormat="1"/>
    <row r="167" s="252" customFormat="1"/>
    <row r="168" s="252" customFormat="1"/>
    <row r="169" s="252" customFormat="1"/>
    <row r="170" s="252" customFormat="1"/>
    <row r="171" s="252" customFormat="1"/>
    <row r="172" s="252" customFormat="1"/>
    <row r="173" s="252" customFormat="1"/>
    <row r="174" s="252" customFormat="1"/>
    <row r="175" s="252" customFormat="1"/>
    <row r="176" s="252" customFormat="1"/>
    <row r="177" s="252" customFormat="1"/>
    <row r="178" s="252" customFormat="1"/>
    <row r="179" s="252" customFormat="1"/>
    <row r="180" s="252" customFormat="1"/>
    <row r="181" s="252" customFormat="1"/>
    <row r="182" s="252" customFormat="1"/>
    <row r="183" s="252" customFormat="1"/>
    <row r="184" s="252" customFormat="1"/>
    <row r="185" s="252" customFormat="1"/>
    <row r="186" s="252" customFormat="1"/>
    <row r="187" s="252" customFormat="1"/>
    <row r="188" s="252" customFormat="1"/>
    <row r="189" s="252" customFormat="1"/>
    <row r="190" s="252" customFormat="1"/>
    <row r="191" s="252" customFormat="1"/>
    <row r="192" s="252" customFormat="1"/>
    <row r="193" s="252" customFormat="1"/>
    <row r="194" s="252" customFormat="1"/>
    <row r="195" s="252" customFormat="1"/>
    <row r="196" s="252" customFormat="1"/>
    <row r="197" s="252" customFormat="1"/>
    <row r="198" s="252" customFormat="1"/>
    <row r="199" s="252" customFormat="1"/>
    <row r="200" s="252" customFormat="1"/>
    <row r="201" s="252" customFormat="1"/>
    <row r="202" s="252" customFormat="1"/>
    <row r="203" s="252" customFormat="1"/>
    <row r="204" s="252" customFormat="1"/>
    <row r="205" s="252" customFormat="1"/>
    <row r="206" s="252" customFormat="1"/>
    <row r="207" s="252" customFormat="1"/>
    <row r="208" s="252" customFormat="1"/>
    <row r="209" s="252" customFormat="1"/>
    <row r="210" s="252" customFormat="1"/>
    <row r="211" s="252" customFormat="1"/>
    <row r="212" s="252" customFormat="1"/>
    <row r="213" s="252" customFormat="1"/>
    <row r="214" s="252" customFormat="1"/>
    <row r="215" s="252" customFormat="1"/>
    <row r="216" s="252" customFormat="1"/>
    <row r="217" s="252" customFormat="1"/>
    <row r="218" s="252" customFormat="1"/>
    <row r="219" s="252" customFormat="1"/>
    <row r="220" s="252" customFormat="1"/>
    <row r="221" s="252" customFormat="1"/>
    <row r="222" s="252" customFormat="1"/>
    <row r="223" s="252" customFormat="1"/>
    <row r="224" s="252" customFormat="1"/>
    <row r="225" s="252" customFormat="1"/>
    <row r="226" s="252" customFormat="1"/>
    <row r="227" s="252" customFormat="1"/>
    <row r="228" s="252" customFormat="1"/>
    <row r="229" s="252" customFormat="1"/>
    <row r="230" s="252" customFormat="1"/>
    <row r="231" s="252" customFormat="1"/>
    <row r="232" s="252" customFormat="1"/>
    <row r="233" s="252" customFormat="1"/>
  </sheetData>
  <sheetProtection formatCells="0" formatColumns="0" formatRows="0" insertHyperlinks="0"/>
  <mergeCells count="13">
    <mergeCell ref="E78:G78"/>
    <mergeCell ref="E79:G79"/>
    <mergeCell ref="C5:I5"/>
    <mergeCell ref="E11:H11"/>
    <mergeCell ref="E12:H12"/>
    <mergeCell ref="D74:E74"/>
    <mergeCell ref="G74:H74"/>
    <mergeCell ref="D68:E68"/>
    <mergeCell ref="G68:H68"/>
    <mergeCell ref="D69:E69"/>
    <mergeCell ref="G69:H69"/>
    <mergeCell ref="D73:E73"/>
    <mergeCell ref="G73:H73"/>
  </mergeCells>
  <pageMargins left="0.7" right="0.7" top="0.75" bottom="0.75" header="0.3" footer="0.3"/>
  <pageSetup scale="74" orientation="portrait" r:id="rId1"/>
  <ignoredErrors>
    <ignoredError sqref="A1:I6 A36:C61 A7:C32" evalError="1"/>
    <ignoredError xmlns:x16r3="http://schemas.microsoft.com/office/spreadsheetml/2018/08/main" sqref="D62:L73 D36:I61 D7:I26 D32:F32 I32 D31:I31 D30:G30 I30 D28:I29 D27:F27 I27 D75:L78 D74:F74 H74:L74 D80:L83 D79 F79:L79" evalError="1" x16r3:misleadingFormat="1"/>
    <ignoredError xmlns:x16r3="http://schemas.microsoft.com/office/spreadsheetml/2018/08/main" sqref="D84:L90 J36:L46 J7:L32 J48:L61 J47:K47" x16r3:misleadingForma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S95"/>
  <sheetViews>
    <sheetView showGridLines="0" topLeftCell="A6" zoomScale="70" zoomScaleNormal="70" workbookViewId="0">
      <selection activeCell="D10" sqref="D10:F10"/>
    </sheetView>
  </sheetViews>
  <sheetFormatPr baseColWidth="10" defaultColWidth="11.453125" defaultRowHeight="13"/>
  <cols>
    <col min="1" max="1" width="1.7265625" style="206" customWidth="1"/>
    <col min="2" max="2" width="5.1796875" style="206" customWidth="1"/>
    <col min="3" max="3" width="35.26953125" style="212" customWidth="1"/>
    <col min="4" max="4" width="27.453125" style="206" customWidth="1"/>
    <col min="5" max="5" width="25.453125" style="213" customWidth="1"/>
    <col min="6" max="6" width="9" style="206" customWidth="1"/>
    <col min="7" max="7" width="15" style="206" customWidth="1"/>
    <col min="8" max="8" width="22" style="206" customWidth="1"/>
    <col min="9" max="9" width="10.26953125" style="206" customWidth="1"/>
    <col min="10" max="10" width="8.7265625" style="206" hidden="1" customWidth="1"/>
    <col min="11" max="11" width="18.54296875" style="206" customWidth="1"/>
    <col min="12" max="12" width="25.1796875" style="206" customWidth="1"/>
    <col min="13" max="13" width="6.7265625" style="206" customWidth="1"/>
    <col min="14" max="14" width="2.1796875" style="206" customWidth="1"/>
    <col min="15" max="15" width="3.81640625" style="206" customWidth="1"/>
    <col min="16" max="16" width="23.453125" style="206" customWidth="1"/>
    <col min="17" max="16384" width="11.453125" style="206"/>
  </cols>
  <sheetData>
    <row r="1" spans="1:15" ht="15" customHeight="1">
      <c r="A1" s="552"/>
      <c r="B1" s="553"/>
      <c r="C1" s="554"/>
      <c r="D1" s="554"/>
      <c r="E1" s="554"/>
      <c r="F1" s="554"/>
      <c r="G1" s="555"/>
      <c r="H1" s="555"/>
      <c r="I1" s="555"/>
      <c r="J1" s="555"/>
      <c r="K1" s="555"/>
      <c r="L1" s="555"/>
      <c r="M1" s="555"/>
      <c r="N1" s="556"/>
      <c r="O1" s="205"/>
    </row>
    <row r="2" spans="1:15" ht="18.75" customHeight="1">
      <c r="A2" s="552"/>
      <c r="B2" s="557"/>
      <c r="C2" s="558"/>
      <c r="D2" s="792" t="s">
        <v>440</v>
      </c>
      <c r="E2" s="792"/>
      <c r="F2" s="792"/>
      <c r="G2" s="792"/>
      <c r="H2" s="793"/>
      <c r="I2" s="794" t="s">
        <v>441</v>
      </c>
      <c r="J2" s="794"/>
      <c r="K2" s="794"/>
      <c r="L2" s="795" t="str">
        <f>Carátula!G13</f>
        <v>Hernan Garcia</v>
      </c>
      <c r="M2" s="796"/>
      <c r="N2" s="797"/>
      <c r="O2" s="207"/>
    </row>
    <row r="3" spans="1:15" ht="15.75" customHeight="1">
      <c r="A3" s="552"/>
      <c r="B3" s="557"/>
      <c r="C3" s="558"/>
      <c r="D3" s="792"/>
      <c r="E3" s="792"/>
      <c r="F3" s="792"/>
      <c r="G3" s="792"/>
      <c r="H3" s="793"/>
      <c r="I3" s="794" t="s">
        <v>442</v>
      </c>
      <c r="J3" s="794"/>
      <c r="K3" s="794"/>
      <c r="L3" s="798">
        <f>Carátula!G15</f>
        <v>45049</v>
      </c>
      <c r="M3" s="799"/>
      <c r="N3" s="800"/>
      <c r="O3" s="207"/>
    </row>
    <row r="4" spans="1:15" ht="20.5" thickBot="1">
      <c r="A4" s="552"/>
      <c r="B4" s="557"/>
      <c r="C4" s="559"/>
      <c r="D4" s="560"/>
      <c r="E4" s="560"/>
      <c r="F4" s="560"/>
      <c r="G4" s="559"/>
      <c r="H4" s="560"/>
      <c r="I4" s="560"/>
      <c r="J4" s="560"/>
      <c r="K4" s="559"/>
      <c r="L4" s="559"/>
      <c r="M4" s="560"/>
      <c r="N4" s="561"/>
      <c r="O4" s="208"/>
    </row>
    <row r="5" spans="1:15" ht="21.5" thickBot="1">
      <c r="A5" s="552"/>
      <c r="B5" s="765" t="s">
        <v>443</v>
      </c>
      <c r="C5" s="766"/>
      <c r="D5" s="766"/>
      <c r="E5" s="766"/>
      <c r="F5" s="766"/>
      <c r="G5" s="766"/>
      <c r="H5" s="766"/>
      <c r="I5" s="766"/>
      <c r="J5" s="766"/>
      <c r="K5" s="766"/>
      <c r="L5" s="766"/>
      <c r="M5" s="766"/>
      <c r="N5" s="767"/>
      <c r="O5" s="209"/>
    </row>
    <row r="6" spans="1:15" ht="21">
      <c r="A6" s="552"/>
      <c r="B6" s="557"/>
      <c r="C6" s="562"/>
      <c r="D6" s="563"/>
      <c r="E6" s="563"/>
      <c r="F6" s="563"/>
      <c r="G6" s="562"/>
      <c r="H6" s="563"/>
      <c r="I6" s="563"/>
      <c r="J6" s="563"/>
      <c r="K6" s="562"/>
      <c r="L6" s="562"/>
      <c r="M6" s="563"/>
      <c r="N6" s="564"/>
      <c r="O6" s="210"/>
    </row>
    <row r="7" spans="1:15" ht="21">
      <c r="A7" s="552"/>
      <c r="B7" s="557"/>
      <c r="C7" s="565" t="s">
        <v>444</v>
      </c>
      <c r="D7" s="779">
        <f>Carátula!G20</f>
        <v>0</v>
      </c>
      <c r="E7" s="780"/>
      <c r="F7" s="781"/>
      <c r="G7" s="552"/>
      <c r="H7" s="565" t="s">
        <v>445</v>
      </c>
      <c r="I7" s="566"/>
      <c r="J7" s="566"/>
      <c r="K7" s="552"/>
      <c r="L7" s="782"/>
      <c r="M7" s="783"/>
      <c r="N7" s="564"/>
      <c r="O7" s="210"/>
    </row>
    <row r="8" spans="1:15" ht="21">
      <c r="A8" s="552"/>
      <c r="B8" s="557"/>
      <c r="C8" s="565" t="s">
        <v>446</v>
      </c>
      <c r="D8" s="784">
        <f>Carátula!G21</f>
        <v>0</v>
      </c>
      <c r="E8" s="785"/>
      <c r="F8" s="786"/>
      <c r="G8" s="552"/>
      <c r="H8" s="565" t="s">
        <v>447</v>
      </c>
      <c r="I8" s="566"/>
      <c r="J8" s="566"/>
      <c r="K8" s="552"/>
      <c r="L8" s="787">
        <f>Carátula!G86</f>
        <v>21.2</v>
      </c>
      <c r="M8" s="788"/>
      <c r="N8" s="564"/>
      <c r="O8" s="210"/>
    </row>
    <row r="9" spans="1:15" ht="21">
      <c r="A9" s="552"/>
      <c r="B9" s="557"/>
      <c r="C9" s="565" t="s">
        <v>448</v>
      </c>
      <c r="D9" s="789" t="s">
        <v>703</v>
      </c>
      <c r="E9" s="789"/>
      <c r="F9" s="789"/>
      <c r="G9" s="552"/>
      <c r="H9" s="565" t="s">
        <v>449</v>
      </c>
      <c r="I9" s="566"/>
      <c r="J9" s="566"/>
      <c r="K9" s="552"/>
      <c r="L9" s="790" t="str">
        <f>Carátula!K67</f>
        <v>RANCAGUA</v>
      </c>
      <c r="M9" s="791"/>
      <c r="N9" s="564"/>
      <c r="O9" s="210"/>
    </row>
    <row r="10" spans="1:15" ht="21">
      <c r="A10" s="552"/>
      <c r="B10" s="557"/>
      <c r="C10" s="565" t="s">
        <v>450</v>
      </c>
      <c r="D10" s="771"/>
      <c r="E10" s="771"/>
      <c r="F10" s="771"/>
      <c r="G10" s="552"/>
      <c r="H10" s="565" t="s">
        <v>451</v>
      </c>
      <c r="I10" s="566"/>
      <c r="J10" s="566"/>
      <c r="K10" s="552"/>
      <c r="L10" s="772" t="str">
        <f>L9</f>
        <v>RANCAGUA</v>
      </c>
      <c r="M10" s="773"/>
      <c r="N10" s="564"/>
      <c r="O10" s="210"/>
    </row>
    <row r="11" spans="1:15" ht="21">
      <c r="A11" s="552"/>
      <c r="B11" s="557"/>
      <c r="C11" s="562"/>
      <c r="D11" s="774"/>
      <c r="E11" s="775"/>
      <c r="F11" s="775"/>
      <c r="G11" s="552"/>
      <c r="H11" s="565" t="s">
        <v>452</v>
      </c>
      <c r="I11" s="566"/>
      <c r="J11" s="566"/>
      <c r="K11" s="552"/>
      <c r="L11" s="776">
        <f>Carátula!G39</f>
        <v>48</v>
      </c>
      <c r="M11" s="777"/>
      <c r="N11" s="564"/>
      <c r="O11" s="210"/>
    </row>
    <row r="12" spans="1:15" ht="21">
      <c r="A12" s="552"/>
      <c r="B12" s="557"/>
      <c r="C12" s="562"/>
      <c r="D12" s="778"/>
      <c r="E12" s="778"/>
      <c r="F12" s="778"/>
      <c r="G12" s="552"/>
      <c r="H12" s="565" t="s">
        <v>453</v>
      </c>
      <c r="I12" s="566"/>
      <c r="J12" s="566"/>
      <c r="K12" s="552"/>
      <c r="L12" s="731">
        <f>Carátula!K40</f>
        <v>144000</v>
      </c>
      <c r="M12" s="732"/>
      <c r="N12" s="564"/>
      <c r="O12" s="210"/>
    </row>
    <row r="13" spans="1:15" ht="21">
      <c r="A13" s="552"/>
      <c r="B13" s="557"/>
      <c r="C13" s="562"/>
      <c r="D13" s="764"/>
      <c r="E13" s="764"/>
      <c r="F13" s="764"/>
      <c r="G13" s="552"/>
      <c r="H13" s="565" t="s">
        <v>454</v>
      </c>
      <c r="I13" s="566"/>
      <c r="J13" s="566"/>
      <c r="K13" s="552"/>
      <c r="L13" s="731" t="str">
        <f>+Carátula!G16</f>
        <v>Jeanette Cornejo</v>
      </c>
      <c r="M13" s="732"/>
      <c r="N13" s="564"/>
      <c r="O13" s="210"/>
    </row>
    <row r="14" spans="1:15" ht="21.5" thickBot="1">
      <c r="A14" s="552"/>
      <c r="B14" s="557"/>
      <c r="C14" s="567"/>
      <c r="D14" s="568"/>
      <c r="E14" s="568"/>
      <c r="F14" s="568"/>
      <c r="G14" s="567"/>
      <c r="H14" s="568"/>
      <c r="I14" s="568"/>
      <c r="J14" s="568"/>
      <c r="K14" s="567"/>
      <c r="L14" s="567"/>
      <c r="M14" s="568"/>
      <c r="N14" s="569"/>
      <c r="O14" s="210"/>
    </row>
    <row r="15" spans="1:15" ht="21.5" thickBot="1">
      <c r="A15" s="552"/>
      <c r="B15" s="765" t="s">
        <v>455</v>
      </c>
      <c r="C15" s="766" t="s">
        <v>456</v>
      </c>
      <c r="D15" s="766"/>
      <c r="E15" s="766"/>
      <c r="F15" s="766"/>
      <c r="G15" s="766"/>
      <c r="H15" s="766"/>
      <c r="I15" s="766"/>
      <c r="J15" s="766"/>
      <c r="K15" s="766"/>
      <c r="L15" s="766"/>
      <c r="M15" s="766"/>
      <c r="N15" s="767"/>
      <c r="O15" s="209"/>
    </row>
    <row r="16" spans="1:15" ht="20">
      <c r="A16" s="552"/>
      <c r="B16" s="557"/>
      <c r="C16" s="559"/>
      <c r="D16" s="560"/>
      <c r="E16" s="560"/>
      <c r="F16" s="560"/>
      <c r="G16" s="560"/>
      <c r="H16" s="560"/>
      <c r="I16" s="560"/>
      <c r="J16" s="560"/>
      <c r="K16" s="559"/>
      <c r="L16" s="559"/>
      <c r="M16" s="560"/>
      <c r="N16" s="561"/>
      <c r="O16" s="208"/>
    </row>
    <row r="17" spans="1:19" ht="21">
      <c r="A17" s="552"/>
      <c r="B17" s="557"/>
      <c r="C17" s="570" t="s">
        <v>457</v>
      </c>
      <c r="D17" s="760" t="s">
        <v>700</v>
      </c>
      <c r="E17" s="761"/>
      <c r="F17" s="762"/>
      <c r="G17" s="560"/>
      <c r="H17" s="768" t="s">
        <v>458</v>
      </c>
      <c r="I17" s="768"/>
      <c r="J17" s="768"/>
      <c r="K17" s="769"/>
      <c r="L17" s="770" t="s">
        <v>693</v>
      </c>
      <c r="M17" s="770"/>
      <c r="N17" s="561"/>
      <c r="O17" s="208"/>
    </row>
    <row r="18" spans="1:19" ht="21">
      <c r="A18" s="552"/>
      <c r="B18" s="557"/>
      <c r="C18" s="571" t="s">
        <v>151</v>
      </c>
      <c r="D18" s="756" t="str">
        <f>Carátula!F29</f>
        <v>CAMIONETA</v>
      </c>
      <c r="E18" s="757"/>
      <c r="F18" s="758"/>
      <c r="G18" s="552"/>
      <c r="H18" s="552"/>
      <c r="I18" s="566"/>
      <c r="J18" s="566"/>
      <c r="K18" s="572"/>
      <c r="L18" s="552"/>
      <c r="M18" s="566"/>
      <c r="N18" s="561"/>
      <c r="O18" s="208"/>
    </row>
    <row r="19" spans="1:19" ht="21">
      <c r="A19" s="552"/>
      <c r="B19" s="557"/>
      <c r="C19" s="573" t="s">
        <v>152</v>
      </c>
      <c r="D19" s="759" t="str">
        <f>Carátula!F33</f>
        <v>VOLKSWAGEN</v>
      </c>
      <c r="E19" s="757"/>
      <c r="F19" s="758"/>
      <c r="G19" s="574" t="s">
        <v>459</v>
      </c>
      <c r="H19" s="575">
        <v>2023</v>
      </c>
      <c r="I19" s="576"/>
      <c r="J19" s="576"/>
      <c r="K19" s="576"/>
      <c r="L19" s="552"/>
      <c r="M19" s="577"/>
      <c r="N19" s="561"/>
      <c r="O19" s="208"/>
    </row>
    <row r="20" spans="1:19" ht="21">
      <c r="A20" s="552"/>
      <c r="B20" s="557"/>
      <c r="C20" s="573" t="s">
        <v>154</v>
      </c>
      <c r="D20" s="759" t="str">
        <f>Carátula!F35</f>
        <v>AMAROK COMFORTLINE 4x4</v>
      </c>
      <c r="E20" s="757"/>
      <c r="F20" s="758"/>
      <c r="G20" s="560"/>
      <c r="H20" s="578"/>
      <c r="I20" s="576"/>
      <c r="J20" s="576"/>
      <c r="K20" s="576"/>
      <c r="L20" s="579"/>
      <c r="M20" s="577"/>
      <c r="N20" s="561"/>
      <c r="O20" s="208"/>
    </row>
    <row r="21" spans="1:19" ht="21">
      <c r="A21" s="552"/>
      <c r="B21" s="557"/>
      <c r="C21" s="573" t="s">
        <v>460</v>
      </c>
      <c r="D21" s="760" t="s">
        <v>701</v>
      </c>
      <c r="E21" s="761"/>
      <c r="F21" s="762"/>
      <c r="G21" s="580" t="s">
        <v>229</v>
      </c>
      <c r="H21" s="581">
        <f>Carátula!G38</f>
        <v>1</v>
      </c>
      <c r="I21" s="582"/>
      <c r="J21" s="582"/>
      <c r="K21" s="583" t="s">
        <v>461</v>
      </c>
      <c r="L21" s="763">
        <f>Carátula!G45</f>
        <v>25417500</v>
      </c>
      <c r="M21" s="763"/>
      <c r="N21" s="561"/>
      <c r="O21" s="208"/>
    </row>
    <row r="22" spans="1:19" ht="21">
      <c r="A22" s="552"/>
      <c r="B22" s="557"/>
      <c r="C22" s="573" t="s">
        <v>462</v>
      </c>
      <c r="D22" s="760" t="s">
        <v>702</v>
      </c>
      <c r="E22" s="761"/>
      <c r="F22" s="762"/>
      <c r="G22" s="559"/>
      <c r="H22" s="578"/>
      <c r="I22" s="577"/>
      <c r="J22" s="577"/>
      <c r="K22" s="559"/>
      <c r="L22" s="578"/>
      <c r="M22" s="560"/>
      <c r="N22" s="561"/>
      <c r="O22" s="208"/>
    </row>
    <row r="23" spans="1:19" ht="21.5" thickBot="1">
      <c r="A23" s="552"/>
      <c r="B23" s="584"/>
      <c r="C23" s="754" t="s">
        <v>463</v>
      </c>
      <c r="D23" s="754"/>
      <c r="E23" s="754"/>
      <c r="F23" s="754"/>
      <c r="G23" s="754"/>
      <c r="H23" s="754"/>
      <c r="I23" s="754"/>
      <c r="J23" s="754"/>
      <c r="K23" s="754"/>
      <c r="L23" s="754"/>
      <c r="M23" s="754"/>
      <c r="N23" s="755"/>
      <c r="O23" s="211"/>
    </row>
    <row r="24" spans="1:19" ht="20.5" thickBot="1">
      <c r="A24" s="552"/>
      <c r="B24" s="552"/>
      <c r="C24" s="585"/>
      <c r="D24" s="586"/>
      <c r="E24" s="587"/>
      <c r="F24" s="552"/>
      <c r="G24" s="552"/>
      <c r="H24" s="552"/>
      <c r="I24" s="552"/>
      <c r="J24" s="552"/>
      <c r="K24" s="552"/>
      <c r="L24" s="552"/>
      <c r="M24" s="552"/>
      <c r="N24" s="552"/>
    </row>
    <row r="25" spans="1:19" ht="20">
      <c r="A25" s="552"/>
      <c r="B25" s="588" t="s">
        <v>144</v>
      </c>
      <c r="C25" s="735" t="s">
        <v>506</v>
      </c>
      <c r="D25" s="735"/>
      <c r="E25" s="735"/>
      <c r="F25" s="736" t="s">
        <v>466</v>
      </c>
      <c r="G25" s="736"/>
      <c r="H25" s="736"/>
      <c r="I25" s="736" t="s">
        <v>467</v>
      </c>
      <c r="J25" s="736"/>
      <c r="K25" s="736"/>
      <c r="L25" s="736"/>
      <c r="M25" s="736"/>
      <c r="N25" s="737"/>
      <c r="O25" s="215"/>
      <c r="P25" s="214" t="s">
        <v>464</v>
      </c>
      <c r="Q25" s="214" t="s">
        <v>465</v>
      </c>
    </row>
    <row r="26" spans="1:19" ht="20">
      <c r="A26" s="552"/>
      <c r="B26" s="589">
        <v>1</v>
      </c>
      <c r="C26" s="723"/>
      <c r="D26" s="724"/>
      <c r="E26" s="725"/>
      <c r="F26" s="726"/>
      <c r="G26" s="727"/>
      <c r="H26" s="728"/>
      <c r="I26" s="729"/>
      <c r="J26" s="729"/>
      <c r="K26" s="729"/>
      <c r="L26" s="729"/>
      <c r="M26" s="729"/>
      <c r="N26" s="730"/>
      <c r="O26" s="218"/>
      <c r="P26" s="216" t="s">
        <v>98</v>
      </c>
      <c r="Q26" s="217">
        <v>31395</v>
      </c>
    </row>
    <row r="27" spans="1:19" ht="20">
      <c r="A27" s="552"/>
      <c r="B27" s="589">
        <v>2</v>
      </c>
      <c r="C27" s="723"/>
      <c r="D27" s="724"/>
      <c r="E27" s="725"/>
      <c r="F27" s="726"/>
      <c r="G27" s="727"/>
      <c r="H27" s="728"/>
      <c r="I27" s="729"/>
      <c r="J27" s="729"/>
      <c r="K27" s="729"/>
      <c r="L27" s="729"/>
      <c r="M27" s="729"/>
      <c r="N27" s="730"/>
      <c r="O27" s="218"/>
      <c r="P27" s="216" t="s">
        <v>99</v>
      </c>
      <c r="Q27" s="217">
        <v>31395</v>
      </c>
      <c r="S27" s="219"/>
    </row>
    <row r="28" spans="1:19" ht="20">
      <c r="A28" s="552"/>
      <c r="B28" s="589">
        <v>3</v>
      </c>
      <c r="C28" s="723"/>
      <c r="D28" s="724"/>
      <c r="E28" s="725"/>
      <c r="F28" s="726"/>
      <c r="G28" s="727"/>
      <c r="H28" s="728"/>
      <c r="I28" s="729"/>
      <c r="J28" s="729"/>
      <c r="K28" s="729"/>
      <c r="L28" s="729"/>
      <c r="M28" s="729"/>
      <c r="N28" s="730"/>
      <c r="O28" s="218"/>
      <c r="P28" s="216" t="s">
        <v>100</v>
      </c>
      <c r="Q28" s="217">
        <v>36750</v>
      </c>
      <c r="S28" s="219"/>
    </row>
    <row r="29" spans="1:19" ht="20">
      <c r="A29" s="552"/>
      <c r="B29" s="589">
        <v>4</v>
      </c>
      <c r="C29" s="723"/>
      <c r="D29" s="724"/>
      <c r="E29" s="725"/>
      <c r="F29" s="726"/>
      <c r="G29" s="727"/>
      <c r="H29" s="728"/>
      <c r="I29" s="729"/>
      <c r="J29" s="729"/>
      <c r="K29" s="729"/>
      <c r="L29" s="729"/>
      <c r="M29" s="729"/>
      <c r="N29" s="730"/>
      <c r="O29" s="218"/>
      <c r="P29" s="216" t="s">
        <v>102</v>
      </c>
      <c r="Q29" s="217">
        <v>21000</v>
      </c>
      <c r="S29" s="219"/>
    </row>
    <row r="30" spans="1:19" ht="20">
      <c r="A30" s="552"/>
      <c r="B30" s="589">
        <v>5</v>
      </c>
      <c r="C30" s="723"/>
      <c r="D30" s="724"/>
      <c r="E30" s="725"/>
      <c r="F30" s="726"/>
      <c r="G30" s="727"/>
      <c r="H30" s="728"/>
      <c r="I30" s="729"/>
      <c r="J30" s="729"/>
      <c r="K30" s="729"/>
      <c r="L30" s="729"/>
      <c r="M30" s="729"/>
      <c r="N30" s="730"/>
      <c r="O30" s="218"/>
      <c r="P30" s="216" t="s">
        <v>104</v>
      </c>
      <c r="Q30" s="217">
        <v>36750</v>
      </c>
      <c r="S30" s="219"/>
    </row>
    <row r="31" spans="1:19" ht="20">
      <c r="A31" s="552"/>
      <c r="B31" s="589">
        <v>6</v>
      </c>
      <c r="C31" s="723"/>
      <c r="D31" s="724"/>
      <c r="E31" s="725"/>
      <c r="F31" s="726"/>
      <c r="G31" s="727"/>
      <c r="H31" s="728"/>
      <c r="I31" s="751"/>
      <c r="J31" s="752"/>
      <c r="K31" s="752"/>
      <c r="L31" s="752"/>
      <c r="M31" s="752"/>
      <c r="N31" s="753"/>
      <c r="O31" s="218"/>
      <c r="P31" s="216" t="s">
        <v>106</v>
      </c>
      <c r="Q31" s="217">
        <v>36750</v>
      </c>
    </row>
    <row r="32" spans="1:19" ht="20">
      <c r="A32" s="552"/>
      <c r="B32" s="589">
        <v>7</v>
      </c>
      <c r="C32" s="723"/>
      <c r="D32" s="724"/>
      <c r="E32" s="725"/>
      <c r="F32" s="726"/>
      <c r="G32" s="727"/>
      <c r="H32" s="728"/>
      <c r="I32" s="751"/>
      <c r="J32" s="752"/>
      <c r="K32" s="752"/>
      <c r="L32" s="752"/>
      <c r="M32" s="752"/>
      <c r="N32" s="753"/>
      <c r="O32" s="218"/>
      <c r="P32" s="216" t="s">
        <v>468</v>
      </c>
      <c r="Q32" s="217">
        <v>76000</v>
      </c>
    </row>
    <row r="33" spans="1:17" ht="20">
      <c r="A33" s="552"/>
      <c r="B33" s="589">
        <v>8</v>
      </c>
      <c r="C33" s="723"/>
      <c r="D33" s="724"/>
      <c r="E33" s="725"/>
      <c r="F33" s="726"/>
      <c r="G33" s="727"/>
      <c r="H33" s="728"/>
      <c r="I33" s="751"/>
      <c r="J33" s="752"/>
      <c r="K33" s="752"/>
      <c r="L33" s="752"/>
      <c r="M33" s="752"/>
      <c r="N33" s="753"/>
      <c r="O33" s="218"/>
      <c r="P33" s="216" t="s">
        <v>469</v>
      </c>
      <c r="Q33" s="217">
        <v>89000</v>
      </c>
    </row>
    <row r="34" spans="1:17" ht="20">
      <c r="A34" s="552"/>
      <c r="B34" s="589">
        <v>9</v>
      </c>
      <c r="C34" s="723"/>
      <c r="D34" s="724"/>
      <c r="E34" s="725"/>
      <c r="F34" s="726"/>
      <c r="G34" s="727"/>
      <c r="H34" s="728"/>
      <c r="I34" s="751"/>
      <c r="J34" s="752"/>
      <c r="K34" s="752"/>
      <c r="L34" s="752"/>
      <c r="M34" s="752"/>
      <c r="N34" s="753"/>
      <c r="O34" s="218"/>
      <c r="P34" s="216" t="s">
        <v>108</v>
      </c>
      <c r="Q34" s="217">
        <v>99000</v>
      </c>
    </row>
    <row r="35" spans="1:17" ht="20">
      <c r="A35" s="552"/>
      <c r="B35" s="589">
        <v>10</v>
      </c>
      <c r="C35" s="723"/>
      <c r="D35" s="724"/>
      <c r="E35" s="725"/>
      <c r="F35" s="726"/>
      <c r="G35" s="727"/>
      <c r="H35" s="728"/>
      <c r="I35" s="751"/>
      <c r="J35" s="752"/>
      <c r="K35" s="752"/>
      <c r="L35" s="752"/>
      <c r="M35" s="752"/>
      <c r="N35" s="753"/>
      <c r="O35" s="218"/>
      <c r="P35" s="216" t="s">
        <v>101</v>
      </c>
      <c r="Q35" s="217">
        <v>64050</v>
      </c>
    </row>
    <row r="36" spans="1:17" ht="20">
      <c r="A36" s="552"/>
      <c r="B36" s="589">
        <v>11</v>
      </c>
      <c r="C36" s="723"/>
      <c r="D36" s="724"/>
      <c r="E36" s="725"/>
      <c r="F36" s="726"/>
      <c r="G36" s="727"/>
      <c r="H36" s="728"/>
      <c r="I36" s="751"/>
      <c r="J36" s="752"/>
      <c r="K36" s="752"/>
      <c r="L36" s="752"/>
      <c r="M36" s="752"/>
      <c r="N36" s="753"/>
      <c r="O36" s="218"/>
      <c r="P36" s="216" t="s">
        <v>103</v>
      </c>
      <c r="Q36" s="217">
        <v>84000</v>
      </c>
    </row>
    <row r="37" spans="1:17" ht="20">
      <c r="A37" s="552"/>
      <c r="B37" s="589">
        <v>12</v>
      </c>
      <c r="C37" s="733"/>
      <c r="D37" s="733"/>
      <c r="E37" s="733"/>
      <c r="F37" s="734"/>
      <c r="G37" s="734"/>
      <c r="H37" s="734"/>
      <c r="I37" s="729"/>
      <c r="J37" s="729"/>
      <c r="K37" s="729"/>
      <c r="L37" s="729"/>
      <c r="M37" s="729"/>
      <c r="N37" s="730"/>
      <c r="O37" s="218"/>
      <c r="P37" s="220" t="s">
        <v>105</v>
      </c>
      <c r="Q37" s="217">
        <v>23625</v>
      </c>
    </row>
    <row r="38" spans="1:17" ht="20">
      <c r="A38" s="552"/>
      <c r="B38" s="589">
        <v>13</v>
      </c>
      <c r="C38" s="733"/>
      <c r="D38" s="733"/>
      <c r="E38" s="733"/>
      <c r="F38" s="734"/>
      <c r="G38" s="734"/>
      <c r="H38" s="734"/>
      <c r="I38" s="729"/>
      <c r="J38" s="729"/>
      <c r="K38" s="729"/>
      <c r="L38" s="729"/>
      <c r="M38" s="729"/>
      <c r="N38" s="730"/>
      <c r="O38" s="218"/>
      <c r="P38" s="216" t="s">
        <v>111</v>
      </c>
      <c r="Q38" s="217">
        <v>47250</v>
      </c>
    </row>
    <row r="39" spans="1:17" ht="20">
      <c r="A39" s="552"/>
      <c r="B39" s="589">
        <v>14</v>
      </c>
      <c r="C39" s="733"/>
      <c r="D39" s="733"/>
      <c r="E39" s="733"/>
      <c r="F39" s="734"/>
      <c r="G39" s="734"/>
      <c r="H39" s="734"/>
      <c r="I39" s="729"/>
      <c r="J39" s="729"/>
      <c r="K39" s="729"/>
      <c r="L39" s="729"/>
      <c r="M39" s="729"/>
      <c r="N39" s="730"/>
      <c r="O39" s="218"/>
      <c r="P39" s="216" t="s">
        <v>112</v>
      </c>
      <c r="Q39" s="217">
        <v>66150</v>
      </c>
    </row>
    <row r="40" spans="1:17" ht="20">
      <c r="A40" s="552"/>
      <c r="B40" s="589">
        <v>15</v>
      </c>
      <c r="C40" s="733"/>
      <c r="D40" s="733"/>
      <c r="E40" s="733"/>
      <c r="F40" s="734"/>
      <c r="G40" s="734"/>
      <c r="H40" s="734"/>
      <c r="I40" s="729"/>
      <c r="J40" s="729"/>
      <c r="K40" s="729"/>
      <c r="L40" s="729"/>
      <c r="M40" s="729"/>
      <c r="N40" s="730"/>
      <c r="O40" s="218"/>
      <c r="P40" s="216" t="s">
        <v>113</v>
      </c>
      <c r="Q40" s="217">
        <v>65000</v>
      </c>
    </row>
    <row r="41" spans="1:17" ht="20">
      <c r="A41" s="552"/>
      <c r="B41" s="589">
        <v>16</v>
      </c>
      <c r="C41" s="733"/>
      <c r="D41" s="733"/>
      <c r="E41" s="733"/>
      <c r="F41" s="734"/>
      <c r="G41" s="734"/>
      <c r="H41" s="734"/>
      <c r="I41" s="729"/>
      <c r="J41" s="729"/>
      <c r="K41" s="729"/>
      <c r="L41" s="729"/>
      <c r="M41" s="729"/>
      <c r="N41" s="730"/>
      <c r="O41" s="218"/>
      <c r="P41" s="216" t="s">
        <v>114</v>
      </c>
      <c r="Q41" s="217"/>
    </row>
    <row r="42" spans="1:17" ht="20">
      <c r="A42" s="552"/>
      <c r="B42" s="589">
        <v>17</v>
      </c>
      <c r="C42" s="733"/>
      <c r="D42" s="733"/>
      <c r="E42" s="733"/>
      <c r="F42" s="734"/>
      <c r="G42" s="734"/>
      <c r="H42" s="734"/>
      <c r="I42" s="729"/>
      <c r="J42" s="729"/>
      <c r="K42" s="729"/>
      <c r="L42" s="729"/>
      <c r="M42" s="729"/>
      <c r="N42" s="730"/>
      <c r="O42" s="218"/>
      <c r="P42" s="216" t="s">
        <v>115</v>
      </c>
      <c r="Q42" s="217">
        <v>49900</v>
      </c>
    </row>
    <row r="43" spans="1:17" ht="20">
      <c r="A43" s="552"/>
      <c r="B43" s="589">
        <v>18</v>
      </c>
      <c r="C43" s="733"/>
      <c r="D43" s="733"/>
      <c r="E43" s="733"/>
      <c r="F43" s="734"/>
      <c r="G43" s="734"/>
      <c r="H43" s="734"/>
      <c r="I43" s="729"/>
      <c r="J43" s="729"/>
      <c r="K43" s="729"/>
      <c r="L43" s="729"/>
      <c r="M43" s="729"/>
      <c r="N43" s="730"/>
      <c r="O43" s="218"/>
      <c r="P43" s="216" t="s">
        <v>107</v>
      </c>
      <c r="Q43" s="217">
        <v>47250</v>
      </c>
    </row>
    <row r="44" spans="1:17" ht="20">
      <c r="A44" s="552"/>
      <c r="B44" s="589">
        <v>19</v>
      </c>
      <c r="C44" s="733"/>
      <c r="D44" s="733"/>
      <c r="E44" s="733"/>
      <c r="F44" s="734"/>
      <c r="G44" s="734"/>
      <c r="H44" s="734"/>
      <c r="I44" s="729"/>
      <c r="J44" s="729"/>
      <c r="K44" s="729"/>
      <c r="L44" s="729"/>
      <c r="M44" s="729"/>
      <c r="N44" s="730"/>
      <c r="O44" s="218"/>
      <c r="P44" s="216" t="s">
        <v>116</v>
      </c>
      <c r="Q44" s="217">
        <v>130000</v>
      </c>
    </row>
    <row r="45" spans="1:17" ht="20.5" thickBot="1">
      <c r="A45" s="552"/>
      <c r="B45" s="589">
        <v>20</v>
      </c>
      <c r="C45" s="733"/>
      <c r="D45" s="733"/>
      <c r="E45" s="733"/>
      <c r="F45" s="734"/>
      <c r="G45" s="734"/>
      <c r="H45" s="734"/>
      <c r="I45" s="729"/>
      <c r="J45" s="729"/>
      <c r="K45" s="729"/>
      <c r="L45" s="729"/>
      <c r="M45" s="729"/>
      <c r="N45" s="730"/>
      <c r="O45" s="218"/>
      <c r="P45" s="216" t="s">
        <v>109</v>
      </c>
      <c r="Q45" s="217">
        <v>35700</v>
      </c>
    </row>
    <row r="46" spans="1:17" ht="20.5" thickBot="1">
      <c r="A46" s="552"/>
      <c r="B46" s="738" t="s">
        <v>122</v>
      </c>
      <c r="C46" s="739"/>
      <c r="D46" s="739"/>
      <c r="E46" s="740"/>
      <c r="F46" s="741">
        <f>SUM(F26:H45)</f>
        <v>0</v>
      </c>
      <c r="G46" s="741"/>
      <c r="H46" s="741"/>
      <c r="I46" s="742"/>
      <c r="J46" s="743"/>
      <c r="K46" s="743"/>
      <c r="L46" s="743"/>
      <c r="M46" s="743"/>
      <c r="N46" s="744"/>
      <c r="O46" s="223"/>
      <c r="P46" s="221" t="s">
        <v>117</v>
      </c>
      <c r="Q46" s="222">
        <v>160000</v>
      </c>
    </row>
    <row r="47" spans="1:17" ht="20.5" thickBot="1">
      <c r="A47" s="552"/>
      <c r="B47" s="552"/>
      <c r="C47" s="585"/>
      <c r="D47" s="552"/>
      <c r="E47" s="590"/>
      <c r="F47" s="552"/>
      <c r="G47" s="552"/>
      <c r="H47" s="552"/>
      <c r="I47" s="591"/>
      <c r="J47" s="552"/>
      <c r="K47" s="552"/>
      <c r="L47" s="552"/>
      <c r="M47" s="552"/>
      <c r="N47" s="552"/>
      <c r="P47" s="216" t="s">
        <v>118</v>
      </c>
      <c r="Q47" s="217">
        <v>70000</v>
      </c>
    </row>
    <row r="48" spans="1:17" ht="20">
      <c r="A48" s="552"/>
      <c r="B48" s="588" t="s">
        <v>144</v>
      </c>
      <c r="C48" s="735" t="s">
        <v>507</v>
      </c>
      <c r="D48" s="735"/>
      <c r="E48" s="735"/>
      <c r="F48" s="736" t="s">
        <v>466</v>
      </c>
      <c r="G48" s="736"/>
      <c r="H48" s="736"/>
      <c r="I48" s="736" t="s">
        <v>467</v>
      </c>
      <c r="J48" s="736"/>
      <c r="K48" s="736"/>
      <c r="L48" s="736"/>
      <c r="M48" s="736"/>
      <c r="N48" s="737"/>
      <c r="O48" s="215"/>
      <c r="P48" s="216" t="s">
        <v>119</v>
      </c>
      <c r="Q48" s="217">
        <v>95000</v>
      </c>
    </row>
    <row r="49" spans="1:17" ht="20">
      <c r="A49" s="552"/>
      <c r="B49" s="589">
        <v>1</v>
      </c>
      <c r="C49" s="723"/>
      <c r="D49" s="724"/>
      <c r="E49" s="725"/>
      <c r="F49" s="726"/>
      <c r="G49" s="727"/>
      <c r="H49" s="728"/>
      <c r="I49" s="729"/>
      <c r="J49" s="729"/>
      <c r="K49" s="729"/>
      <c r="L49" s="729"/>
      <c r="M49" s="729"/>
      <c r="N49" s="730"/>
      <c r="O49" s="218"/>
      <c r="P49" s="216" t="s">
        <v>120</v>
      </c>
      <c r="Q49" s="217">
        <v>157500</v>
      </c>
    </row>
    <row r="50" spans="1:17" ht="20">
      <c r="A50" s="552"/>
      <c r="B50" s="589">
        <v>2</v>
      </c>
      <c r="C50" s="723"/>
      <c r="D50" s="724"/>
      <c r="E50" s="725"/>
      <c r="F50" s="726"/>
      <c r="G50" s="727"/>
      <c r="H50" s="728"/>
      <c r="I50" s="729"/>
      <c r="J50" s="729"/>
      <c r="K50" s="729"/>
      <c r="L50" s="729"/>
      <c r="M50" s="729"/>
      <c r="N50" s="730"/>
      <c r="O50" s="218"/>
      <c r="P50" s="216" t="s">
        <v>121</v>
      </c>
      <c r="Q50" s="217">
        <v>73500</v>
      </c>
    </row>
    <row r="51" spans="1:17" ht="20">
      <c r="A51" s="552"/>
      <c r="B51" s="589">
        <v>3</v>
      </c>
      <c r="C51" s="723"/>
      <c r="D51" s="724"/>
      <c r="E51" s="725"/>
      <c r="F51" s="726"/>
      <c r="G51" s="727"/>
      <c r="H51" s="728"/>
      <c r="I51" s="729"/>
      <c r="J51" s="729"/>
      <c r="K51" s="729"/>
      <c r="L51" s="729"/>
      <c r="M51" s="729"/>
      <c r="N51" s="730"/>
      <c r="O51" s="218"/>
      <c r="P51" s="216" t="s">
        <v>123</v>
      </c>
      <c r="Q51" s="217">
        <v>150000</v>
      </c>
    </row>
    <row r="52" spans="1:17" ht="20">
      <c r="A52" s="552"/>
      <c r="B52" s="589">
        <v>4</v>
      </c>
      <c r="C52" s="723"/>
      <c r="D52" s="724"/>
      <c r="E52" s="725"/>
      <c r="F52" s="726"/>
      <c r="G52" s="727"/>
      <c r="H52" s="728"/>
      <c r="I52" s="729"/>
      <c r="J52" s="729"/>
      <c r="K52" s="729"/>
      <c r="L52" s="729"/>
      <c r="M52" s="729"/>
      <c r="N52" s="730"/>
      <c r="O52" s="218"/>
      <c r="P52" s="216" t="s">
        <v>124</v>
      </c>
      <c r="Q52" s="217">
        <v>45000</v>
      </c>
    </row>
    <row r="53" spans="1:17" ht="20">
      <c r="A53" s="552"/>
      <c r="B53" s="589">
        <v>5</v>
      </c>
      <c r="C53" s="723"/>
      <c r="D53" s="724"/>
      <c r="E53" s="725"/>
      <c r="F53" s="726"/>
      <c r="G53" s="727"/>
      <c r="H53" s="728"/>
      <c r="I53" s="729"/>
      <c r="J53" s="729"/>
      <c r="K53" s="729"/>
      <c r="L53" s="729"/>
      <c r="M53" s="729"/>
      <c r="N53" s="730"/>
      <c r="O53" s="218"/>
      <c r="P53" s="216" t="s">
        <v>471</v>
      </c>
      <c r="Q53" s="217">
        <v>450000</v>
      </c>
    </row>
    <row r="54" spans="1:17" ht="20">
      <c r="A54" s="552"/>
      <c r="B54" s="589">
        <v>6</v>
      </c>
      <c r="C54" s="723"/>
      <c r="D54" s="724"/>
      <c r="E54" s="725"/>
      <c r="F54" s="726"/>
      <c r="G54" s="727"/>
      <c r="H54" s="728"/>
      <c r="I54" s="751"/>
      <c r="J54" s="752"/>
      <c r="K54" s="752"/>
      <c r="L54" s="752"/>
      <c r="M54" s="752"/>
      <c r="N54" s="753"/>
      <c r="O54" s="218"/>
      <c r="P54" s="216" t="s">
        <v>125</v>
      </c>
      <c r="Q54" s="217"/>
    </row>
    <row r="55" spans="1:17" ht="20">
      <c r="A55" s="552"/>
      <c r="B55" s="589">
        <v>7</v>
      </c>
      <c r="C55" s="723"/>
      <c r="D55" s="724"/>
      <c r="E55" s="725"/>
      <c r="F55" s="726"/>
      <c r="G55" s="727"/>
      <c r="H55" s="728"/>
      <c r="I55" s="751"/>
      <c r="J55" s="752"/>
      <c r="K55" s="752"/>
      <c r="L55" s="752"/>
      <c r="M55" s="752"/>
      <c r="N55" s="753"/>
      <c r="O55" s="218"/>
      <c r="P55" s="216" t="s">
        <v>472</v>
      </c>
      <c r="Q55" s="217">
        <v>300000</v>
      </c>
    </row>
    <row r="56" spans="1:17" ht="20">
      <c r="A56" s="552"/>
      <c r="B56" s="589">
        <v>8</v>
      </c>
      <c r="C56" s="723"/>
      <c r="D56" s="724"/>
      <c r="E56" s="725"/>
      <c r="F56" s="726"/>
      <c r="G56" s="727"/>
      <c r="H56" s="728"/>
      <c r="I56" s="751"/>
      <c r="J56" s="752"/>
      <c r="K56" s="752"/>
      <c r="L56" s="752"/>
      <c r="M56" s="752"/>
      <c r="N56" s="753"/>
      <c r="O56" s="218"/>
      <c r="P56" s="216" t="s">
        <v>126</v>
      </c>
      <c r="Q56" s="217">
        <v>80000</v>
      </c>
    </row>
    <row r="57" spans="1:17" ht="20">
      <c r="A57" s="552"/>
      <c r="B57" s="589">
        <v>9</v>
      </c>
      <c r="C57" s="723"/>
      <c r="D57" s="724"/>
      <c r="E57" s="725"/>
      <c r="F57" s="726"/>
      <c r="G57" s="727"/>
      <c r="H57" s="728"/>
      <c r="I57" s="751"/>
      <c r="J57" s="752"/>
      <c r="K57" s="752"/>
      <c r="L57" s="752"/>
      <c r="M57" s="752"/>
      <c r="N57" s="753"/>
      <c r="O57" s="218"/>
      <c r="P57" s="216" t="s">
        <v>110</v>
      </c>
      <c r="Q57" s="217">
        <v>47250</v>
      </c>
    </row>
    <row r="58" spans="1:17" ht="20">
      <c r="A58" s="552"/>
      <c r="B58" s="589">
        <v>10</v>
      </c>
      <c r="C58" s="723"/>
      <c r="D58" s="724"/>
      <c r="E58" s="725"/>
      <c r="F58" s="726"/>
      <c r="G58" s="727"/>
      <c r="H58" s="728"/>
      <c r="I58" s="751"/>
      <c r="J58" s="752"/>
      <c r="K58" s="752"/>
      <c r="L58" s="752"/>
      <c r="M58" s="752"/>
      <c r="N58" s="753"/>
      <c r="O58" s="218"/>
      <c r="P58" s="216" t="s">
        <v>127</v>
      </c>
      <c r="Q58" s="217">
        <v>250000</v>
      </c>
    </row>
    <row r="59" spans="1:17" ht="20">
      <c r="A59" s="552"/>
      <c r="B59" s="589">
        <v>11</v>
      </c>
      <c r="C59" s="723"/>
      <c r="D59" s="724"/>
      <c r="E59" s="725"/>
      <c r="F59" s="726"/>
      <c r="G59" s="727"/>
      <c r="H59" s="728"/>
      <c r="I59" s="751"/>
      <c r="J59" s="752"/>
      <c r="K59" s="752"/>
      <c r="L59" s="752"/>
      <c r="M59" s="752"/>
      <c r="N59" s="753"/>
      <c r="O59" s="218"/>
      <c r="P59" s="216" t="s">
        <v>128</v>
      </c>
      <c r="Q59" s="217">
        <v>97250</v>
      </c>
    </row>
    <row r="60" spans="1:17" ht="20">
      <c r="A60" s="552"/>
      <c r="B60" s="589">
        <v>12</v>
      </c>
      <c r="C60" s="733"/>
      <c r="D60" s="733"/>
      <c r="E60" s="733"/>
      <c r="F60" s="734"/>
      <c r="G60" s="734"/>
      <c r="H60" s="734"/>
      <c r="I60" s="729"/>
      <c r="J60" s="729"/>
      <c r="K60" s="729"/>
      <c r="L60" s="729"/>
      <c r="M60" s="729"/>
      <c r="N60" s="730"/>
      <c r="O60" s="218"/>
      <c r="P60" s="216" t="s">
        <v>129</v>
      </c>
      <c r="Q60" s="217">
        <v>27300</v>
      </c>
    </row>
    <row r="61" spans="1:17" ht="20">
      <c r="A61" s="552"/>
      <c r="B61" s="589">
        <v>13</v>
      </c>
      <c r="C61" s="733"/>
      <c r="D61" s="733"/>
      <c r="E61" s="733"/>
      <c r="F61" s="734"/>
      <c r="G61" s="734"/>
      <c r="H61" s="734"/>
      <c r="I61" s="729"/>
      <c r="J61" s="729"/>
      <c r="K61" s="729"/>
      <c r="L61" s="729"/>
      <c r="M61" s="729"/>
      <c r="N61" s="730"/>
      <c r="O61" s="218"/>
      <c r="P61" s="216" t="s">
        <v>130</v>
      </c>
      <c r="Q61" s="217">
        <v>59000</v>
      </c>
    </row>
    <row r="62" spans="1:17" ht="20">
      <c r="A62" s="552"/>
      <c r="B62" s="589">
        <v>14</v>
      </c>
      <c r="C62" s="733"/>
      <c r="D62" s="733"/>
      <c r="E62" s="733"/>
      <c r="F62" s="734"/>
      <c r="G62" s="734"/>
      <c r="H62" s="734"/>
      <c r="I62" s="729"/>
      <c r="J62" s="729"/>
      <c r="K62" s="729"/>
      <c r="L62" s="729"/>
      <c r="M62" s="729"/>
      <c r="N62" s="730"/>
      <c r="O62" s="218"/>
      <c r="P62" s="216" t="s">
        <v>131</v>
      </c>
      <c r="Q62" s="217">
        <v>200000</v>
      </c>
    </row>
    <row r="63" spans="1:17" ht="20">
      <c r="A63" s="552"/>
      <c r="B63" s="589">
        <v>15</v>
      </c>
      <c r="C63" s="733"/>
      <c r="D63" s="733"/>
      <c r="E63" s="733"/>
      <c r="F63" s="734"/>
      <c r="G63" s="734"/>
      <c r="H63" s="734"/>
      <c r="I63" s="729"/>
      <c r="J63" s="729"/>
      <c r="K63" s="729"/>
      <c r="L63" s="729"/>
      <c r="M63" s="729"/>
      <c r="N63" s="730"/>
      <c r="O63" s="218"/>
      <c r="P63" s="216" t="s">
        <v>132</v>
      </c>
      <c r="Q63" s="217">
        <v>22000</v>
      </c>
    </row>
    <row r="64" spans="1:17" ht="20">
      <c r="A64" s="552"/>
      <c r="B64" s="589">
        <v>16</v>
      </c>
      <c r="C64" s="733"/>
      <c r="D64" s="733"/>
      <c r="E64" s="733"/>
      <c r="F64" s="734"/>
      <c r="G64" s="734"/>
      <c r="H64" s="734"/>
      <c r="I64" s="729"/>
      <c r="J64" s="729"/>
      <c r="K64" s="729"/>
      <c r="L64" s="729"/>
      <c r="M64" s="729"/>
      <c r="N64" s="730"/>
      <c r="O64" s="218"/>
      <c r="P64" s="216" t="s">
        <v>133</v>
      </c>
      <c r="Q64" s="217">
        <v>75000</v>
      </c>
    </row>
    <row r="65" spans="1:17" ht="20">
      <c r="A65" s="552"/>
      <c r="B65" s="589">
        <v>17</v>
      </c>
      <c r="C65" s="733"/>
      <c r="D65" s="733"/>
      <c r="E65" s="733"/>
      <c r="F65" s="734"/>
      <c r="G65" s="734"/>
      <c r="H65" s="734"/>
      <c r="I65" s="729"/>
      <c r="J65" s="729"/>
      <c r="K65" s="729"/>
      <c r="L65" s="729"/>
      <c r="M65" s="729"/>
      <c r="N65" s="730"/>
      <c r="O65" s="218"/>
      <c r="P65" s="216" t="s">
        <v>134</v>
      </c>
      <c r="Q65" s="217">
        <v>25000</v>
      </c>
    </row>
    <row r="66" spans="1:17" ht="20">
      <c r="A66" s="552"/>
      <c r="B66" s="589">
        <v>18</v>
      </c>
      <c r="C66" s="733"/>
      <c r="D66" s="733"/>
      <c r="E66" s="733"/>
      <c r="F66" s="734"/>
      <c r="G66" s="734"/>
      <c r="H66" s="734"/>
      <c r="I66" s="729"/>
      <c r="J66" s="729"/>
      <c r="K66" s="729"/>
      <c r="L66" s="729"/>
      <c r="M66" s="729"/>
      <c r="N66" s="730"/>
      <c r="O66" s="218"/>
      <c r="P66" s="216" t="s">
        <v>135</v>
      </c>
      <c r="Q66" s="217">
        <v>100000</v>
      </c>
    </row>
    <row r="67" spans="1:17" ht="20">
      <c r="A67" s="552"/>
      <c r="B67" s="589">
        <v>19</v>
      </c>
      <c r="C67" s="733"/>
      <c r="D67" s="733"/>
      <c r="E67" s="733"/>
      <c r="F67" s="734"/>
      <c r="G67" s="734"/>
      <c r="H67" s="734"/>
      <c r="I67" s="729"/>
      <c r="J67" s="729"/>
      <c r="K67" s="729"/>
      <c r="L67" s="729"/>
      <c r="M67" s="729"/>
      <c r="N67" s="730"/>
      <c r="O67" s="218"/>
      <c r="P67" s="216" t="s">
        <v>136</v>
      </c>
      <c r="Q67" s="217">
        <v>85000</v>
      </c>
    </row>
    <row r="68" spans="1:17" ht="20.5" thickBot="1">
      <c r="A68" s="552"/>
      <c r="B68" s="589">
        <v>20</v>
      </c>
      <c r="C68" s="733"/>
      <c r="D68" s="733"/>
      <c r="E68" s="733"/>
      <c r="F68" s="734"/>
      <c r="G68" s="734"/>
      <c r="H68" s="734"/>
      <c r="I68" s="729"/>
      <c r="J68" s="729"/>
      <c r="K68" s="729"/>
      <c r="L68" s="729"/>
      <c r="M68" s="729"/>
      <c r="N68" s="730"/>
      <c r="O68" s="218"/>
      <c r="P68" s="216" t="s">
        <v>137</v>
      </c>
      <c r="Q68" s="217">
        <v>25000</v>
      </c>
    </row>
    <row r="69" spans="1:17" ht="20.5" thickBot="1">
      <c r="A69" s="552"/>
      <c r="B69" s="738" t="s">
        <v>122</v>
      </c>
      <c r="C69" s="739"/>
      <c r="D69" s="739"/>
      <c r="E69" s="740"/>
      <c r="F69" s="741">
        <f>SUM(F49:H68)</f>
        <v>0</v>
      </c>
      <c r="G69" s="741"/>
      <c r="H69" s="741"/>
      <c r="I69" s="742"/>
      <c r="J69" s="743"/>
      <c r="K69" s="743"/>
      <c r="L69" s="743"/>
      <c r="M69" s="743"/>
      <c r="N69" s="744"/>
      <c r="O69" s="223"/>
      <c r="P69" s="216" t="s">
        <v>138</v>
      </c>
      <c r="Q69" s="217">
        <v>8000</v>
      </c>
    </row>
    <row r="70" spans="1:17" ht="20.5" thickBot="1">
      <c r="A70" s="552"/>
      <c r="B70" s="552"/>
      <c r="C70" s="585"/>
      <c r="D70" s="552"/>
      <c r="E70" s="590"/>
      <c r="F70" s="552"/>
      <c r="G70" s="552"/>
      <c r="H70" s="552"/>
      <c r="I70" s="591"/>
      <c r="J70" s="552"/>
      <c r="K70" s="552"/>
      <c r="L70" s="552"/>
      <c r="M70" s="552"/>
      <c r="N70" s="552"/>
      <c r="P70" s="216" t="s">
        <v>139</v>
      </c>
      <c r="Q70" s="217">
        <v>11000</v>
      </c>
    </row>
    <row r="71" spans="1:17" ht="20">
      <c r="A71" s="552"/>
      <c r="B71" s="745" t="s">
        <v>470</v>
      </c>
      <c r="C71" s="746"/>
      <c r="D71" s="746"/>
      <c r="E71" s="746"/>
      <c r="F71" s="746"/>
      <c r="G71" s="746"/>
      <c r="H71" s="746"/>
      <c r="I71" s="746"/>
      <c r="J71" s="746"/>
      <c r="K71" s="746"/>
      <c r="L71" s="746"/>
      <c r="M71" s="746"/>
      <c r="N71" s="747"/>
      <c r="P71" s="216" t="s">
        <v>140</v>
      </c>
      <c r="Q71" s="217">
        <v>3500</v>
      </c>
    </row>
    <row r="72" spans="1:17" ht="20">
      <c r="A72" s="552"/>
      <c r="B72" s="748"/>
      <c r="C72" s="749"/>
      <c r="D72" s="749"/>
      <c r="E72" s="749"/>
      <c r="F72" s="749"/>
      <c r="G72" s="749"/>
      <c r="H72" s="749"/>
      <c r="I72" s="749"/>
      <c r="J72" s="749"/>
      <c r="K72" s="749"/>
      <c r="L72" s="749"/>
      <c r="M72" s="749"/>
      <c r="N72" s="750"/>
      <c r="P72" s="216" t="s">
        <v>141</v>
      </c>
      <c r="Q72" s="217">
        <v>35000</v>
      </c>
    </row>
    <row r="73" spans="1:17" ht="20">
      <c r="A73" s="552"/>
      <c r="B73" s="592"/>
      <c r="C73" s="593"/>
      <c r="D73" s="593"/>
      <c r="E73" s="593"/>
      <c r="F73" s="593"/>
      <c r="G73" s="593"/>
      <c r="H73" s="593"/>
      <c r="I73" s="593"/>
      <c r="J73" s="593"/>
      <c r="K73" s="593"/>
      <c r="L73" s="593"/>
      <c r="M73" s="593"/>
      <c r="N73" s="594"/>
      <c r="Q73" s="224"/>
    </row>
    <row r="74" spans="1:17" ht="20">
      <c r="A74" s="552"/>
      <c r="B74" s="592"/>
      <c r="C74" s="593"/>
      <c r="D74" s="593"/>
      <c r="E74" s="593"/>
      <c r="F74" s="593"/>
      <c r="G74" s="593"/>
      <c r="H74" s="593"/>
      <c r="I74" s="593"/>
      <c r="J74" s="593"/>
      <c r="K74" s="593"/>
      <c r="L74" s="593"/>
      <c r="M74" s="593"/>
      <c r="N74" s="594"/>
    </row>
    <row r="75" spans="1:17" ht="20">
      <c r="A75" s="552"/>
      <c r="B75" s="592"/>
      <c r="C75" s="593"/>
      <c r="D75" s="593"/>
      <c r="E75" s="593"/>
      <c r="F75" s="593"/>
      <c r="G75" s="593"/>
      <c r="H75" s="593"/>
      <c r="I75" s="593"/>
      <c r="J75" s="593"/>
      <c r="K75" s="593"/>
      <c r="L75" s="593"/>
      <c r="M75" s="593"/>
      <c r="N75" s="594"/>
    </row>
    <row r="76" spans="1:17" ht="20">
      <c r="A76" s="552"/>
      <c r="B76" s="592"/>
      <c r="C76" s="593"/>
      <c r="D76" s="593"/>
      <c r="E76" s="593"/>
      <c r="F76" s="593"/>
      <c r="G76" s="593"/>
      <c r="H76" s="593"/>
      <c r="I76" s="593"/>
      <c r="J76" s="593"/>
      <c r="K76" s="593"/>
      <c r="L76" s="593"/>
      <c r="M76" s="593"/>
      <c r="N76" s="594"/>
    </row>
    <row r="77" spans="1:17" ht="20.5" thickBot="1">
      <c r="A77" s="552"/>
      <c r="B77" s="595"/>
      <c r="C77" s="596"/>
      <c r="D77" s="596"/>
      <c r="E77" s="596"/>
      <c r="F77" s="596"/>
      <c r="G77" s="596"/>
      <c r="H77" s="596"/>
      <c r="I77" s="596"/>
      <c r="J77" s="596"/>
      <c r="K77" s="596"/>
      <c r="L77" s="596"/>
      <c r="M77" s="596"/>
      <c r="N77" s="597"/>
    </row>
    <row r="78" spans="1:17" ht="20">
      <c r="A78" s="552"/>
      <c r="B78" s="552"/>
      <c r="C78" s="585"/>
      <c r="D78" s="552"/>
      <c r="E78" s="590"/>
      <c r="F78" s="552"/>
      <c r="G78" s="552"/>
      <c r="H78" s="552"/>
      <c r="I78" s="591"/>
      <c r="J78" s="552"/>
      <c r="K78" s="552"/>
      <c r="L78" s="552"/>
      <c r="M78" s="552"/>
      <c r="N78" s="552"/>
    </row>
    <row r="79" spans="1:17">
      <c r="I79" s="224"/>
    </row>
    <row r="80" spans="1:17">
      <c r="C80" s="638" t="str">
        <f>IF(CONCATENATE(C26,C27,C28,C29,C30,C31,C32,C33,C34,C35,C36,C37,C38,C39,C40,C41,C42,C43,C44,C45)="","",CONCATENATE(C26," ",C27," ",C28," ",C29," ",C30," ",C31," ",C32," ",C33," ",C34," ",C35," ",C36," ",C37," ",C38," ",C39," ",C40," ",C41," ",C42," ",C43," ",C44," ",C45," "))&amp;IF(CONCATENATE(C49,C50,C51,C52,C53,C54,C55,C56,C57,C58,C59,C60,C61,C62,C63,C64,C65,C66,C67,C68)="","",CONCATENATE(C49," ",C50," ",C51," ",C52," ",C53," ",C54," ",C55," ",C56," ",C57," ",C58," ",C59," ",C60," ",C61," ",C62," ",C63," ",C64," ",C65," ",C66," ",C67," ",C68," "))</f>
        <v/>
      </c>
      <c r="D80" s="639"/>
      <c r="E80" s="639"/>
      <c r="F80" s="639"/>
      <c r="G80" s="639"/>
      <c r="H80" s="639"/>
      <c r="I80" s="639"/>
      <c r="J80" s="639"/>
      <c r="K80" s="639"/>
      <c r="L80" s="639"/>
      <c r="M80" s="640"/>
    </row>
    <row r="81" spans="3:13">
      <c r="C81" s="641"/>
      <c r="D81" s="642"/>
      <c r="E81" s="642"/>
      <c r="F81" s="642"/>
      <c r="G81" s="642"/>
      <c r="H81" s="642"/>
      <c r="I81" s="642"/>
      <c r="J81" s="642"/>
      <c r="K81" s="642"/>
      <c r="L81" s="642"/>
      <c r="M81" s="643"/>
    </row>
    <row r="82" spans="3:13">
      <c r="C82" s="641"/>
      <c r="D82" s="642"/>
      <c r="E82" s="642"/>
      <c r="F82" s="642"/>
      <c r="G82" s="642"/>
      <c r="H82" s="642"/>
      <c r="I82" s="642"/>
      <c r="J82" s="642"/>
      <c r="K82" s="642"/>
      <c r="L82" s="642"/>
      <c r="M82" s="643"/>
    </row>
    <row r="83" spans="3:13">
      <c r="C83" s="641"/>
      <c r="D83" s="642"/>
      <c r="E83" s="642"/>
      <c r="F83" s="642"/>
      <c r="G83" s="642"/>
      <c r="H83" s="642"/>
      <c r="I83" s="642"/>
      <c r="J83" s="642"/>
      <c r="K83" s="642"/>
      <c r="L83" s="642"/>
      <c r="M83" s="643"/>
    </row>
    <row r="84" spans="3:13">
      <c r="C84" s="644"/>
      <c r="D84" s="645"/>
      <c r="E84" s="645"/>
      <c r="F84" s="645"/>
      <c r="G84" s="645"/>
      <c r="H84" s="645"/>
      <c r="I84" s="645"/>
      <c r="J84" s="645"/>
      <c r="K84" s="645"/>
      <c r="L84" s="645"/>
      <c r="M84" s="646"/>
    </row>
    <row r="85" spans="3:13">
      <c r="C85" s="635"/>
      <c r="I85" s="224"/>
    </row>
    <row r="86" spans="3:13">
      <c r="C86" s="614"/>
      <c r="I86" s="224"/>
    </row>
    <row r="87" spans="3:13">
      <c r="I87" s="224"/>
    </row>
    <row r="88" spans="3:13">
      <c r="I88" s="224"/>
    </row>
    <row r="89" spans="3:13">
      <c r="I89" s="224"/>
    </row>
    <row r="90" spans="3:13">
      <c r="I90" s="224"/>
    </row>
    <row r="91" spans="3:13">
      <c r="I91" s="224"/>
    </row>
    <row r="92" spans="3:13">
      <c r="I92" s="224"/>
    </row>
    <row r="93" spans="3:13">
      <c r="I93" s="224"/>
    </row>
    <row r="94" spans="3:13">
      <c r="I94" s="224"/>
    </row>
    <row r="95" spans="3:13">
      <c r="I95" s="224"/>
    </row>
  </sheetData>
  <sheetProtection formatCells="0" formatColumns="0" formatRows="0" insertHyperlinks="0"/>
  <mergeCells count="165">
    <mergeCell ref="C67:E67"/>
    <mergeCell ref="F67:H67"/>
    <mergeCell ref="I67:N67"/>
    <mergeCell ref="C68:E68"/>
    <mergeCell ref="F68:H68"/>
    <mergeCell ref="I68:N68"/>
    <mergeCell ref="B69:E69"/>
    <mergeCell ref="F69:H69"/>
    <mergeCell ref="I69:N69"/>
    <mergeCell ref="C64:E64"/>
    <mergeCell ref="F64:H64"/>
    <mergeCell ref="I64:N64"/>
    <mergeCell ref="C65:E65"/>
    <mergeCell ref="F65:H65"/>
    <mergeCell ref="I65:N65"/>
    <mergeCell ref="C66:E66"/>
    <mergeCell ref="F66:H66"/>
    <mergeCell ref="I66:N66"/>
    <mergeCell ref="C61:E61"/>
    <mergeCell ref="F61:H61"/>
    <mergeCell ref="I61:N61"/>
    <mergeCell ref="C62:E62"/>
    <mergeCell ref="F62:H62"/>
    <mergeCell ref="I62:N62"/>
    <mergeCell ref="C63:E63"/>
    <mergeCell ref="F63:H63"/>
    <mergeCell ref="I63:N63"/>
    <mergeCell ref="C58:E58"/>
    <mergeCell ref="F58:H58"/>
    <mergeCell ref="I58:N58"/>
    <mergeCell ref="C59:E59"/>
    <mergeCell ref="F59:H59"/>
    <mergeCell ref="I59:N59"/>
    <mergeCell ref="C60:E60"/>
    <mergeCell ref="F60:H60"/>
    <mergeCell ref="I60:N60"/>
    <mergeCell ref="D7:F7"/>
    <mergeCell ref="L7:M7"/>
    <mergeCell ref="D8:F8"/>
    <mergeCell ref="L8:M8"/>
    <mergeCell ref="D9:F9"/>
    <mergeCell ref="L9:M9"/>
    <mergeCell ref="D2:H3"/>
    <mergeCell ref="I2:K2"/>
    <mergeCell ref="L2:N2"/>
    <mergeCell ref="I3:K3"/>
    <mergeCell ref="L3:N3"/>
    <mergeCell ref="B5:N5"/>
    <mergeCell ref="D13:F13"/>
    <mergeCell ref="B15:N15"/>
    <mergeCell ref="D17:F17"/>
    <mergeCell ref="H17:K17"/>
    <mergeCell ref="L17:M17"/>
    <mergeCell ref="D10:F10"/>
    <mergeCell ref="L10:M10"/>
    <mergeCell ref="D11:F11"/>
    <mergeCell ref="L11:M11"/>
    <mergeCell ref="D12:F12"/>
    <mergeCell ref="L12:M12"/>
    <mergeCell ref="C23:N23"/>
    <mergeCell ref="C25:E25"/>
    <mergeCell ref="F25:H25"/>
    <mergeCell ref="I25:N25"/>
    <mergeCell ref="C26:E26"/>
    <mergeCell ref="F26:H26"/>
    <mergeCell ref="I26:N26"/>
    <mergeCell ref="D18:F18"/>
    <mergeCell ref="D19:F19"/>
    <mergeCell ref="D20:F20"/>
    <mergeCell ref="D21:F21"/>
    <mergeCell ref="L21:M21"/>
    <mergeCell ref="D22:F22"/>
    <mergeCell ref="C29:E29"/>
    <mergeCell ref="F29:H29"/>
    <mergeCell ref="I29:N29"/>
    <mergeCell ref="C30:E30"/>
    <mergeCell ref="F30:H30"/>
    <mergeCell ref="I30:N30"/>
    <mergeCell ref="C27:E27"/>
    <mergeCell ref="F27:H27"/>
    <mergeCell ref="I27:N27"/>
    <mergeCell ref="C28:E28"/>
    <mergeCell ref="F28:H28"/>
    <mergeCell ref="I28:N28"/>
    <mergeCell ref="C33:E33"/>
    <mergeCell ref="F33:H33"/>
    <mergeCell ref="I33:N33"/>
    <mergeCell ref="C34:E34"/>
    <mergeCell ref="F34:H34"/>
    <mergeCell ref="I34:N34"/>
    <mergeCell ref="C31:E31"/>
    <mergeCell ref="F31:H31"/>
    <mergeCell ref="I31:N31"/>
    <mergeCell ref="C32:E32"/>
    <mergeCell ref="F32:H32"/>
    <mergeCell ref="I32:N32"/>
    <mergeCell ref="F37:H37"/>
    <mergeCell ref="I37:N37"/>
    <mergeCell ref="C38:E38"/>
    <mergeCell ref="F38:H38"/>
    <mergeCell ref="I38:N38"/>
    <mergeCell ref="C35:E35"/>
    <mergeCell ref="F35:H35"/>
    <mergeCell ref="I35:N35"/>
    <mergeCell ref="C36:E36"/>
    <mergeCell ref="F36:H36"/>
    <mergeCell ref="I36:N36"/>
    <mergeCell ref="C37:E37"/>
    <mergeCell ref="C53:E53"/>
    <mergeCell ref="F53:H53"/>
    <mergeCell ref="I53:N53"/>
    <mergeCell ref="C50:E50"/>
    <mergeCell ref="F50:H50"/>
    <mergeCell ref="I50:N50"/>
    <mergeCell ref="C51:E51"/>
    <mergeCell ref="F51:H51"/>
    <mergeCell ref="I51:N51"/>
    <mergeCell ref="F46:H46"/>
    <mergeCell ref="I46:N46"/>
    <mergeCell ref="B71:N71"/>
    <mergeCell ref="B72:N72"/>
    <mergeCell ref="C41:E41"/>
    <mergeCell ref="F41:H41"/>
    <mergeCell ref="I41:N41"/>
    <mergeCell ref="C42:E42"/>
    <mergeCell ref="F42:H42"/>
    <mergeCell ref="C56:E56"/>
    <mergeCell ref="F56:H56"/>
    <mergeCell ref="I56:N56"/>
    <mergeCell ref="C57:E57"/>
    <mergeCell ref="F57:H57"/>
    <mergeCell ref="I57:N57"/>
    <mergeCell ref="C54:E54"/>
    <mergeCell ref="F54:H54"/>
    <mergeCell ref="I54:N54"/>
    <mergeCell ref="C55:E55"/>
    <mergeCell ref="F55:H55"/>
    <mergeCell ref="I55:N55"/>
    <mergeCell ref="C52:E52"/>
    <mergeCell ref="F52:H52"/>
    <mergeCell ref="I52:N52"/>
    <mergeCell ref="C49:E49"/>
    <mergeCell ref="F49:H49"/>
    <mergeCell ref="I49:N49"/>
    <mergeCell ref="L13:M13"/>
    <mergeCell ref="C45:E45"/>
    <mergeCell ref="F45:H45"/>
    <mergeCell ref="I45:N45"/>
    <mergeCell ref="C48:E48"/>
    <mergeCell ref="F48:H48"/>
    <mergeCell ref="I48:N48"/>
    <mergeCell ref="I42:N42"/>
    <mergeCell ref="C43:E43"/>
    <mergeCell ref="F43:H43"/>
    <mergeCell ref="I43:N43"/>
    <mergeCell ref="C44:E44"/>
    <mergeCell ref="F44:H44"/>
    <mergeCell ref="I44:N44"/>
    <mergeCell ref="C39:E39"/>
    <mergeCell ref="F39:H39"/>
    <mergeCell ref="I39:N39"/>
    <mergeCell ref="C40:E40"/>
    <mergeCell ref="F40:H40"/>
    <mergeCell ref="I40:N40"/>
    <mergeCell ref="B46:E46"/>
  </mergeCells>
  <conditionalFormatting sqref="I21">
    <cfRule type="cellIs" dxfId="1" priority="1" operator="equal">
      <formula>"X"</formula>
    </cfRule>
  </conditionalFormatting>
  <dataValidations count="1">
    <dataValidation showInputMessage="1" showErrorMessage="1" sqref="D27:D45 C26:C45 D50:D68 C49:C68" xr:uid="{00000000-0002-0000-0100-000000000000}"/>
  </dataValidations>
  <pageMargins left="0.7" right="0.7" top="0.75" bottom="0.75" header="0.3" footer="0.3"/>
  <pageSetup scale="44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6B415-AD36-45BF-93C8-4CA978724052}">
  <sheetPr>
    <tabColor rgb="FFFFFF00"/>
  </sheetPr>
  <dimension ref="B2:E28"/>
  <sheetViews>
    <sheetView zoomScaleNormal="100" workbookViewId="0">
      <selection activeCell="B17" sqref="B17"/>
    </sheetView>
  </sheetViews>
  <sheetFormatPr baseColWidth="10" defaultRowHeight="14.5"/>
  <cols>
    <col min="2" max="2" width="35.54296875" style="655" customWidth="1"/>
    <col min="3" max="3" width="44.453125" style="655" bestFit="1" customWidth="1"/>
    <col min="5" max="5" width="57.453125" customWidth="1"/>
  </cols>
  <sheetData>
    <row r="2" spans="2:5" ht="15" thickBot="1"/>
    <row r="3" spans="2:5" ht="15" thickBot="1">
      <c r="B3" s="656" t="s">
        <v>675</v>
      </c>
      <c r="C3" s="657" t="str">
        <f>+CONCATENATE('Accesorios&amp;Equipos'!$D$9," NEGOCIO LOP ",Carátula!$G$22)</f>
        <v xml:space="preserve">AMPLIACION NEGOCIO LOP </v>
      </c>
      <c r="E3" t="str">
        <f>IF(Carátula!$G$38=1,CONCATENATE(Carátula!$G$38," Unidad ",PROPER(Carátula!$F$33)," ",PROPER(Carátula!$F$35)," ",Carátula!$F$36," (",PROPER('Accesorios&amp;Equipos'!$D$21),", ",'Accesorios&amp;Equipos'!H19,", ",PROPER('Accesorios&amp;Equipos'!D22),")"),CONCATENATE(Carátula!$G$38," Unidades ",PROPER(Carátula!$F$33)," ",PROPER(Carátula!$F$35)," ", Carátula!$F$36," (",PROPER('Accesorios&amp;Equipos'!$D$21),", ",'Accesorios&amp;Equipos'!H19,", ",PROPER('Accesorios&amp;Equipos'!D22),")"))</f>
        <v>1 Unidad Volkswagen Amarok Comfortline 4X4 AT (Gris Indio Metalizado, 2023, Diesel)</v>
      </c>
    </row>
    <row r="4" spans="2:5" ht="15" thickBot="1">
      <c r="B4" s="658" t="s">
        <v>676</v>
      </c>
      <c r="C4" s="659">
        <f>Carátula!$G$38</f>
        <v>1</v>
      </c>
      <c r="E4" t="str">
        <f>CONCATENATE("Período ",Carátula!$G$39," meses")</f>
        <v>Período 48 meses</v>
      </c>
    </row>
    <row r="5" spans="2:5" ht="15" thickBot="1">
      <c r="B5" s="658" t="s">
        <v>677</v>
      </c>
      <c r="C5" s="660" t="str">
        <f>CONCATENATE(Carátula!$F$33," ",Carátula!$F$35," ",Carátula!$F$36)</f>
        <v>VOLKSWAGEN AMAROK COMFORTLINE 4x4 AT</v>
      </c>
      <c r="E5" t="str">
        <f>CONCATENATE("Tarifa ",Carátula!$G$86," UF")</f>
        <v>Tarifa 21,2 UF</v>
      </c>
    </row>
    <row r="6" spans="2:5" ht="15" thickBot="1">
      <c r="B6" s="658" t="str">
        <f>IF(Carátula!$G$85=0,"TARIFA","TARIFA CON GPS")</f>
        <v>TARIFA</v>
      </c>
      <c r="C6" s="661" t="str">
        <f>CONCATENATE("UF ",Carátula!$G$86," + IVA")</f>
        <v>UF 21,2 + IVA</v>
      </c>
      <c r="E6" s="685" t="str">
        <f>CONCATENATE("Kilometraje ",Carátula!$K$40)</f>
        <v>Kilometraje 144000</v>
      </c>
    </row>
    <row r="7" spans="2:5" ht="15" thickBot="1">
      <c r="B7" s="658" t="s">
        <v>12</v>
      </c>
      <c r="C7" s="659" t="str">
        <f>CONCATENATE(Carátula!$G$39," MESES")</f>
        <v>48 MESES</v>
      </c>
      <c r="E7" t="str">
        <f>CONCATENATE("$/Km ",Carátula!$G$71)</f>
        <v>$/Km 28</v>
      </c>
    </row>
    <row r="8" spans="2:5" ht="15" thickBot="1">
      <c r="B8" s="658" t="s">
        <v>678</v>
      </c>
      <c r="C8" s="660" t="str">
        <f>CONCATENATE(Carátula!$G$74," DIAS")</f>
        <v>30 DIAS</v>
      </c>
      <c r="E8" t="str">
        <f>CONCATENATE("Lugar de operación: ",Carátula!$K$67)</f>
        <v>Lugar de operación: RANCAGUA</v>
      </c>
    </row>
    <row r="9" spans="2:5" ht="15" thickBot="1">
      <c r="B9" s="658" t="s">
        <v>679</v>
      </c>
      <c r="C9" s="660" t="str">
        <f>IF(Carátula!$K$72="NORMAL",CONCATENATE(Carátula!$K$72," ",Carátula!$K$74),CONCATENATE(Carátula!$K$72," ",Carátula!$K$74,", ",Carátula!$K$75,", ",Carátula!$K$76," ",Carátula!$K$77))</f>
        <v>DIFERENCIADO SN UF 5, PT UF 50, VOL UF 50 ROBO UF 50</v>
      </c>
    </row>
    <row r="10" spans="2:5" ht="15" thickBot="1">
      <c r="B10" s="658" t="s">
        <v>26</v>
      </c>
      <c r="C10" s="662">
        <f>Carátula!$G$84</f>
        <v>0.1171119798370901</v>
      </c>
    </row>
    <row r="11" spans="2:5" ht="15" thickBot="1">
      <c r="B11" s="658" t="s">
        <v>680</v>
      </c>
      <c r="C11" s="663" t="str">
        <f>'Accesorios&amp;Equipos'!$D$17</f>
        <v>STOCK GAMA</v>
      </c>
    </row>
    <row r="14" spans="2:5" ht="15" thickBot="1"/>
    <row r="15" spans="2:5" ht="15" thickBot="1">
      <c r="B15" s="664" t="s">
        <v>681</v>
      </c>
      <c r="C15" s="665" t="str">
        <f>C5</f>
        <v>VOLKSWAGEN AMAROK COMFORTLINE 4x4 AT</v>
      </c>
    </row>
    <row r="16" spans="2:5" ht="15" thickBot="1">
      <c r="B16" s="666" t="s">
        <v>682</v>
      </c>
      <c r="C16" s="667">
        <f>C4</f>
        <v>1</v>
      </c>
    </row>
    <row r="17" spans="2:3" ht="15" thickBot="1">
      <c r="B17" s="666" t="str">
        <f>IF(Carátula!$G$85=0,"Tarifa","Tarifa con GPS")</f>
        <v>Tarifa</v>
      </c>
      <c r="C17" s="680" t="str">
        <f>C6</f>
        <v>UF 21,2 + IVA</v>
      </c>
    </row>
    <row r="18" spans="2:3" ht="15" thickBot="1">
      <c r="B18" s="668" t="s">
        <v>457</v>
      </c>
      <c r="C18" s="669" t="str">
        <f>C11</f>
        <v>STOCK GAMA</v>
      </c>
    </row>
    <row r="19" spans="2:3" ht="15" thickBot="1">
      <c r="B19" s="668" t="s">
        <v>683</v>
      </c>
      <c r="C19" s="669">
        <f>Carátula!$G$22</f>
        <v>0</v>
      </c>
    </row>
    <row r="20" spans="2:3" ht="15" thickBot="1">
      <c r="B20" s="668" t="s">
        <v>684</v>
      </c>
      <c r="C20" s="670"/>
    </row>
    <row r="21" spans="2:3" ht="15" thickBot="1">
      <c r="B21" s="668" t="s">
        <v>685</v>
      </c>
      <c r="C21" s="671"/>
    </row>
    <row r="22" spans="2:3">
      <c r="B22" s="672"/>
      <c r="C22" s="672"/>
    </row>
    <row r="23" spans="2:3" ht="16" thickBot="1">
      <c r="B23" s="673"/>
      <c r="C23"/>
    </row>
    <row r="24" spans="2:3" ht="15" thickBot="1">
      <c r="B24" s="674" t="s">
        <v>686</v>
      </c>
      <c r="C24" s="675">
        <f>Carátula!$G$20</f>
        <v>0</v>
      </c>
    </row>
    <row r="25" spans="2:3" ht="15" thickBot="1">
      <c r="B25" s="676" t="s">
        <v>255</v>
      </c>
      <c r="C25" s="677">
        <f>Carátula!$G$21</f>
        <v>0</v>
      </c>
    </row>
    <row r="26" spans="2:3" ht="15" thickBot="1">
      <c r="B26" s="676" t="s">
        <v>687</v>
      </c>
      <c r="C26" s="678" t="str">
        <f>IF('Accesorios&amp;Equipos'!$D$17="STOCK GAMA","STOCK GAMA","POR DEFINIR")</f>
        <v>STOCK GAMA</v>
      </c>
    </row>
    <row r="27" spans="2:3" ht="15" thickBot="1">
      <c r="B27" s="676" t="s">
        <v>688</v>
      </c>
      <c r="C27" s="679">
        <f>'Accesorios&amp;Equipos'!$L$7</f>
        <v>0</v>
      </c>
    </row>
    <row r="28" spans="2:3" ht="15" thickBot="1">
      <c r="B28" s="676" t="s">
        <v>689</v>
      </c>
      <c r="C28" s="678" t="str">
        <f>'Accesorios&amp;Equipos'!$L$13</f>
        <v>Jeanette Cornejo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C90F9-D954-43AC-94A4-64D4F2841D2A}">
  <sheetPr>
    <tabColor rgb="FFC00000"/>
  </sheetPr>
  <dimension ref="A1:AP3"/>
  <sheetViews>
    <sheetView workbookViewId="0">
      <selection activeCell="C2" sqref="C2:AP2"/>
    </sheetView>
  </sheetViews>
  <sheetFormatPr baseColWidth="10" defaultColWidth="9.1796875" defaultRowHeight="14.5"/>
  <cols>
    <col min="1" max="1" width="28.7265625" customWidth="1"/>
    <col min="2" max="2" width="20.81640625" customWidth="1"/>
    <col min="3" max="3" width="70.26953125" customWidth="1"/>
    <col min="4" max="4" width="32.54296875" customWidth="1"/>
    <col min="5" max="5" width="36.54296875" customWidth="1"/>
    <col min="6" max="6" width="28.7265625" customWidth="1"/>
    <col min="7" max="7" width="23.54296875" customWidth="1"/>
    <col min="8" max="8" width="41.1796875" bestFit="1" customWidth="1"/>
    <col min="9" max="10" width="40.453125" customWidth="1"/>
    <col min="11" max="11" width="20.81640625" customWidth="1"/>
    <col min="12" max="12" width="40.453125" customWidth="1"/>
    <col min="13" max="13" width="31.26953125" customWidth="1"/>
    <col min="14" max="14" width="30" customWidth="1"/>
    <col min="15" max="15" width="20.81640625" customWidth="1"/>
    <col min="16" max="16" width="19.54296875" customWidth="1"/>
    <col min="17" max="17" width="11.81640625" customWidth="1"/>
    <col min="18" max="18" width="19.54296875" customWidth="1"/>
    <col min="19" max="19" width="26.1796875" customWidth="1"/>
    <col min="20" max="20" width="30" customWidth="1"/>
    <col min="21" max="21" width="36.54296875" customWidth="1"/>
    <col min="22" max="22" width="23.54296875" customWidth="1"/>
    <col min="24" max="24" width="33.81640625" customWidth="1"/>
    <col min="25" max="25" width="11.81640625" customWidth="1"/>
    <col min="26" max="26" width="37.81640625" customWidth="1"/>
    <col min="27" max="28" width="28.7265625" customWidth="1"/>
    <col min="29" max="29" width="36.54296875" customWidth="1"/>
    <col min="30" max="30" width="11.81640625" customWidth="1"/>
    <col min="31" max="31" width="28.7265625" customWidth="1"/>
    <col min="32" max="32" width="17" customWidth="1"/>
    <col min="33" max="33" width="14.453125" customWidth="1"/>
    <col min="34" max="34" width="20.81640625" customWidth="1"/>
    <col min="35" max="35" width="31.26953125" customWidth="1"/>
    <col min="36" max="36" width="26.1796875" customWidth="1"/>
    <col min="37" max="37" width="23.54296875" customWidth="1"/>
    <col min="38" max="38" width="18.26953125" customWidth="1"/>
    <col min="39" max="39" width="31.26953125" customWidth="1"/>
    <col min="40" max="40" width="35.26953125" customWidth="1"/>
    <col min="41" max="41" width="11.81640625" customWidth="1"/>
    <col min="42" max="42" width="22.1796875" customWidth="1"/>
  </cols>
  <sheetData>
    <row r="1" spans="1:42">
      <c r="A1" s="634" t="s">
        <v>614</v>
      </c>
      <c r="B1" s="634" t="s">
        <v>531</v>
      </c>
      <c r="C1" s="633" t="s">
        <v>532</v>
      </c>
      <c r="D1" s="633" t="s">
        <v>533</v>
      </c>
      <c r="E1" s="633" t="s">
        <v>534</v>
      </c>
      <c r="F1" s="633" t="s">
        <v>535</v>
      </c>
      <c r="G1" s="633" t="s">
        <v>536</v>
      </c>
      <c r="H1" s="633" t="s">
        <v>24</v>
      </c>
      <c r="I1" s="633" t="s">
        <v>615</v>
      </c>
      <c r="J1" s="633" t="s">
        <v>537</v>
      </c>
      <c r="K1" s="633" t="s">
        <v>538</v>
      </c>
      <c r="L1" s="633" t="s">
        <v>539</v>
      </c>
      <c r="M1" s="633" t="s">
        <v>540</v>
      </c>
      <c r="N1" s="633" t="s">
        <v>541</v>
      </c>
      <c r="O1" s="633" t="s">
        <v>542</v>
      </c>
      <c r="P1" s="633" t="s">
        <v>543</v>
      </c>
      <c r="Q1" s="633" t="s">
        <v>544</v>
      </c>
      <c r="R1" s="633" t="s">
        <v>545</v>
      </c>
      <c r="S1" s="633" t="s">
        <v>546</v>
      </c>
      <c r="T1" s="633" t="s">
        <v>547</v>
      </c>
      <c r="U1" s="633" t="s">
        <v>548</v>
      </c>
      <c r="V1" s="633" t="s">
        <v>549</v>
      </c>
      <c r="W1" s="633" t="s">
        <v>550</v>
      </c>
      <c r="X1" s="633" t="s">
        <v>551</v>
      </c>
      <c r="Y1" s="633" t="s">
        <v>616</v>
      </c>
      <c r="Z1" s="633" t="s">
        <v>617</v>
      </c>
      <c r="AA1" s="633" t="s">
        <v>552</v>
      </c>
      <c r="AB1" s="633" t="s">
        <v>618</v>
      </c>
      <c r="AC1" s="633" t="s">
        <v>553</v>
      </c>
      <c r="AD1" s="633" t="s">
        <v>619</v>
      </c>
      <c r="AE1" s="633" t="s">
        <v>554</v>
      </c>
      <c r="AF1" s="633" t="s">
        <v>620</v>
      </c>
      <c r="AG1" s="633" t="s">
        <v>555</v>
      </c>
      <c r="AH1" s="633" t="s">
        <v>556</v>
      </c>
      <c r="AI1" s="633" t="s">
        <v>557</v>
      </c>
      <c r="AJ1" s="633" t="s">
        <v>558</v>
      </c>
      <c r="AK1" s="633" t="s">
        <v>559</v>
      </c>
      <c r="AL1" s="633" t="s">
        <v>375</v>
      </c>
      <c r="AM1" s="633" t="s">
        <v>621</v>
      </c>
      <c r="AN1" s="633" t="s">
        <v>622</v>
      </c>
      <c r="AO1" s="633" t="s">
        <v>623</v>
      </c>
      <c r="AP1" s="633" t="s">
        <v>624</v>
      </c>
    </row>
    <row r="2" spans="1:42">
      <c r="A2">
        <f>Carátula!G38</f>
        <v>1</v>
      </c>
      <c r="B2" s="92">
        <f>Carátula!G86</f>
        <v>21.2</v>
      </c>
      <c r="C2" t="str">
        <f>'Accesorios&amp;Equipos'!C80</f>
        <v/>
      </c>
      <c r="D2" s="86">
        <f>Carátula!G51+Carátula!G52</f>
        <v>0</v>
      </c>
      <c r="E2" s="86">
        <f>Carátula!G51</f>
        <v>0</v>
      </c>
      <c r="F2" s="86">
        <f>Carátula!G52</f>
        <v>0</v>
      </c>
      <c r="G2">
        <f>Carátula!G72</f>
        <v>19</v>
      </c>
      <c r="H2" s="92" t="str">
        <f>CONCATENATE(Carátula!K72," ",Carátula!K74," ",Carátula!K75," ",Carátula!K76," ",Carátula!K77)</f>
        <v>DIFERENCIADO SN UF 5 PT UF 50 VOL UF 50 ROBO UF 50</v>
      </c>
      <c r="I2">
        <f>Carátula!G46*100</f>
        <v>48</v>
      </c>
      <c r="J2">
        <f>Carátula!G53*100</f>
        <v>100</v>
      </c>
      <c r="K2" s="86">
        <f>Resumen!H39</f>
        <v>-12979654.41950549</v>
      </c>
      <c r="L2" s="86">
        <f>Carátula!G57</f>
        <v>13217100</v>
      </c>
      <c r="M2">
        <f>Carátula!G71</f>
        <v>28</v>
      </c>
      <c r="N2" s="86">
        <f>Carátula!G45</f>
        <v>25417500</v>
      </c>
      <c r="O2" s="86">
        <f>Resumen!H41</f>
        <v>-1836070.0633958459</v>
      </c>
      <c r="P2" t="str">
        <f>Carátula!K33</f>
        <v>GENÉRICO</v>
      </c>
      <c r="Q2" t="str">
        <f>Carátula!K29</f>
        <v>MIXTO</v>
      </c>
      <c r="R2" s="86">
        <f>Carátula!G59</f>
        <v>0</v>
      </c>
      <c r="S2">
        <f>Carátula!K52</f>
        <v>3.5333333333333332E-3</v>
      </c>
      <c r="T2" s="86">
        <f>Carátula!G44</f>
        <v>33890000</v>
      </c>
      <c r="U2" s="86">
        <f>Carátula!K53</f>
        <v>10000</v>
      </c>
      <c r="V2" s="86">
        <f>Carátula!K40</f>
        <v>144000</v>
      </c>
      <c r="W2">
        <f>Carátula!K57</f>
        <v>0</v>
      </c>
      <c r="X2" s="86">
        <f>Resumen!H20</f>
        <v>99233.019583333371</v>
      </c>
      <c r="Y2">
        <f>Resumen!H59*100</f>
        <v>11.71119798370901</v>
      </c>
      <c r="Z2">
        <f>Carátula!K39*100</f>
        <v>3</v>
      </c>
      <c r="AA2" s="86">
        <f>Resumen!H38</f>
        <v>38738732.242467858</v>
      </c>
      <c r="AB2">
        <f>Carátula!K38*100</f>
        <v>3</v>
      </c>
      <c r="AC2" s="86">
        <f>Carátula!G54</f>
        <v>0</v>
      </c>
      <c r="AD2">
        <f>Resumen!H60*100</f>
        <v>11.143697902857607</v>
      </c>
      <c r="AE2" s="86">
        <f>Carátula!G97</f>
        <v>14142297</v>
      </c>
      <c r="AF2">
        <f>Resumen!H58*100</f>
        <v>10.048497438213722</v>
      </c>
      <c r="AG2" s="86">
        <f>Carátula!K79</f>
        <v>50000</v>
      </c>
      <c r="AH2">
        <f>Carátula!G67</f>
        <v>55000</v>
      </c>
      <c r="AI2" s="86" t="str">
        <f>Carátula!K54</f>
        <v>PREVENTIVO Y CORRECTIVO</v>
      </c>
      <c r="AJ2">
        <f>Carátula!K36</f>
        <v>0</v>
      </c>
      <c r="AK2" s="86">
        <f>Resumen!H47</f>
        <v>2988923.2435567165</v>
      </c>
      <c r="AL2" s="86">
        <f>Resumen!E61</f>
        <v>682235.36569542845</v>
      </c>
      <c r="AM2">
        <f>Carátula!K62*100</f>
        <v>25</v>
      </c>
      <c r="AN2" s="86">
        <f>Carátula!K63</f>
        <v>60</v>
      </c>
      <c r="AO2" t="s">
        <v>560</v>
      </c>
      <c r="AP2">
        <v>0</v>
      </c>
    </row>
    <row r="3" spans="1:42">
      <c r="AB3" s="8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2:T185"/>
  <sheetViews>
    <sheetView showGridLines="0" topLeftCell="A18" zoomScale="85" zoomScaleNormal="85" workbookViewId="0">
      <selection activeCell="D31" sqref="D31"/>
    </sheetView>
  </sheetViews>
  <sheetFormatPr baseColWidth="10" defaultColWidth="11.453125" defaultRowHeight="12.5"/>
  <cols>
    <col min="1" max="1" width="1.7265625" style="297" customWidth="1"/>
    <col min="2" max="2" width="3.54296875" style="297" bestFit="1" customWidth="1"/>
    <col min="3" max="3" width="30.7265625" style="297" customWidth="1"/>
    <col min="4" max="10" width="15.7265625" style="297" customWidth="1"/>
    <col min="11" max="13" width="15.81640625" style="297" customWidth="1"/>
    <col min="14" max="16384" width="11.453125" style="297"/>
  </cols>
  <sheetData>
    <row r="2" spans="2:19" ht="13">
      <c r="C2" s="418" t="s">
        <v>142</v>
      </c>
      <c r="D2" s="419">
        <f>Carátula!$G$38</f>
        <v>1</v>
      </c>
    </row>
    <row r="4" spans="2:19" ht="18">
      <c r="C4" s="806" t="s">
        <v>208</v>
      </c>
      <c r="D4" s="806"/>
      <c r="E4" s="806"/>
      <c r="F4" s="806"/>
      <c r="G4" s="806"/>
    </row>
    <row r="5" spans="2:19" ht="13" thickBot="1">
      <c r="C5" s="43"/>
      <c r="D5" s="43"/>
      <c r="E5" s="43"/>
      <c r="F5" s="43"/>
      <c r="G5" s="43"/>
      <c r="O5" s="475"/>
    </row>
    <row r="6" spans="2:19" ht="13.5" thickBot="1">
      <c r="B6" s="469" t="s">
        <v>144</v>
      </c>
      <c r="C6" s="407" t="s">
        <v>203</v>
      </c>
      <c r="D6" s="408" t="s">
        <v>204</v>
      </c>
      <c r="E6" s="408" t="s">
        <v>205</v>
      </c>
      <c r="F6" s="408" t="s">
        <v>206</v>
      </c>
      <c r="G6" s="409" t="s">
        <v>207</v>
      </c>
      <c r="O6" s="475"/>
    </row>
    <row r="7" spans="2:19">
      <c r="B7" s="16"/>
      <c r="C7" s="410"/>
      <c r="D7" s="410"/>
      <c r="E7" s="410"/>
      <c r="F7" s="410"/>
      <c r="G7" s="410"/>
      <c r="O7" s="475"/>
    </row>
    <row r="8" spans="2:19" ht="13">
      <c r="B8" s="468">
        <v>1</v>
      </c>
      <c r="C8" s="411" t="s">
        <v>197</v>
      </c>
      <c r="D8" s="298"/>
      <c r="E8" s="412">
        <f>Carátula!K40*G8</f>
        <v>4032000</v>
      </c>
      <c r="F8" s="412">
        <f>E8/Carátula!$G$39</f>
        <v>84000</v>
      </c>
      <c r="G8" s="413">
        <f>Carátula!G71*Carátula!K71</f>
        <v>28</v>
      </c>
      <c r="O8" s="475"/>
    </row>
    <row r="9" spans="2:19" ht="14.5">
      <c r="B9" s="468">
        <f>B8+1</f>
        <v>2</v>
      </c>
      <c r="C9" s="411" t="s">
        <v>198</v>
      </c>
      <c r="D9" s="412">
        <f>D36*IF(Carátula!$E$8="RENTING",1,IF(Carátula!$E$8="LEASING OPERATIVO",1,0))</f>
        <v>1127683.8</v>
      </c>
      <c r="E9" s="412">
        <f>IF(Resumen!$E$25&lt;13,D9,IF(Resumen!$E$25&lt;25,D9*2,IF(Resumen!$E$25&lt;37,D9*2.9,IF(Resumen!$E$25&lt;49,D9*3.8,IF(Resumen!$E$25&lt;61,D9*4.5,0)))))</f>
        <v>4285198.4400000004</v>
      </c>
      <c r="F9" s="412">
        <f>E9/Carátula!$G$39</f>
        <v>89274.967500000013</v>
      </c>
      <c r="G9" s="413">
        <f>E9/Carátula!$K$40</f>
        <v>29.758322500000002</v>
      </c>
      <c r="H9" s="807" t="s">
        <v>526</v>
      </c>
      <c r="I9" s="808"/>
      <c r="J9" s="808"/>
      <c r="K9" s="309"/>
      <c r="L9"/>
      <c r="S9" s="477"/>
    </row>
    <row r="10" spans="2:19" ht="14.5">
      <c r="B10" s="468">
        <f t="shared" ref="B10:B22" si="0">B9+1</f>
        <v>3</v>
      </c>
      <c r="C10" s="411" t="s">
        <v>199</v>
      </c>
      <c r="D10" s="412">
        <f>39370+4300+23490+5500</f>
        <v>72660</v>
      </c>
      <c r="E10" s="412">
        <f>D10</f>
        <v>72660</v>
      </c>
      <c r="F10" s="412">
        <f>E10/Carátula!$G$39</f>
        <v>1513.75</v>
      </c>
      <c r="G10" s="413">
        <f>E10/Carátula!$K$40</f>
        <v>0.50458333333333338</v>
      </c>
      <c r="H10" s="807" t="s">
        <v>492</v>
      </c>
      <c r="I10" s="809"/>
      <c r="J10" s="809"/>
      <c r="K10" s="309"/>
      <c r="L10"/>
      <c r="S10" s="477" t="s">
        <v>485</v>
      </c>
    </row>
    <row r="11" spans="2:19" ht="14.5">
      <c r="B11" s="468">
        <f t="shared" si="0"/>
        <v>4</v>
      </c>
      <c r="C11" s="411" t="s">
        <v>200</v>
      </c>
      <c r="D11" s="412">
        <f>VLOOKUP($D$71,$D$73:$F$78,3,0)</f>
        <v>8700</v>
      </c>
      <c r="E11" s="412">
        <f>D11/12*Carátula!$G$39</f>
        <v>34800</v>
      </c>
      <c r="F11" s="412">
        <f>E11/Carátula!$G$39</f>
        <v>725</v>
      </c>
      <c r="G11" s="413">
        <f>E11/Carátula!$K$40</f>
        <v>0.24166666666666667</v>
      </c>
      <c r="H11" s="807" t="s">
        <v>489</v>
      </c>
      <c r="I11" s="809"/>
      <c r="J11" s="809"/>
      <c r="K11" s="309"/>
      <c r="L11"/>
      <c r="S11" s="477"/>
    </row>
    <row r="12" spans="2:19" ht="14.5">
      <c r="B12" s="468">
        <f t="shared" si="0"/>
        <v>5</v>
      </c>
      <c r="C12" s="411" t="s">
        <v>201</v>
      </c>
      <c r="D12" s="412">
        <f>IF(AND(Carátula!$E$8="RENTING",Carátula!$G$39&lt;=24),0,(IF(Carátula!$I$29=6,2*VLOOKUP($D$71,$D$73:$F$78,2,0),VLOOKUP($D$71,$D$73:$F$78,2,0))+IF(VLOOKUP(Carátula!$I$29,$D$73:$G$78,4,0)="A",20000,12000))*1.5)</f>
        <v>33150</v>
      </c>
      <c r="E12" s="412">
        <f>Carátula!$G$39*D12/12</f>
        <v>132600</v>
      </c>
      <c r="F12" s="412">
        <f>E12/Carátula!$G$39</f>
        <v>2762.5</v>
      </c>
      <c r="G12" s="413">
        <f>E12/Carátula!$K$40</f>
        <v>0.92083333333333328</v>
      </c>
      <c r="H12" s="807" t="s">
        <v>489</v>
      </c>
      <c r="I12" s="809"/>
      <c r="J12" s="809"/>
      <c r="K12" s="309"/>
      <c r="L12"/>
      <c r="S12" s="477"/>
    </row>
    <row r="13" spans="2:19" ht="13">
      <c r="B13" s="468">
        <f t="shared" si="0"/>
        <v>6</v>
      </c>
      <c r="C13" s="411" t="s">
        <v>425</v>
      </c>
      <c r="D13" s="412">
        <f>Carátula!$G$47*IF(Carátula!$E$8="RENTING",1.5%,IF(Carátula!$E$8="LEASING OPERATIVO",1.5%,0))+27540+4300+6740+1090</f>
        <v>237926.5</v>
      </c>
      <c r="E13" s="412">
        <f>D13</f>
        <v>237926.5</v>
      </c>
      <c r="F13" s="412">
        <f>E13/Carátula!$G$39</f>
        <v>4956.802083333333</v>
      </c>
      <c r="G13" s="413">
        <f>E13/Carátula!$K$40</f>
        <v>1.6522673611111112</v>
      </c>
      <c r="H13" s="807" t="s">
        <v>527</v>
      </c>
      <c r="I13" s="808"/>
      <c r="J13" s="808"/>
      <c r="K13" s="309"/>
      <c r="L13" s="309"/>
      <c r="S13" s="477"/>
    </row>
    <row r="14" spans="2:19" ht="13">
      <c r="B14" s="468">
        <f t="shared" si="0"/>
        <v>7</v>
      </c>
      <c r="C14" s="411" t="s">
        <v>202</v>
      </c>
      <c r="D14" s="412">
        <f>Carátula!$G$72*Carátula!$K$13</f>
        <v>681677.82</v>
      </c>
      <c r="E14" s="412">
        <f>IF(Carátula!$G$39&lt;13,D14,IF(Carátula!$G$39&lt;25,D14*2,IF(Carátula!$G$39&lt;37,D14*3,IF(Carátula!$G$39&lt;49,D14*4,IF(Carátula!$G$39&lt;61,D14*5,0)))))</f>
        <v>2726711.28</v>
      </c>
      <c r="F14" s="412">
        <f>E14/Carátula!$G$39</f>
        <v>56806.484999999993</v>
      </c>
      <c r="G14" s="413">
        <f>E14/Carátula!$K$40</f>
        <v>18.935495</v>
      </c>
      <c r="S14" s="477" t="s">
        <v>485</v>
      </c>
    </row>
    <row r="15" spans="2:19" ht="13">
      <c r="B15" s="468">
        <f t="shared" si="0"/>
        <v>8</v>
      </c>
      <c r="C15" s="50"/>
      <c r="D15" s="49"/>
      <c r="E15" s="49"/>
      <c r="F15" s="412">
        <f>E15/Carátula!$G$39</f>
        <v>0</v>
      </c>
      <c r="G15" s="413">
        <f>E15/Carátula!$K$40</f>
        <v>0</v>
      </c>
      <c r="S15" s="477"/>
    </row>
    <row r="16" spans="2:19" ht="13">
      <c r="B16" s="468">
        <f t="shared" si="0"/>
        <v>9</v>
      </c>
      <c r="C16" s="50"/>
      <c r="D16" s="49"/>
      <c r="E16" s="49"/>
      <c r="F16" s="412">
        <f>E16/Carátula!$G$39</f>
        <v>0</v>
      </c>
      <c r="G16" s="413">
        <f>E16/Carátula!$K$40</f>
        <v>0</v>
      </c>
      <c r="S16" s="477"/>
    </row>
    <row r="17" spans="2:20" ht="13">
      <c r="B17" s="468">
        <f t="shared" si="0"/>
        <v>10</v>
      </c>
      <c r="C17" s="50"/>
      <c r="D17" s="49"/>
      <c r="E17" s="49"/>
      <c r="F17" s="412">
        <f>E17/Carátula!$G$39</f>
        <v>0</v>
      </c>
      <c r="G17" s="413">
        <f>E17/Carátula!$K$40</f>
        <v>0</v>
      </c>
      <c r="S17" s="477" t="s">
        <v>485</v>
      </c>
    </row>
    <row r="18" spans="2:20" ht="13">
      <c r="B18" s="468">
        <f t="shared" si="0"/>
        <v>11</v>
      </c>
      <c r="C18" s="50"/>
      <c r="D18" s="49"/>
      <c r="E18" s="49"/>
      <c r="F18" s="412">
        <f>E18/Carátula!$G$39</f>
        <v>0</v>
      </c>
      <c r="G18" s="413">
        <f>E18/Carátula!$K$40</f>
        <v>0</v>
      </c>
      <c r="H18" s="299"/>
      <c r="S18" s="477"/>
    </row>
    <row r="19" spans="2:20" ht="13">
      <c r="B19" s="468">
        <f t="shared" si="0"/>
        <v>12</v>
      </c>
      <c r="C19" s="50"/>
      <c r="D19" s="49"/>
      <c r="E19" s="49"/>
      <c r="F19" s="412">
        <f>E19/Carátula!$G$39</f>
        <v>0</v>
      </c>
      <c r="G19" s="413">
        <f>E19/Carátula!$K$40</f>
        <v>0</v>
      </c>
      <c r="S19" s="477" t="s">
        <v>485</v>
      </c>
    </row>
    <row r="20" spans="2:20" ht="13">
      <c r="B20" s="468">
        <f t="shared" si="0"/>
        <v>13</v>
      </c>
      <c r="C20" s="50"/>
      <c r="D20" s="49"/>
      <c r="E20" s="49"/>
      <c r="F20" s="412">
        <f>E20/Carátula!$G$39</f>
        <v>0</v>
      </c>
      <c r="G20" s="413">
        <f>E20/Carátula!$K$40</f>
        <v>0</v>
      </c>
      <c r="S20" s="477"/>
    </row>
    <row r="21" spans="2:20" ht="13">
      <c r="B21" s="468">
        <f t="shared" si="0"/>
        <v>14</v>
      </c>
      <c r="C21" s="50"/>
      <c r="D21" s="49"/>
      <c r="E21" s="49"/>
      <c r="F21" s="412">
        <f>E21/Carátula!$G$39</f>
        <v>0</v>
      </c>
      <c r="G21" s="413">
        <f>E21/Carátula!$K$40</f>
        <v>0</v>
      </c>
      <c r="S21" s="477"/>
    </row>
    <row r="22" spans="2:20" ht="13">
      <c r="B22" s="468">
        <f t="shared" si="0"/>
        <v>15</v>
      </c>
      <c r="C22" s="50"/>
      <c r="D22" s="49"/>
      <c r="E22" s="49"/>
      <c r="F22" s="412">
        <f>E22/Carátula!$G$39</f>
        <v>0</v>
      </c>
      <c r="G22" s="413">
        <f>E22/Carátula!$K$40</f>
        <v>0</v>
      </c>
      <c r="S22" s="477" t="s">
        <v>485</v>
      </c>
    </row>
    <row r="23" spans="2:20">
      <c r="C23" s="43"/>
      <c r="D23" s="43"/>
      <c r="E23" s="43"/>
      <c r="F23" s="43"/>
      <c r="G23" s="43"/>
      <c r="S23" s="476"/>
    </row>
    <row r="24" spans="2:20" ht="13.5" thickBot="1">
      <c r="B24" s="300"/>
      <c r="C24" s="414" t="s">
        <v>122</v>
      </c>
      <c r="D24" s="415"/>
      <c r="E24" s="416">
        <f>SUM(E8:E23)</f>
        <v>11521896.220000001</v>
      </c>
      <c r="F24" s="416">
        <f>SUM(F8:F23)</f>
        <v>240039.50458333336</v>
      </c>
      <c r="G24" s="417">
        <f>SUM(G8:G23)</f>
        <v>80.013168194444461</v>
      </c>
      <c r="S24" s="476"/>
    </row>
    <row r="25" spans="2:20">
      <c r="S25" s="477" t="s">
        <v>485</v>
      </c>
    </row>
    <row r="26" spans="2:20">
      <c r="O26" s="476"/>
    </row>
    <row r="28" spans="2:20" ht="18">
      <c r="C28" s="804" t="s">
        <v>215</v>
      </c>
      <c r="D28" s="805"/>
      <c r="E28" s="805"/>
      <c r="F28" s="805"/>
      <c r="G28" s="805"/>
      <c r="H28" s="420"/>
      <c r="I28" s="420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</row>
    <row r="29" spans="2:20">
      <c r="C29" s="44"/>
      <c r="D29" s="44"/>
      <c r="E29" s="45"/>
      <c r="F29" s="421"/>
      <c r="G29" s="44"/>
      <c r="H29" s="44"/>
      <c r="I29" s="44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</row>
    <row r="30" spans="2:20" ht="13.5" thickBot="1">
      <c r="C30" s="114" t="s">
        <v>209</v>
      </c>
      <c r="D30" s="422">
        <f>Carátula!K14</f>
        <v>63074</v>
      </c>
      <c r="E30" s="43"/>
      <c r="F30" s="801" t="s">
        <v>305</v>
      </c>
      <c r="G30" s="801"/>
      <c r="H30" s="801"/>
      <c r="I30" s="801"/>
      <c r="J30" s="43"/>
      <c r="K30" s="801" t="s">
        <v>282</v>
      </c>
      <c r="L30" s="801"/>
      <c r="M30" s="801"/>
      <c r="N30" s="801"/>
      <c r="O30" s="43"/>
      <c r="P30" s="43"/>
      <c r="Q30" s="801" t="s">
        <v>301</v>
      </c>
      <c r="R30" s="801"/>
      <c r="S30" s="801"/>
      <c r="T30" s="801"/>
    </row>
    <row r="31" spans="2:20" ht="13">
      <c r="C31" s="114" t="s">
        <v>210</v>
      </c>
      <c r="D31" s="422">
        <f>Carátula!G44</f>
        <v>33890000</v>
      </c>
      <c r="E31" s="43"/>
      <c r="F31" s="423" t="s">
        <v>30</v>
      </c>
      <c r="G31" s="423" t="s">
        <v>31</v>
      </c>
      <c r="H31" s="424" t="s">
        <v>19</v>
      </c>
      <c r="I31" s="425" t="s">
        <v>32</v>
      </c>
      <c r="J31" s="43"/>
      <c r="K31" s="426" t="s">
        <v>277</v>
      </c>
      <c r="L31" s="426" t="s">
        <v>278</v>
      </c>
      <c r="M31" s="426" t="s">
        <v>279</v>
      </c>
      <c r="N31" s="426" t="s">
        <v>280</v>
      </c>
      <c r="O31" s="43"/>
      <c r="P31" s="43"/>
      <c r="Q31" s="802" t="s">
        <v>302</v>
      </c>
      <c r="R31" s="803"/>
      <c r="S31" s="802" t="s">
        <v>306</v>
      </c>
      <c r="T31" s="802"/>
    </row>
    <row r="32" spans="2:20" ht="13">
      <c r="C32" s="478" t="s">
        <v>32</v>
      </c>
      <c r="D32" s="427">
        <f>IF(D31&lt;G32,I32,IF(D31&lt;G33,I33,IF(D31&lt;G34,I34,IF(D31&lt;G35,I35,IF(D31&lt;G36,I36,0)))))</f>
        <v>6.3</v>
      </c>
      <c r="E32" s="43"/>
      <c r="F32" s="422">
        <f>K32*Carátula!$K$14</f>
        <v>0</v>
      </c>
      <c r="G32" s="422">
        <f>L32*Carátula!$K$14</f>
        <v>3784440</v>
      </c>
      <c r="H32" s="428">
        <f>M32</f>
        <v>0.01</v>
      </c>
      <c r="I32" s="429">
        <f>N32</f>
        <v>0</v>
      </c>
      <c r="J32" s="43"/>
      <c r="K32" s="430">
        <v>0</v>
      </c>
      <c r="L32" s="430">
        <v>60</v>
      </c>
      <c r="M32" s="431">
        <v>0.01</v>
      </c>
      <c r="N32" s="432">
        <v>0</v>
      </c>
      <c r="O32" s="43"/>
      <c r="P32" s="46" t="s">
        <v>29</v>
      </c>
      <c r="Q32" s="430">
        <v>1750</v>
      </c>
      <c r="R32" s="433">
        <v>5000</v>
      </c>
      <c r="S32" s="430">
        <f>T32*Carátula!$K$14</f>
        <v>63074</v>
      </c>
      <c r="T32" s="434">
        <v>1</v>
      </c>
    </row>
    <row r="33" spans="3:20">
      <c r="C33" s="114" t="s">
        <v>211</v>
      </c>
      <c r="D33" s="422">
        <f>+D32*D30</f>
        <v>397366.2</v>
      </c>
      <c r="E33" s="43"/>
      <c r="F33" s="422">
        <f>K33*Carátula!$K$14</f>
        <v>3784503.074</v>
      </c>
      <c r="G33" s="422">
        <f>L33*Carátula!$K$14</f>
        <v>7568880</v>
      </c>
      <c r="H33" s="428">
        <f t="shared" ref="H33:H36" si="1">M33</f>
        <v>0.02</v>
      </c>
      <c r="I33" s="429">
        <f t="shared" ref="I33:I36" si="2">N33</f>
        <v>0.6</v>
      </c>
      <c r="J33" s="43"/>
      <c r="K33" s="44">
        <v>60.000999999999998</v>
      </c>
      <c r="L33" s="44">
        <v>120</v>
      </c>
      <c r="M33" s="435">
        <v>0.02</v>
      </c>
      <c r="N33" s="436">
        <v>0.6</v>
      </c>
      <c r="O33" s="43"/>
      <c r="P33" s="46" t="s">
        <v>303</v>
      </c>
      <c r="Q33" s="44">
        <v>5001</v>
      </c>
      <c r="R33" s="437">
        <v>10000</v>
      </c>
      <c r="S33" s="44">
        <f>T33*Carátula!$K$14</f>
        <v>126148</v>
      </c>
      <c r="T33" s="438">
        <v>2</v>
      </c>
    </row>
    <row r="34" spans="3:20" ht="13">
      <c r="C34" s="478" t="s">
        <v>19</v>
      </c>
      <c r="D34" s="439">
        <f>IF(D31&lt;G32,H32,IF(D31&lt;G33,H33,IF(D31&lt;G34,H34,IF(D31&lt;G35,H35,IF(D31&lt;G36,H36,0)))))</f>
        <v>4.4999999999999998E-2</v>
      </c>
      <c r="E34" s="43"/>
      <c r="F34" s="422">
        <f>K34*Carátula!$K$14</f>
        <v>7568943.074</v>
      </c>
      <c r="G34" s="422">
        <f>L34*Carátula!$K$14</f>
        <v>15768500</v>
      </c>
      <c r="H34" s="428">
        <f t="shared" si="1"/>
        <v>0.03</v>
      </c>
      <c r="I34" s="429">
        <f t="shared" si="2"/>
        <v>1.8</v>
      </c>
      <c r="J34" s="43"/>
      <c r="K34" s="44">
        <v>120.001</v>
      </c>
      <c r="L34" s="44">
        <v>250</v>
      </c>
      <c r="M34" s="435">
        <v>0.03</v>
      </c>
      <c r="N34" s="436">
        <v>1.8</v>
      </c>
      <c r="O34" s="43"/>
      <c r="P34" s="46" t="s">
        <v>304</v>
      </c>
      <c r="Q34" s="440">
        <v>10001</v>
      </c>
      <c r="R34" s="441">
        <v>99999999999</v>
      </c>
      <c r="S34" s="440">
        <f>T34*Carátula!$K$14</f>
        <v>189222</v>
      </c>
      <c r="T34" s="442">
        <v>3</v>
      </c>
    </row>
    <row r="35" spans="3:20">
      <c r="C35" s="479" t="s">
        <v>212</v>
      </c>
      <c r="D35" s="443">
        <f>+D31*D34</f>
        <v>1525050</v>
      </c>
      <c r="E35" s="43"/>
      <c r="F35" s="422">
        <f>K35*Carátula!$K$14</f>
        <v>15768563.074000001</v>
      </c>
      <c r="G35" s="422">
        <f>L35*Carátula!$K$14</f>
        <v>25229600</v>
      </c>
      <c r="H35" s="428">
        <f t="shared" si="1"/>
        <v>0.04</v>
      </c>
      <c r="I35" s="429">
        <f t="shared" si="2"/>
        <v>4.3</v>
      </c>
      <c r="J35" s="43"/>
      <c r="K35" s="44">
        <v>250.001</v>
      </c>
      <c r="L35" s="44">
        <v>400</v>
      </c>
      <c r="M35" s="435">
        <v>0.04</v>
      </c>
      <c r="N35" s="436">
        <v>4.3</v>
      </c>
      <c r="O35" s="43"/>
      <c r="P35" s="43"/>
      <c r="Q35" s="43"/>
      <c r="R35" s="43"/>
      <c r="S35" s="43"/>
      <c r="T35" s="43"/>
    </row>
    <row r="36" spans="3:20" ht="13">
      <c r="C36" s="480" t="s">
        <v>213</v>
      </c>
      <c r="D36" s="550">
        <f>+IF(Carátula!$I$29=6,Carátula!$K$14*IFERROR(VLOOKUP(Carátula!$F$31,$Q$32:$T$34,4),1),D35-D33)</f>
        <v>1127683.8</v>
      </c>
      <c r="E36" s="43"/>
      <c r="F36" s="444">
        <f>K36*Carátula!$K$14</f>
        <v>25229663.073999997</v>
      </c>
      <c r="G36" s="444">
        <f>L36*Carátula!$K$14</f>
        <v>6.3073999999936928E+16</v>
      </c>
      <c r="H36" s="445">
        <f t="shared" si="1"/>
        <v>4.4999999999999998E-2</v>
      </c>
      <c r="I36" s="446">
        <f t="shared" si="2"/>
        <v>6.3</v>
      </c>
      <c r="J36" s="43"/>
      <c r="K36" s="440">
        <v>400.00099999999998</v>
      </c>
      <c r="L36" s="440">
        <v>999999999999</v>
      </c>
      <c r="M36" s="447">
        <v>4.4999999999999998E-2</v>
      </c>
      <c r="N36" s="448">
        <v>6.3</v>
      </c>
      <c r="O36" s="43"/>
      <c r="P36" s="43"/>
      <c r="Q36" s="43"/>
      <c r="R36" s="43"/>
      <c r="S36" s="43"/>
      <c r="T36" s="43"/>
    </row>
    <row r="37" spans="3:20">
      <c r="C37" s="481" t="s">
        <v>214</v>
      </c>
      <c r="D37" s="449">
        <v>12</v>
      </c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</row>
    <row r="38" spans="3:20" ht="13">
      <c r="C38" s="511" t="s">
        <v>517</v>
      </c>
    </row>
    <row r="42" spans="3:20" ht="18">
      <c r="C42" s="804" t="s">
        <v>221</v>
      </c>
      <c r="D42" s="805"/>
      <c r="E42" s="805"/>
      <c r="F42" s="805"/>
      <c r="G42" s="805"/>
    </row>
    <row r="44" spans="3:20" ht="13">
      <c r="C44" s="450" t="s">
        <v>222</v>
      </c>
      <c r="D44" s="451">
        <f>Carátula!$K$38</f>
        <v>0.03</v>
      </c>
      <c r="E44" s="43"/>
    </row>
    <row r="45" spans="3:20">
      <c r="C45" s="43"/>
      <c r="D45" s="43"/>
      <c r="E45" s="43"/>
    </row>
    <row r="46" spans="3:20" ht="13">
      <c r="C46" s="452" t="s">
        <v>217</v>
      </c>
      <c r="D46" s="501" t="s">
        <v>216</v>
      </c>
      <c r="E46" s="501" t="s">
        <v>258</v>
      </c>
    </row>
    <row r="47" spans="3:20">
      <c r="C47" s="114" t="s">
        <v>332</v>
      </c>
      <c r="D47" s="47">
        <v>1</v>
      </c>
      <c r="E47" s="502">
        <v>0.08</v>
      </c>
    </row>
    <row r="48" spans="3:20">
      <c r="C48" s="114" t="s">
        <v>218</v>
      </c>
      <c r="D48" s="47">
        <v>2</v>
      </c>
      <c r="E48" s="502">
        <v>0.08</v>
      </c>
    </row>
    <row r="49" spans="3:7">
      <c r="C49" s="114" t="s">
        <v>219</v>
      </c>
      <c r="D49" s="47">
        <v>3</v>
      </c>
      <c r="E49" s="502">
        <v>0.1</v>
      </c>
    </row>
    <row r="50" spans="3:7">
      <c r="C50" s="114" t="s">
        <v>27</v>
      </c>
      <c r="D50" s="47">
        <v>4</v>
      </c>
      <c r="E50" s="502">
        <v>7.0000000000000007E-2</v>
      </c>
    </row>
    <row r="51" spans="3:7">
      <c r="C51" s="114" t="s">
        <v>220</v>
      </c>
      <c r="D51" s="47">
        <v>5</v>
      </c>
      <c r="E51" s="502">
        <v>0.08</v>
      </c>
    </row>
    <row r="52" spans="3:7">
      <c r="C52" s="453" t="s">
        <v>488</v>
      </c>
      <c r="D52" s="443">
        <v>6</v>
      </c>
      <c r="E52" s="549">
        <v>0.08</v>
      </c>
    </row>
    <row r="56" spans="3:7" ht="18">
      <c r="C56" s="804" t="s">
        <v>223</v>
      </c>
      <c r="D56" s="805"/>
      <c r="E56" s="805"/>
      <c r="F56" s="805"/>
      <c r="G56" s="805"/>
    </row>
    <row r="58" spans="3:7" ht="13">
      <c r="C58" s="450" t="s">
        <v>225</v>
      </c>
      <c r="D58" s="454" t="str">
        <f>Carátula!$K$29</f>
        <v>MIXTO</v>
      </c>
      <c r="E58" s="455">
        <f>Carátula!$L$29</f>
        <v>6</v>
      </c>
    </row>
    <row r="59" spans="3:7">
      <c r="C59" s="43"/>
      <c r="D59" s="43"/>
      <c r="E59" s="43"/>
    </row>
    <row r="60" spans="3:7" ht="13">
      <c r="C60" s="456" t="s">
        <v>612</v>
      </c>
      <c r="D60" s="457">
        <v>1</v>
      </c>
      <c r="E60" s="43"/>
    </row>
    <row r="61" spans="3:7" ht="13">
      <c r="C61" s="458"/>
      <c r="D61" s="459">
        <v>2</v>
      </c>
      <c r="E61" s="43"/>
    </row>
    <row r="62" spans="3:7" ht="13">
      <c r="C62" s="458" t="s">
        <v>355</v>
      </c>
      <c r="D62" s="459">
        <v>3</v>
      </c>
      <c r="E62" s="43"/>
    </row>
    <row r="63" spans="3:7" ht="13">
      <c r="C63" s="458"/>
      <c r="D63" s="459">
        <v>4</v>
      </c>
      <c r="E63" s="43"/>
    </row>
    <row r="64" spans="3:7" ht="13">
      <c r="C64" s="458" t="s">
        <v>357</v>
      </c>
      <c r="D64" s="459">
        <v>5</v>
      </c>
      <c r="E64" s="43"/>
    </row>
    <row r="65" spans="3:7" ht="13">
      <c r="C65" s="460" t="s">
        <v>224</v>
      </c>
      <c r="D65" s="84">
        <v>6</v>
      </c>
      <c r="E65" s="43"/>
    </row>
    <row r="69" spans="3:7" ht="18">
      <c r="C69" s="804" t="s">
        <v>490</v>
      </c>
      <c r="D69" s="805"/>
      <c r="E69" s="805"/>
      <c r="F69" s="805"/>
      <c r="G69" s="805"/>
    </row>
    <row r="71" spans="3:7" ht="13">
      <c r="C71" s="450" t="s">
        <v>216</v>
      </c>
      <c r="D71" s="455">
        <f>Carátula!I29</f>
        <v>1</v>
      </c>
      <c r="E71" s="426" t="s">
        <v>487</v>
      </c>
      <c r="F71" s="426" t="s">
        <v>491</v>
      </c>
      <c r="G71" s="426" t="s">
        <v>520</v>
      </c>
    </row>
    <row r="72" spans="3:7">
      <c r="C72" s="43"/>
      <c r="D72" s="43"/>
    </row>
    <row r="73" spans="3:7">
      <c r="C73" s="482" t="s">
        <v>332</v>
      </c>
      <c r="D73" s="483">
        <v>1</v>
      </c>
      <c r="E73" s="546">
        <v>10100</v>
      </c>
      <c r="F73" s="546">
        <v>8700</v>
      </c>
      <c r="G73" s="546" t="s">
        <v>521</v>
      </c>
    </row>
    <row r="74" spans="3:7">
      <c r="C74" s="114" t="s">
        <v>218</v>
      </c>
      <c r="D74" s="47">
        <v>2</v>
      </c>
      <c r="E74" s="547">
        <v>15400</v>
      </c>
      <c r="F74" s="547">
        <v>8700</v>
      </c>
      <c r="G74" s="547" t="s">
        <v>521</v>
      </c>
    </row>
    <row r="75" spans="3:7">
      <c r="C75" s="114" t="s">
        <v>219</v>
      </c>
      <c r="D75" s="47">
        <v>3</v>
      </c>
      <c r="E75" s="547">
        <v>10100</v>
      </c>
      <c r="F75" s="547">
        <v>5450</v>
      </c>
      <c r="G75" s="547" t="s">
        <v>521</v>
      </c>
    </row>
    <row r="76" spans="3:7">
      <c r="C76" s="114" t="s">
        <v>27</v>
      </c>
      <c r="D76" s="47">
        <v>4</v>
      </c>
      <c r="E76" s="547">
        <v>10100</v>
      </c>
      <c r="F76" s="547">
        <v>5450</v>
      </c>
      <c r="G76" s="547" t="s">
        <v>521</v>
      </c>
    </row>
    <row r="77" spans="3:7">
      <c r="C77" s="114" t="s">
        <v>220</v>
      </c>
      <c r="D77" s="47">
        <v>5</v>
      </c>
      <c r="E77" s="547">
        <v>15400</v>
      </c>
      <c r="F77" s="547">
        <v>16990</v>
      </c>
      <c r="G77" s="547" t="s">
        <v>522</v>
      </c>
    </row>
    <row r="78" spans="3:7">
      <c r="C78" s="453" t="s">
        <v>488</v>
      </c>
      <c r="D78" s="443">
        <v>6</v>
      </c>
      <c r="E78" s="548">
        <v>23400</v>
      </c>
      <c r="F78" s="548">
        <v>18900</v>
      </c>
      <c r="G78" s="548" t="s">
        <v>522</v>
      </c>
    </row>
    <row r="82" spans="2:13" ht="18">
      <c r="C82" s="804" t="s">
        <v>486</v>
      </c>
      <c r="D82" s="805"/>
      <c r="E82" s="805"/>
      <c r="F82" s="805"/>
      <c r="G82" s="805"/>
      <c r="J82" s="301"/>
      <c r="K82" s="301"/>
      <c r="L82" s="301"/>
      <c r="M82" s="301"/>
    </row>
    <row r="83" spans="2:13">
      <c r="C83" s="301"/>
      <c r="D83" s="301"/>
      <c r="E83" s="302"/>
      <c r="F83" s="303"/>
      <c r="G83" s="301"/>
      <c r="H83" s="301"/>
      <c r="I83" s="301"/>
      <c r="J83" s="301"/>
      <c r="K83" s="301"/>
      <c r="L83" s="301"/>
      <c r="M83" s="301"/>
    </row>
    <row r="84" spans="2:13">
      <c r="C84" s="461" t="s">
        <v>358</v>
      </c>
      <c r="D84" s="462" t="str">
        <f>Carátula!K29</f>
        <v>MIXTO</v>
      </c>
      <c r="E84" s="305">
        <f>VLOOKUP(D84,$C$60:$D$65,2,0)</f>
        <v>6</v>
      </c>
      <c r="F84" s="303"/>
      <c r="G84" s="301"/>
      <c r="H84" s="301"/>
      <c r="I84" s="301"/>
      <c r="J84" s="301"/>
      <c r="K84" s="301"/>
      <c r="L84" s="301"/>
      <c r="M84" s="301"/>
    </row>
    <row r="85" spans="2:13">
      <c r="C85" s="461" t="s">
        <v>216</v>
      </c>
      <c r="D85" s="461">
        <f>Carátula!I29</f>
        <v>1</v>
      </c>
      <c r="E85" s="302"/>
      <c r="F85" s="303"/>
      <c r="G85" s="301"/>
      <c r="H85" s="301"/>
      <c r="I85" s="301"/>
      <c r="J85" s="301"/>
      <c r="K85" s="301"/>
      <c r="L85" s="301"/>
      <c r="M85" s="301"/>
    </row>
    <row r="86" spans="2:13">
      <c r="C86" s="461" t="s">
        <v>226</v>
      </c>
      <c r="D86" s="461">
        <f>Carátula!$G$39</f>
        <v>48</v>
      </c>
      <c r="E86" s="302"/>
      <c r="F86" s="303"/>
      <c r="G86" s="301"/>
      <c r="H86" s="301"/>
      <c r="I86" s="301"/>
      <c r="J86" s="301"/>
      <c r="K86" s="301"/>
      <c r="L86" s="301"/>
      <c r="M86" s="301"/>
    </row>
    <row r="87" spans="2:13" ht="13">
      <c r="C87" s="463" t="s">
        <v>319</v>
      </c>
      <c r="D87" s="464">
        <f>VLOOKUP(D86+3,$C$90:$D$98,2)</f>
        <v>0.45000000000000007</v>
      </c>
      <c r="E87" s="302"/>
      <c r="F87" s="303"/>
      <c r="G87" s="301"/>
      <c r="H87" s="301"/>
      <c r="I87" s="301"/>
      <c r="J87" s="301"/>
      <c r="K87" s="301"/>
      <c r="L87" s="301"/>
      <c r="M87" s="301"/>
    </row>
    <row r="88" spans="2:13">
      <c r="C88" s="44"/>
      <c r="D88" s="44"/>
      <c r="E88" s="302"/>
      <c r="F88" s="303"/>
      <c r="G88" s="301"/>
      <c r="H88" s="301"/>
      <c r="I88" s="301"/>
      <c r="J88" s="301"/>
      <c r="K88" s="301"/>
      <c r="L88" s="301"/>
      <c r="M88" s="301"/>
    </row>
    <row r="89" spans="2:13" ht="13">
      <c r="C89" s="465" t="s">
        <v>227</v>
      </c>
      <c r="D89" s="423" t="s">
        <v>319</v>
      </c>
      <c r="E89" s="306"/>
      <c r="F89" s="307"/>
      <c r="G89" s="308"/>
      <c r="H89" s="308"/>
      <c r="I89" s="308"/>
      <c r="J89" s="308"/>
      <c r="K89" s="308"/>
      <c r="L89" s="308"/>
      <c r="M89" s="308"/>
    </row>
    <row r="90" spans="2:13">
      <c r="B90" s="467">
        <v>3</v>
      </c>
      <c r="C90" s="48">
        <v>12</v>
      </c>
      <c r="D90" s="499">
        <f>IF(Carátula!$E$8="RENTING",HLOOKUP($D$85,$D$102:$O$112,$B90,0)*IF($D$84&amp;" - RENTING"=$C$102,1,0),0)+IF(Carátula!$E$8="LEASING OPERATIVO",HLOOKUP($D$85,$D$114:$O$124,$B90,0)*IF($D$84=$C$114,1,0)+HLOOKUP($D$85,$D$126:$O$136,$B90,0)*IF($D$84=$C$126,1,0)+HLOOKUP($D$85,$D$138:$O$148,$B90,0)*IF($D$84=$C$138,1,0)+HLOOKUP($D$85,$D$150:$O$160,$B90,0)*IF($D$84=$C$150,1,0)+HLOOKUP($D$85,$D$162:$O$172,$B90,0)*IF($D$84=$C$162,1,0)+HLOOKUP($D$85,$D$174:$O$184,$B90,0)*IF($D$84=$C$174,1,0),0)</f>
        <v>0.75</v>
      </c>
      <c r="E90" s="310">
        <f>IF($D$84&amp;" - RENTING"=$C$102,1,0)</f>
        <v>0</v>
      </c>
      <c r="F90" s="303"/>
      <c r="G90" s="301"/>
      <c r="H90" s="301"/>
      <c r="I90" s="301"/>
      <c r="J90" s="301"/>
      <c r="K90" s="301"/>
      <c r="L90" s="301"/>
      <c r="M90" s="301"/>
    </row>
    <row r="91" spans="2:13">
      <c r="B91" s="467">
        <v>4</v>
      </c>
      <c r="C91" s="48">
        <v>18</v>
      </c>
      <c r="D91" s="499">
        <f>IF(Carátula!$E$8="RENTING",HLOOKUP($D$85,$D$102:$O$112,$B91,0)*IF($D$84&amp;" - RENTING"=$C$102,1,0),0)+IF(Carátula!$E$8="LEASING OPERATIVO",HLOOKUP($D$85,$D$114:$O$124,$B91,0)*IF($D$84=$C$114,1,0)+HLOOKUP($D$85,$D$126:$O$136,$B91,0)*IF($D$84=$C$126,1,0)+HLOOKUP($D$85,$D$138:$O$148,$B91,0)*IF($D$84=$C$138,1,0)+HLOOKUP($D$85,$D$150:$O$160,$B91,0)*IF($D$84=$C$150,1,0)+HLOOKUP($D$85,$D$162:$O$172,$B91,0)*IF($D$84=$C$162,1,0)+HLOOKUP($D$85,$D$174:$O$184,$B91,0)*IF($D$84=$C$174,1,0),0)</f>
        <v>0.7</v>
      </c>
      <c r="E91" s="310">
        <f>HLOOKUP($D$85,$D$102:$O$112,$B90,0)</f>
        <v>0.78400000000000003</v>
      </c>
      <c r="F91" s="303"/>
      <c r="G91" s="301"/>
      <c r="H91" s="301"/>
      <c r="I91" s="301"/>
      <c r="J91" s="301"/>
      <c r="K91" s="301"/>
      <c r="L91" s="301"/>
      <c r="M91" s="301"/>
    </row>
    <row r="92" spans="2:13">
      <c r="B92" s="467">
        <v>5</v>
      </c>
      <c r="C92" s="48">
        <v>24</v>
      </c>
      <c r="D92" s="499">
        <f>IF(Carátula!$E$8="RENTING",HLOOKUP($D$85,$D$102:$O$112,$B92,0)*IF($D$84&amp;" - RENTING"=$C$102,1,0),0)+IF(Carátula!$E$8="LEASING OPERATIVO",HLOOKUP($D$85,$D$114:$O$124,$B92,0)*IF($D$84=$C$114,1,0)+HLOOKUP($D$85,$D$126:$O$136,$B92,0)*IF($D$84=$C$126,1,0)+HLOOKUP($D$85,$D$138:$O$148,$B92,0)*IF($D$84=$C$138,1,0)+HLOOKUP($D$85,$D$150:$O$160,$B92,0)*IF($D$84=$C$150,1,0)+HLOOKUP($D$85,$D$162:$O$172,$B92,0)*IF($D$84=$C$162,1,0)+HLOOKUP($D$85,$D$174:$O$184,$B92,0)*IF($D$84=$C$174,1,0),0)</f>
        <v>0.65</v>
      </c>
      <c r="E92" s="310"/>
      <c r="F92" s="303"/>
      <c r="G92" s="304"/>
      <c r="H92" s="301"/>
      <c r="I92" s="301"/>
      <c r="J92" s="301"/>
      <c r="K92" s="301"/>
      <c r="L92" s="301"/>
      <c r="M92" s="301"/>
    </row>
    <row r="93" spans="2:13">
      <c r="B93" s="467">
        <v>6</v>
      </c>
      <c r="C93" s="48">
        <v>30</v>
      </c>
      <c r="D93" s="499">
        <f>IF(Carátula!$E$8="RENTING",HLOOKUP($D$85,$D$102:$O$112,$B93,0)*IF($D$84&amp;" - RENTING"=$C$102,1,0),0)+IF(Carátula!$E$8="LEASING OPERATIVO",HLOOKUP($D$85,$D$114:$O$124,$B93,0)*IF($D$84=$C$114,1,0)+HLOOKUP($D$85,$D$126:$O$136,$B93,0)*IF($D$84=$C$126,1,0)+HLOOKUP($D$85,$D$138:$O$148,$B93,0)*IF($D$84=$C$138,1,0)+HLOOKUP($D$85,$D$150:$O$160,$B93,0)*IF($D$84=$C$150,1,0)+HLOOKUP($D$85,$D$162:$O$172,$B93,0)*IF($D$84=$C$162,1,0)+HLOOKUP($D$85,$D$174:$O$184,$B93,0)*IF($D$84=$C$174,1,0),0)</f>
        <v>0.60000000000000009</v>
      </c>
      <c r="E93" s="310"/>
      <c r="F93" s="303"/>
      <c r="G93" s="304"/>
      <c r="H93" s="301"/>
      <c r="I93" s="301"/>
      <c r="J93" s="301"/>
      <c r="K93" s="301"/>
      <c r="L93" s="301"/>
      <c r="M93" s="301"/>
    </row>
    <row r="94" spans="2:13">
      <c r="B94" s="467">
        <v>7</v>
      </c>
      <c r="C94" s="48">
        <v>36</v>
      </c>
      <c r="D94" s="499">
        <f>IF(Carátula!$E$8="RENTING",HLOOKUP($D$85,$D$102:$O$112,$B94,0)*IF($D$84&amp;" - RENTING"=$C$102,1,0),0)+IF(Carátula!$E$8="LEASING OPERATIVO",HLOOKUP($D$85,$D$114:$O$124,$B94,0)*IF($D$84=$C$114,1,0)+HLOOKUP($D$85,$D$126:$O$136,$B94,0)*IF($D$84=$C$126,1,0)+HLOOKUP($D$85,$D$138:$O$148,$B94,0)*IF($D$84=$C$138,1,0)+HLOOKUP($D$85,$D$150:$O$160,$B94,0)*IF($D$84=$C$150,1,0)+HLOOKUP($D$85,$D$162:$O$172,$B94,0)*IF($D$84=$C$162,1,0)+HLOOKUP($D$85,$D$174:$O$184,$B94,0)*IF($D$84=$C$174,1,0),0)</f>
        <v>0.55000000000000004</v>
      </c>
      <c r="E94" s="310"/>
      <c r="F94" s="303"/>
      <c r="G94" s="301"/>
      <c r="H94" s="301"/>
      <c r="I94" s="301"/>
      <c r="J94" s="301"/>
      <c r="K94" s="301"/>
      <c r="L94" s="301"/>
      <c r="M94" s="301"/>
    </row>
    <row r="95" spans="2:13">
      <c r="B95" s="467">
        <v>8</v>
      </c>
      <c r="C95" s="48">
        <v>42</v>
      </c>
      <c r="D95" s="499">
        <f>IF(Carátula!$E$8="RENTING",HLOOKUP($D$85,$D$102:$O$112,$B95,0)*IF($D$84&amp;" - RENTING"=$C$102,1,0),0)+IF(Carátula!$E$8="LEASING OPERATIVO",HLOOKUP($D$85,$D$114:$O$124,$B95,0)*IF($D$84=$C$114,1,0)+HLOOKUP($D$85,$D$126:$O$136,$B95,0)*IF($D$84=$C$126,1,0)+HLOOKUP($D$85,$D$138:$O$148,$B95,0)*IF($D$84=$C$138,1,0)+HLOOKUP($D$85,$D$150:$O$160,$B95,0)*IF($D$84=$C$150,1,0)+HLOOKUP($D$85,$D$162:$O$172,$B95,0)*IF($D$84=$C$162,1,0)+HLOOKUP($D$85,$D$174:$O$184,$B95,0)*IF($D$84=$C$174,1,0),0)</f>
        <v>0.5</v>
      </c>
      <c r="E95" s="310"/>
      <c r="F95" s="303"/>
      <c r="G95" s="301"/>
      <c r="H95" s="301"/>
      <c r="I95" s="301"/>
      <c r="J95" s="301"/>
      <c r="K95" s="301"/>
      <c r="L95" s="301"/>
      <c r="M95" s="301"/>
    </row>
    <row r="96" spans="2:13">
      <c r="B96" s="467">
        <v>9</v>
      </c>
      <c r="C96" s="48">
        <v>48</v>
      </c>
      <c r="D96" s="499">
        <f>IF(Carátula!$E$8="RENTING",HLOOKUP($D$85,$D$102:$O$112,$B96,0)*IF($D$84&amp;" - RENTING"=$C$102,1,0),0)+IF(Carátula!$E$8="LEASING OPERATIVO",HLOOKUP($D$85,$D$114:$O$124,$B96,0)*IF($D$84=$C$114,1,0)+HLOOKUP($D$85,$D$126:$O$136,$B96,0)*IF($D$84=$C$126,1,0)+HLOOKUP($D$85,$D$138:$O$148,$B96,0)*IF($D$84=$C$138,1,0)+HLOOKUP($D$85,$D$150:$O$160,$B96,0)*IF($D$84=$C$150,1,0)+HLOOKUP($D$85,$D$162:$O$172,$B96,0)*IF($D$84=$C$162,1,0)+HLOOKUP($D$85,$D$174:$O$184,$B96,0)*IF($D$84=$C$174,1,0),0)</f>
        <v>0.45000000000000007</v>
      </c>
      <c r="E96" s="310"/>
      <c r="F96" s="303"/>
      <c r="G96" s="301"/>
      <c r="H96" s="301"/>
      <c r="I96" s="301"/>
      <c r="J96" s="301"/>
      <c r="K96" s="301"/>
      <c r="L96" s="301"/>
      <c r="M96" s="301"/>
    </row>
    <row r="97" spans="2:15">
      <c r="B97" s="467">
        <v>10</v>
      </c>
      <c r="C97" s="48">
        <v>54</v>
      </c>
      <c r="D97" s="499">
        <f>IF(Carátula!$E$8="RENTING",HLOOKUP($D$85,$D$102:$O$112,$B97,0)*IF($D$84&amp;" - RENTING"=$C$102,1,0),0)+IF(Carátula!$E$8="LEASING OPERATIVO",HLOOKUP($D$85,$D$114:$O$124,$B97,0)*IF($D$84=$C$114,1,0)+HLOOKUP($D$85,$D$126:$O$136,$B97,0)*IF($D$84=$C$126,1,0)+HLOOKUP($D$85,$D$138:$O$148,$B97,0)*IF($D$84=$C$138,1,0)+HLOOKUP($D$85,$D$150:$O$160,$B97,0)*IF($D$84=$C$150,1,0)+HLOOKUP($D$85,$D$162:$O$172,$B97,0)*IF($D$84=$C$162,1,0)+HLOOKUP($D$85,$D$174:$O$184,$B97,0)*IF($D$84=$C$174,1,0),0)</f>
        <v>0.40000000000000008</v>
      </c>
      <c r="E97" s="310"/>
      <c r="F97" s="303"/>
      <c r="G97" s="301"/>
      <c r="H97" s="301"/>
      <c r="I97" s="301"/>
      <c r="J97" s="301"/>
      <c r="K97" s="301"/>
      <c r="L97" s="301"/>
      <c r="M97" s="301"/>
    </row>
    <row r="98" spans="2:15">
      <c r="B98" s="467">
        <v>11</v>
      </c>
      <c r="C98" s="466">
        <v>60</v>
      </c>
      <c r="D98" s="500">
        <f>IF(Carátula!$E$8="RENTING",HLOOKUP($D$85,$D$102:$O$112,$B98,0)*IF($D$84&amp;" - RENTING"=$C$102,1,0),0)+IF(Carátula!$E$8="LEASING OPERATIVO",HLOOKUP($D$85,$D$114:$O$124,$B98,0)*IF($D$84=$C$114,1,0)+HLOOKUP($D$85,$D$126:$O$136,$B98,0)*IF($D$84=$C$126,1,0)+HLOOKUP($D$85,$D$138:$O$148,$B98,0)*IF($D$84=$C$138,1,0)+HLOOKUP($D$85,$D$150:$O$160,$B98,0)*IF($D$84=$C$150,1,0)+HLOOKUP($D$85,$D$162:$O$172,$B98,0)*IF($D$84=$C$162,1,0)+HLOOKUP($D$85,$D$174:$O$184,$B98,0)*IF($D$84=$C$174,1,0),0)</f>
        <v>0.35000000000000009</v>
      </c>
      <c r="E98" s="310"/>
      <c r="F98" s="303"/>
      <c r="G98" s="301"/>
      <c r="H98" s="301"/>
      <c r="I98" s="301"/>
      <c r="J98" s="301"/>
      <c r="K98" s="301"/>
      <c r="L98" s="301"/>
      <c r="M98" s="301"/>
    </row>
    <row r="99" spans="2:15">
      <c r="C99" s="301"/>
      <c r="D99" s="301"/>
      <c r="E99" s="302"/>
      <c r="F99" s="303"/>
      <c r="G99" s="301"/>
      <c r="H99" s="301"/>
      <c r="I99" s="301"/>
      <c r="J99" s="301"/>
      <c r="K99" s="301"/>
      <c r="L99" s="301"/>
      <c r="M99" s="301"/>
    </row>
    <row r="100" spans="2:15">
      <c r="C100" s="301"/>
      <c r="D100" s="301"/>
      <c r="E100" s="302"/>
      <c r="F100" s="303"/>
      <c r="G100" s="301"/>
      <c r="H100" s="301"/>
      <c r="I100" s="301"/>
      <c r="J100" s="301"/>
      <c r="K100" s="301"/>
      <c r="L100" s="301"/>
      <c r="M100" s="301"/>
    </row>
    <row r="101" spans="2:15">
      <c r="C101" s="301"/>
      <c r="D101" s="301"/>
      <c r="E101" s="302"/>
      <c r="F101" s="303"/>
      <c r="G101" s="301"/>
      <c r="H101" s="301"/>
      <c r="I101" s="301"/>
      <c r="J101" s="301"/>
      <c r="K101" s="301"/>
      <c r="L101" s="301"/>
      <c r="M101" s="301"/>
    </row>
    <row r="102" spans="2:15" s="494" customFormat="1" ht="13">
      <c r="B102" s="495">
        <v>1</v>
      </c>
      <c r="C102" s="496" t="s">
        <v>613</v>
      </c>
      <c r="D102" s="497" t="s">
        <v>488</v>
      </c>
      <c r="E102" s="493">
        <v>6</v>
      </c>
      <c r="F102" s="497" t="s">
        <v>228</v>
      </c>
      <c r="G102" s="493">
        <v>5</v>
      </c>
      <c r="H102" s="497" t="s">
        <v>27</v>
      </c>
      <c r="I102" s="493">
        <v>4</v>
      </c>
      <c r="J102" s="498" t="s">
        <v>219</v>
      </c>
      <c r="K102" s="493">
        <v>3</v>
      </c>
      <c r="L102" s="497" t="s">
        <v>218</v>
      </c>
      <c r="M102" s="493">
        <v>2</v>
      </c>
      <c r="N102" s="497" t="s">
        <v>332</v>
      </c>
      <c r="O102" s="493">
        <v>1</v>
      </c>
    </row>
    <row r="103" spans="2:15" ht="13">
      <c r="B103" s="467"/>
      <c r="C103" s="470" t="s">
        <v>227</v>
      </c>
      <c r="D103" s="486" t="s">
        <v>32</v>
      </c>
      <c r="E103" s="471" t="s">
        <v>319</v>
      </c>
      <c r="F103" s="486" t="s">
        <v>32</v>
      </c>
      <c r="G103" s="471" t="s">
        <v>319</v>
      </c>
      <c r="H103" s="486" t="s">
        <v>32</v>
      </c>
      <c r="I103" s="471" t="s">
        <v>319</v>
      </c>
      <c r="J103" s="486" t="s">
        <v>32</v>
      </c>
      <c r="K103" s="471" t="s">
        <v>319</v>
      </c>
      <c r="L103" s="486" t="s">
        <v>32</v>
      </c>
      <c r="M103" s="471" t="s">
        <v>319</v>
      </c>
      <c r="N103" s="486" t="s">
        <v>32</v>
      </c>
      <c r="O103" s="471" t="s">
        <v>319</v>
      </c>
    </row>
    <row r="104" spans="2:15">
      <c r="B104" s="467"/>
      <c r="C104" s="472">
        <v>12</v>
      </c>
      <c r="D104" s="487"/>
      <c r="E104" s="488"/>
      <c r="F104" s="487"/>
      <c r="G104" s="488"/>
      <c r="H104" s="487"/>
      <c r="I104" s="488">
        <v>0.7</v>
      </c>
      <c r="J104" s="487"/>
      <c r="K104" s="488">
        <f>1-$C104*1%</f>
        <v>0.88</v>
      </c>
      <c r="L104" s="487"/>
      <c r="M104" s="488"/>
      <c r="N104" s="487"/>
      <c r="O104" s="488">
        <v>0.78400000000000003</v>
      </c>
    </row>
    <row r="105" spans="2:15">
      <c r="B105" s="467"/>
      <c r="C105" s="473">
        <v>18</v>
      </c>
      <c r="D105" s="489"/>
      <c r="E105" s="490"/>
      <c r="F105" s="489"/>
      <c r="G105" s="490"/>
      <c r="H105" s="489"/>
      <c r="I105" s="490">
        <f>(I104+I106)/2</f>
        <v>0.64999999999999991</v>
      </c>
      <c r="J105" s="489"/>
      <c r="K105" s="490">
        <f>(K104+K106)/2</f>
        <v>0.82000000000000006</v>
      </c>
      <c r="L105" s="489"/>
      <c r="M105" s="490"/>
      <c r="N105" s="489"/>
      <c r="O105" s="490">
        <f>(O104+O106)/2</f>
        <v>0.72199999999999998</v>
      </c>
    </row>
    <row r="106" spans="2:15">
      <c r="B106" s="467"/>
      <c r="C106" s="472">
        <v>24</v>
      </c>
      <c r="D106" s="487"/>
      <c r="E106" s="488"/>
      <c r="F106" s="487"/>
      <c r="G106" s="488"/>
      <c r="H106" s="487"/>
      <c r="I106" s="488">
        <v>0.6</v>
      </c>
      <c r="J106" s="487"/>
      <c r="K106" s="488">
        <f>1-$C106*1%</f>
        <v>0.76</v>
      </c>
      <c r="L106" s="487"/>
      <c r="M106" s="488"/>
      <c r="N106" s="487"/>
      <c r="O106" s="488">
        <v>0.66</v>
      </c>
    </row>
    <row r="107" spans="2:15">
      <c r="B107" s="467"/>
      <c r="C107" s="473">
        <v>30</v>
      </c>
      <c r="D107" s="489"/>
      <c r="E107" s="490"/>
      <c r="F107" s="489"/>
      <c r="G107" s="490"/>
      <c r="H107" s="489"/>
      <c r="I107" s="490">
        <f>(I106+I108)/2</f>
        <v>0.55000000000000004</v>
      </c>
      <c r="J107" s="489"/>
      <c r="K107" s="490">
        <f>(K106+K108)/2</f>
        <v>0.7</v>
      </c>
      <c r="L107" s="489"/>
      <c r="M107" s="490"/>
      <c r="N107" s="489"/>
      <c r="O107" s="490">
        <f>(O106+O108)/2</f>
        <v>0.60499999999999998</v>
      </c>
    </row>
    <row r="108" spans="2:15">
      <c r="B108" s="467"/>
      <c r="C108" s="472">
        <v>36</v>
      </c>
      <c r="D108" s="487"/>
      <c r="E108" s="488"/>
      <c r="F108" s="487"/>
      <c r="G108" s="488"/>
      <c r="H108" s="487"/>
      <c r="I108" s="488">
        <v>0.5</v>
      </c>
      <c r="J108" s="487"/>
      <c r="K108" s="488">
        <f>1-$C108*1%</f>
        <v>0.64</v>
      </c>
      <c r="L108" s="487"/>
      <c r="M108" s="488"/>
      <c r="N108" s="487"/>
      <c r="O108" s="488">
        <v>0.55000000000000004</v>
      </c>
    </row>
    <row r="109" spans="2:15">
      <c r="B109" s="467"/>
      <c r="C109" s="473"/>
      <c r="D109" s="487"/>
      <c r="E109" s="488"/>
      <c r="F109" s="487"/>
      <c r="G109" s="488"/>
      <c r="H109" s="487"/>
      <c r="I109" s="488"/>
      <c r="J109" s="487"/>
      <c r="K109" s="488"/>
      <c r="L109" s="487"/>
      <c r="M109" s="488"/>
      <c r="N109" s="487"/>
      <c r="O109" s="488"/>
    </row>
    <row r="110" spans="2:15">
      <c r="B110" s="467"/>
      <c r="C110" s="472"/>
      <c r="D110" s="487"/>
      <c r="E110" s="488"/>
      <c r="F110" s="487"/>
      <c r="G110" s="488"/>
      <c r="H110" s="487"/>
      <c r="I110" s="488"/>
      <c r="J110" s="487"/>
      <c r="K110" s="488"/>
      <c r="L110" s="487"/>
      <c r="M110" s="488"/>
      <c r="N110" s="487"/>
      <c r="O110" s="488"/>
    </row>
    <row r="111" spans="2:15">
      <c r="B111" s="467"/>
      <c r="C111" s="473"/>
      <c r="D111" s="487"/>
      <c r="E111" s="488"/>
      <c r="F111" s="487"/>
      <c r="G111" s="488"/>
      <c r="H111" s="487"/>
      <c r="I111" s="488"/>
      <c r="J111" s="487"/>
      <c r="K111" s="488"/>
      <c r="L111" s="487"/>
      <c r="M111" s="488"/>
      <c r="N111" s="487"/>
      <c r="O111" s="488"/>
    </row>
    <row r="112" spans="2:15">
      <c r="B112" s="467"/>
      <c r="C112" s="474"/>
      <c r="D112" s="491"/>
      <c r="E112" s="492"/>
      <c r="F112" s="491"/>
      <c r="G112" s="492"/>
      <c r="H112" s="491"/>
      <c r="I112" s="492"/>
      <c r="J112" s="491"/>
      <c r="K112" s="492"/>
      <c r="L112" s="491"/>
      <c r="M112" s="492"/>
      <c r="N112" s="491"/>
      <c r="O112" s="492"/>
    </row>
    <row r="113" spans="2:15">
      <c r="B113" s="467"/>
      <c r="C113" s="43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</row>
    <row r="114" spans="2:15" s="494" customFormat="1" ht="13">
      <c r="B114" s="495">
        <v>1</v>
      </c>
      <c r="C114" s="496" t="s">
        <v>612</v>
      </c>
      <c r="D114" s="497" t="s">
        <v>488</v>
      </c>
      <c r="E114" s="493">
        <v>6</v>
      </c>
      <c r="F114" s="497" t="s">
        <v>228</v>
      </c>
      <c r="G114" s="493">
        <v>5</v>
      </c>
      <c r="H114" s="497" t="s">
        <v>27</v>
      </c>
      <c r="I114" s="493">
        <v>4</v>
      </c>
      <c r="J114" s="498" t="s">
        <v>219</v>
      </c>
      <c r="K114" s="493">
        <v>3</v>
      </c>
      <c r="L114" s="497" t="s">
        <v>218</v>
      </c>
      <c r="M114" s="493">
        <v>2</v>
      </c>
      <c r="N114" s="497" t="s">
        <v>332</v>
      </c>
      <c r="O114" s="493">
        <v>1</v>
      </c>
    </row>
    <row r="115" spans="2:15" ht="13">
      <c r="B115" s="467"/>
      <c r="C115" s="470" t="s">
        <v>227</v>
      </c>
      <c r="D115" s="486" t="s">
        <v>32</v>
      </c>
      <c r="E115" s="471" t="s">
        <v>319</v>
      </c>
      <c r="F115" s="486" t="s">
        <v>32</v>
      </c>
      <c r="G115" s="471" t="s">
        <v>319</v>
      </c>
      <c r="H115" s="486" t="s">
        <v>32</v>
      </c>
      <c r="I115" s="471" t="s">
        <v>319</v>
      </c>
      <c r="J115" s="486" t="s">
        <v>32</v>
      </c>
      <c r="K115" s="471" t="s">
        <v>319</v>
      </c>
      <c r="L115" s="486" t="s">
        <v>32</v>
      </c>
      <c r="M115" s="471" t="s">
        <v>319</v>
      </c>
      <c r="N115" s="486" t="s">
        <v>32</v>
      </c>
      <c r="O115" s="471" t="s">
        <v>319</v>
      </c>
    </row>
    <row r="116" spans="2:15">
      <c r="B116" s="467"/>
      <c r="C116" s="472">
        <v>12</v>
      </c>
      <c r="D116" s="487"/>
      <c r="E116" s="488">
        <f>'VR y % Depreciación'!E41</f>
        <v>0.75</v>
      </c>
      <c r="F116" s="487"/>
      <c r="G116" s="488">
        <f>'VR y % Depreciación'!E48</f>
        <v>0.75</v>
      </c>
      <c r="H116" s="487"/>
      <c r="I116" s="488">
        <f>'VR y % Depreciación'!E20</f>
        <v>0.7</v>
      </c>
      <c r="J116" s="487"/>
      <c r="K116" s="488">
        <f>'VR y % Depreciación'!E6</f>
        <v>0.81400000000000006</v>
      </c>
      <c r="L116" s="487"/>
      <c r="M116" s="488">
        <f>'VR y % Depreciación'!E27</f>
        <v>0.7</v>
      </c>
      <c r="N116" s="487"/>
      <c r="O116" s="488">
        <f>'VR y % Depreciación'!E34</f>
        <v>0.78400000000000003</v>
      </c>
    </row>
    <row r="117" spans="2:15">
      <c r="B117" s="467"/>
      <c r="C117" s="473">
        <v>18</v>
      </c>
      <c r="D117" s="489"/>
      <c r="E117" s="490">
        <f>(E116+E118)/2</f>
        <v>0.7</v>
      </c>
      <c r="F117" s="489"/>
      <c r="G117" s="490">
        <f>(G116+G118)/2</f>
        <v>0.73250000000000004</v>
      </c>
      <c r="H117" s="489"/>
      <c r="I117" s="490">
        <f>(I116+I118)/2</f>
        <v>0.64999999999999991</v>
      </c>
      <c r="J117" s="489"/>
      <c r="K117" s="490">
        <f>(K116+K118)/2</f>
        <v>0.748</v>
      </c>
      <c r="L117" s="489"/>
      <c r="M117" s="490">
        <f>(M116+M118)/2</f>
        <v>0.64999999999999991</v>
      </c>
      <c r="N117" s="489"/>
      <c r="O117" s="490">
        <f>(O116+O118)/2</f>
        <v>0.72199999999999998</v>
      </c>
    </row>
    <row r="118" spans="2:15">
      <c r="B118" s="467"/>
      <c r="C118" s="472">
        <v>24</v>
      </c>
      <c r="D118" s="487"/>
      <c r="E118" s="488">
        <f>'VR y % Depreciación'!E42</f>
        <v>0.65</v>
      </c>
      <c r="F118" s="487"/>
      <c r="G118" s="488">
        <f>'VR y % Depreciación'!E49</f>
        <v>0.71500000000000008</v>
      </c>
      <c r="H118" s="487"/>
      <c r="I118" s="488">
        <f>'VR y % Depreciación'!E21</f>
        <v>0.6</v>
      </c>
      <c r="J118" s="487"/>
      <c r="K118" s="488">
        <f>'VR y % Depreciación'!E7</f>
        <v>0.68200000000000005</v>
      </c>
      <c r="L118" s="487"/>
      <c r="M118" s="488">
        <f>'VR y % Depreciación'!E28</f>
        <v>0.6</v>
      </c>
      <c r="N118" s="487"/>
      <c r="O118" s="488">
        <f>'VR y % Depreciación'!E35</f>
        <v>0.66</v>
      </c>
    </row>
    <row r="119" spans="2:15">
      <c r="B119" s="467"/>
      <c r="C119" s="473">
        <v>30</v>
      </c>
      <c r="D119" s="489"/>
      <c r="E119" s="490">
        <f>(E118+E120)/2</f>
        <v>0.60000000000000009</v>
      </c>
      <c r="F119" s="489"/>
      <c r="G119" s="490">
        <f>(G118+G120)/2</f>
        <v>0.66000000000000014</v>
      </c>
      <c r="H119" s="489"/>
      <c r="I119" s="490">
        <f>(I118+I120)/2</f>
        <v>0.55000000000000004</v>
      </c>
      <c r="J119" s="489"/>
      <c r="K119" s="490">
        <f>(K118+K120)/2</f>
        <v>0.6160000000000001</v>
      </c>
      <c r="L119" s="489"/>
      <c r="M119" s="490">
        <f>(M118+M120)/2</f>
        <v>0.55000000000000004</v>
      </c>
      <c r="N119" s="489"/>
      <c r="O119" s="490">
        <f>(O118+O120)/2</f>
        <v>0.60499999999999998</v>
      </c>
    </row>
    <row r="120" spans="2:15">
      <c r="B120" s="467"/>
      <c r="C120" s="472">
        <v>36</v>
      </c>
      <c r="D120" s="487"/>
      <c r="E120" s="488">
        <f>'VR y % Depreciación'!E43</f>
        <v>0.55000000000000004</v>
      </c>
      <c r="F120" s="487"/>
      <c r="G120" s="488">
        <f>'VR y % Depreciación'!E50</f>
        <v>0.60500000000000009</v>
      </c>
      <c r="H120" s="487"/>
      <c r="I120" s="488">
        <f>'VR y % Depreciación'!E22</f>
        <v>0.5</v>
      </c>
      <c r="J120" s="487"/>
      <c r="K120" s="488">
        <f>'VR y % Depreciación'!E8</f>
        <v>0.55000000000000004</v>
      </c>
      <c r="L120" s="487"/>
      <c r="M120" s="488">
        <f>'VR y % Depreciación'!E29</f>
        <v>0.5</v>
      </c>
      <c r="N120" s="487"/>
      <c r="O120" s="488">
        <f>'VR y % Depreciación'!E36</f>
        <v>0.55000000000000004</v>
      </c>
    </row>
    <row r="121" spans="2:15">
      <c r="B121" s="467"/>
      <c r="C121" s="473">
        <v>42</v>
      </c>
      <c r="D121" s="487"/>
      <c r="E121" s="490">
        <f>(E120+E122)/2</f>
        <v>0.5</v>
      </c>
      <c r="F121" s="489"/>
      <c r="G121" s="490">
        <f>(G120+G122)/2</f>
        <v>0.55000000000000004</v>
      </c>
      <c r="H121" s="489"/>
      <c r="I121" s="490">
        <f>(I120+I122)/2</f>
        <v>0.45</v>
      </c>
      <c r="J121" s="489"/>
      <c r="K121" s="490">
        <f>(K120+K122)/2</f>
        <v>0.48950000000000005</v>
      </c>
      <c r="L121" s="489"/>
      <c r="M121" s="490">
        <f>(M120+M122)/2</f>
        <v>0.45</v>
      </c>
      <c r="N121" s="489"/>
      <c r="O121" s="490">
        <f>(O120+O122)/2</f>
        <v>0.49500000000000005</v>
      </c>
    </row>
    <row r="122" spans="2:15">
      <c r="B122" s="467"/>
      <c r="C122" s="472">
        <v>48</v>
      </c>
      <c r="D122" s="487"/>
      <c r="E122" s="488">
        <f>'VR y % Depreciación'!E44</f>
        <v>0.45000000000000007</v>
      </c>
      <c r="F122" s="487"/>
      <c r="G122" s="488">
        <f>'VR y % Depreciación'!E51</f>
        <v>0.49500000000000011</v>
      </c>
      <c r="H122" s="487"/>
      <c r="I122" s="488">
        <f>'VR y % Depreciación'!E23</f>
        <v>0.4</v>
      </c>
      <c r="J122" s="487"/>
      <c r="K122" s="488">
        <f>'VR y % Depreciación'!E9</f>
        <v>0.42900000000000005</v>
      </c>
      <c r="L122" s="487"/>
      <c r="M122" s="488">
        <f>'VR y % Depreciación'!E30</f>
        <v>0.4</v>
      </c>
      <c r="N122" s="487"/>
      <c r="O122" s="488">
        <f>'VR y % Depreciación'!E37</f>
        <v>0.44000000000000006</v>
      </c>
    </row>
    <row r="123" spans="2:15">
      <c r="B123" s="467"/>
      <c r="C123" s="473">
        <v>54</v>
      </c>
      <c r="D123" s="489"/>
      <c r="E123" s="490">
        <f>(E122+E124)/2</f>
        <v>0.40000000000000008</v>
      </c>
      <c r="F123" s="489"/>
      <c r="G123" s="490">
        <f>(G122+G124)/2</f>
        <v>0.44000000000000011</v>
      </c>
      <c r="H123" s="489"/>
      <c r="I123" s="490">
        <f>(I122+I124)/2</f>
        <v>0.35000000000000003</v>
      </c>
      <c r="J123" s="489"/>
      <c r="K123" s="490">
        <f>(K122+K124)/2</f>
        <v>0.37400000000000005</v>
      </c>
      <c r="L123" s="489"/>
      <c r="M123" s="490">
        <f>(M122+M124)/2</f>
        <v>0.35000000000000003</v>
      </c>
      <c r="N123" s="489"/>
      <c r="O123" s="490">
        <f>(O122+O124)/2</f>
        <v>0.38500000000000006</v>
      </c>
    </row>
    <row r="124" spans="2:15">
      <c r="B124" s="467"/>
      <c r="C124" s="474">
        <v>60</v>
      </c>
      <c r="D124" s="491"/>
      <c r="E124" s="492">
        <f>'VR y % Depreciación'!E45</f>
        <v>0.35000000000000009</v>
      </c>
      <c r="F124" s="491"/>
      <c r="G124" s="492">
        <f>'VR y % Depreciación'!E52</f>
        <v>0.38500000000000012</v>
      </c>
      <c r="H124" s="491"/>
      <c r="I124" s="492">
        <f>'VR y % Depreciación'!E24</f>
        <v>0.30000000000000004</v>
      </c>
      <c r="J124" s="491"/>
      <c r="K124" s="492">
        <f>'VR y % Depreciación'!E10</f>
        <v>0.31900000000000006</v>
      </c>
      <c r="L124" s="491"/>
      <c r="M124" s="492">
        <f>'VR y % Depreciación'!E31</f>
        <v>0.30000000000000004</v>
      </c>
      <c r="N124" s="491"/>
      <c r="O124" s="492">
        <f>'VR y % Depreciación'!E38</f>
        <v>0.33000000000000007</v>
      </c>
    </row>
    <row r="125" spans="2:15">
      <c r="B125" s="467"/>
      <c r="C125" s="43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</row>
    <row r="126" spans="2:15" s="494" customFormat="1" ht="13">
      <c r="B126" s="495">
        <v>2</v>
      </c>
      <c r="C126" s="618" t="s">
        <v>354</v>
      </c>
      <c r="D126" s="619" t="s">
        <v>488</v>
      </c>
      <c r="E126" s="620">
        <v>6</v>
      </c>
      <c r="F126" s="619" t="s">
        <v>228</v>
      </c>
      <c r="G126" s="620">
        <v>5</v>
      </c>
      <c r="H126" s="619" t="s">
        <v>27</v>
      </c>
      <c r="I126" s="620">
        <v>4</v>
      </c>
      <c r="J126" s="621" t="s">
        <v>219</v>
      </c>
      <c r="K126" s="620">
        <v>3</v>
      </c>
      <c r="L126" s="619" t="s">
        <v>218</v>
      </c>
      <c r="M126" s="620">
        <v>2</v>
      </c>
      <c r="N126" s="619" t="s">
        <v>332</v>
      </c>
      <c r="O126" s="620">
        <v>1</v>
      </c>
    </row>
    <row r="127" spans="2:15" ht="13">
      <c r="B127" s="467"/>
      <c r="C127" s="622" t="s">
        <v>227</v>
      </c>
      <c r="D127" s="623" t="s">
        <v>32</v>
      </c>
      <c r="E127" s="620" t="s">
        <v>319</v>
      </c>
      <c r="F127" s="623" t="s">
        <v>32</v>
      </c>
      <c r="G127" s="620" t="s">
        <v>319</v>
      </c>
      <c r="H127" s="623" t="s">
        <v>32</v>
      </c>
      <c r="I127" s="620" t="s">
        <v>319</v>
      </c>
      <c r="J127" s="623" t="s">
        <v>32</v>
      </c>
      <c r="K127" s="620" t="s">
        <v>319</v>
      </c>
      <c r="L127" s="623" t="s">
        <v>32</v>
      </c>
      <c r="M127" s="620" t="s">
        <v>319</v>
      </c>
      <c r="N127" s="623" t="s">
        <v>32</v>
      </c>
      <c r="O127" s="620" t="s">
        <v>319</v>
      </c>
    </row>
    <row r="128" spans="2:15">
      <c r="B128" s="467"/>
      <c r="C128" s="624">
        <v>12</v>
      </c>
      <c r="D128" s="625"/>
      <c r="E128" s="626">
        <f>'VR y % Depreciación'!F41</f>
        <v>0.72750000000000004</v>
      </c>
      <c r="F128" s="625"/>
      <c r="G128" s="626">
        <f>'VR y % Depreciación'!F48</f>
        <v>0.72750000000000004</v>
      </c>
      <c r="H128" s="625"/>
      <c r="I128" s="626">
        <f>'VR y % Depreciación'!F20</f>
        <v>0.67899999999999994</v>
      </c>
      <c r="J128" s="625"/>
      <c r="K128" s="626">
        <f>'VR y % Depreciación'!F6</f>
        <v>0.71779999999999999</v>
      </c>
      <c r="L128" s="625"/>
      <c r="M128" s="626">
        <f>'VR y % Depreciación'!F27</f>
        <v>0.67899999999999994</v>
      </c>
      <c r="N128" s="625"/>
      <c r="O128" s="626">
        <f>'VR y % Depreciación'!F34</f>
        <v>0.67899999999999994</v>
      </c>
    </row>
    <row r="129" spans="2:15">
      <c r="B129" s="467"/>
      <c r="C129" s="627">
        <v>18</v>
      </c>
      <c r="D129" s="628"/>
      <c r="E129" s="629">
        <f>(E128+E130)/2</f>
        <v>0.67900000000000005</v>
      </c>
      <c r="F129" s="628"/>
      <c r="G129" s="629">
        <f>(G128+G130)/2</f>
        <v>0.67900000000000005</v>
      </c>
      <c r="H129" s="628"/>
      <c r="I129" s="629">
        <f>(I128+I130)/2</f>
        <v>0.63049999999999995</v>
      </c>
      <c r="J129" s="628"/>
      <c r="K129" s="629">
        <f>(K128+K130)/2</f>
        <v>0.65959999999999996</v>
      </c>
      <c r="L129" s="628"/>
      <c r="M129" s="629">
        <f>(M128+M130)/2</f>
        <v>0.63049999999999995</v>
      </c>
      <c r="N129" s="628"/>
      <c r="O129" s="629">
        <f>(O128+O130)/2</f>
        <v>0.63049999999999995</v>
      </c>
    </row>
    <row r="130" spans="2:15">
      <c r="B130" s="467"/>
      <c r="C130" s="624">
        <v>24</v>
      </c>
      <c r="D130" s="625"/>
      <c r="E130" s="626">
        <f>'VR y % Depreciación'!F42</f>
        <v>0.63049999999999995</v>
      </c>
      <c r="F130" s="625"/>
      <c r="G130" s="626">
        <f>'VR y % Depreciación'!F49</f>
        <v>0.63049999999999995</v>
      </c>
      <c r="H130" s="625"/>
      <c r="I130" s="626">
        <f>'VR y % Depreciación'!F21</f>
        <v>0.58199999999999996</v>
      </c>
      <c r="J130" s="625"/>
      <c r="K130" s="626">
        <f>'VR y % Depreciación'!F7</f>
        <v>0.60139999999999993</v>
      </c>
      <c r="L130" s="625"/>
      <c r="M130" s="626">
        <f>'VR y % Depreciación'!F28</f>
        <v>0.58199999999999996</v>
      </c>
      <c r="N130" s="625"/>
      <c r="O130" s="626">
        <f>'VR y % Depreciación'!F35</f>
        <v>0.58199999999999996</v>
      </c>
    </row>
    <row r="131" spans="2:15">
      <c r="B131" s="467"/>
      <c r="C131" s="627">
        <v>30</v>
      </c>
      <c r="D131" s="628"/>
      <c r="E131" s="629">
        <f>(E130+E132)/2</f>
        <v>0.58199999999999996</v>
      </c>
      <c r="F131" s="628"/>
      <c r="G131" s="629">
        <f>(G130+G132)/2</f>
        <v>0.58199999999999996</v>
      </c>
      <c r="H131" s="628"/>
      <c r="I131" s="629">
        <f>(I130+I132)/2</f>
        <v>0.53349999999999997</v>
      </c>
      <c r="J131" s="628"/>
      <c r="K131" s="629">
        <f>(K130+K132)/2</f>
        <v>0.54319999999999991</v>
      </c>
      <c r="L131" s="628"/>
      <c r="M131" s="629">
        <f>(M130+M132)/2</f>
        <v>0.53349999999999997</v>
      </c>
      <c r="N131" s="628"/>
      <c r="O131" s="629">
        <f>(O130+O132)/2</f>
        <v>0.53349999999999997</v>
      </c>
    </row>
    <row r="132" spans="2:15">
      <c r="B132" s="467"/>
      <c r="C132" s="624">
        <v>36</v>
      </c>
      <c r="D132" s="625"/>
      <c r="E132" s="626">
        <f>'VR y % Depreciación'!F43</f>
        <v>0.53349999999999997</v>
      </c>
      <c r="F132" s="625"/>
      <c r="G132" s="626">
        <f>'VR y % Depreciación'!F50</f>
        <v>0.53349999999999997</v>
      </c>
      <c r="H132" s="625"/>
      <c r="I132" s="626">
        <f>'VR y % Depreciación'!F22</f>
        <v>0.48499999999999999</v>
      </c>
      <c r="J132" s="625"/>
      <c r="K132" s="626">
        <f>'VR y % Depreciación'!F8</f>
        <v>0.48499999999999999</v>
      </c>
      <c r="L132" s="625"/>
      <c r="M132" s="626">
        <f>'VR y % Depreciación'!F29</f>
        <v>0.48499999999999999</v>
      </c>
      <c r="N132" s="625"/>
      <c r="O132" s="626">
        <f>'VR y % Depreciación'!F36</f>
        <v>0.48499999999999999</v>
      </c>
    </row>
    <row r="133" spans="2:15">
      <c r="B133" s="467"/>
      <c r="C133" s="627">
        <v>42</v>
      </c>
      <c r="D133" s="625"/>
      <c r="E133" s="629">
        <f>(E132+E134)/2</f>
        <v>0.48499999999999999</v>
      </c>
      <c r="F133" s="628"/>
      <c r="G133" s="629">
        <f>(G132+G134)/2</f>
        <v>0.48499999999999999</v>
      </c>
      <c r="H133" s="628"/>
      <c r="I133" s="629">
        <f>(I132+I134)/2</f>
        <v>0.4365</v>
      </c>
      <c r="J133" s="628"/>
      <c r="K133" s="629">
        <f>(K132+K134)/2</f>
        <v>0.43164999999999998</v>
      </c>
      <c r="L133" s="628"/>
      <c r="M133" s="629">
        <f>(M132+M134)/2</f>
        <v>0.4365</v>
      </c>
      <c r="N133" s="628"/>
      <c r="O133" s="629">
        <f>(O132+O134)/2</f>
        <v>0.4365</v>
      </c>
    </row>
    <row r="134" spans="2:15">
      <c r="B134" s="467"/>
      <c r="C134" s="624">
        <v>48</v>
      </c>
      <c r="D134" s="625"/>
      <c r="E134" s="626">
        <f>'VR y % Depreciación'!F44</f>
        <v>0.43650000000000005</v>
      </c>
      <c r="F134" s="625"/>
      <c r="G134" s="626">
        <f>'VR y % Depreciación'!F51</f>
        <v>0.43650000000000005</v>
      </c>
      <c r="H134" s="625"/>
      <c r="I134" s="626">
        <f>'VR y % Depreciación'!F23</f>
        <v>0.38800000000000001</v>
      </c>
      <c r="J134" s="625"/>
      <c r="K134" s="626">
        <f>'VR y % Depreciación'!F9</f>
        <v>0.37830000000000003</v>
      </c>
      <c r="L134" s="625"/>
      <c r="M134" s="626">
        <f>'VR y % Depreciación'!F30</f>
        <v>0.38800000000000001</v>
      </c>
      <c r="N134" s="625"/>
      <c r="O134" s="626">
        <f>'VR y % Depreciación'!F37</f>
        <v>0.38800000000000001</v>
      </c>
    </row>
    <row r="135" spans="2:15">
      <c r="B135" s="467"/>
      <c r="C135" s="627">
        <v>54</v>
      </c>
      <c r="D135" s="628"/>
      <c r="E135" s="629">
        <f>(E134+E136)/2</f>
        <v>0.38800000000000007</v>
      </c>
      <c r="F135" s="628"/>
      <c r="G135" s="629">
        <f>(G134+G136)/2</f>
        <v>0.38800000000000007</v>
      </c>
      <c r="H135" s="628"/>
      <c r="I135" s="629">
        <f>(I134+I136)/2</f>
        <v>0.33950000000000002</v>
      </c>
      <c r="J135" s="628"/>
      <c r="K135" s="629">
        <f>(K134+K136)/2</f>
        <v>0.32980000000000004</v>
      </c>
      <c r="L135" s="628"/>
      <c r="M135" s="629">
        <f>(M134+M136)/2</f>
        <v>0.33950000000000002</v>
      </c>
      <c r="N135" s="628"/>
      <c r="O135" s="629">
        <f>(O134+O136)/2</f>
        <v>0.33950000000000002</v>
      </c>
    </row>
    <row r="136" spans="2:15">
      <c r="B136" s="467"/>
      <c r="C136" s="630">
        <v>60</v>
      </c>
      <c r="D136" s="631"/>
      <c r="E136" s="632">
        <f>'VR y % Depreciación'!F45</f>
        <v>0.33950000000000008</v>
      </c>
      <c r="F136" s="631"/>
      <c r="G136" s="632">
        <f>'VR y % Depreciación'!F52</f>
        <v>0.33950000000000008</v>
      </c>
      <c r="H136" s="631"/>
      <c r="I136" s="632">
        <f>'VR y % Depreciación'!F24</f>
        <v>0.29100000000000004</v>
      </c>
      <c r="J136" s="631"/>
      <c r="K136" s="632">
        <f>'VR y % Depreciación'!F10</f>
        <v>0.28130000000000005</v>
      </c>
      <c r="L136" s="631"/>
      <c r="M136" s="632">
        <f>'VR y % Depreciación'!F31</f>
        <v>0.29100000000000004</v>
      </c>
      <c r="N136" s="631"/>
      <c r="O136" s="632">
        <f>'VR y % Depreciación'!F38</f>
        <v>0.29100000000000004</v>
      </c>
    </row>
    <row r="137" spans="2:15">
      <c r="B137" s="467"/>
      <c r="C137" s="43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</row>
    <row r="138" spans="2:15" s="494" customFormat="1" ht="13">
      <c r="B138" s="495">
        <v>3</v>
      </c>
      <c r="C138" s="496" t="s">
        <v>355</v>
      </c>
      <c r="D138" s="497" t="s">
        <v>488</v>
      </c>
      <c r="E138" s="493">
        <v>6</v>
      </c>
      <c r="F138" s="497" t="s">
        <v>228</v>
      </c>
      <c r="G138" s="493">
        <v>5</v>
      </c>
      <c r="H138" s="497" t="s">
        <v>27</v>
      </c>
      <c r="I138" s="493">
        <v>4</v>
      </c>
      <c r="J138" s="498" t="s">
        <v>219</v>
      </c>
      <c r="K138" s="493">
        <v>3</v>
      </c>
      <c r="L138" s="497" t="s">
        <v>218</v>
      </c>
      <c r="M138" s="493">
        <v>2</v>
      </c>
      <c r="N138" s="497" t="s">
        <v>332</v>
      </c>
      <c r="O138" s="493">
        <v>1</v>
      </c>
    </row>
    <row r="139" spans="2:15" ht="13">
      <c r="B139" s="467"/>
      <c r="C139" s="470" t="s">
        <v>227</v>
      </c>
      <c r="D139" s="486" t="s">
        <v>32</v>
      </c>
      <c r="E139" s="471" t="s">
        <v>319</v>
      </c>
      <c r="F139" s="486" t="s">
        <v>32</v>
      </c>
      <c r="G139" s="471" t="s">
        <v>319</v>
      </c>
      <c r="H139" s="486" t="s">
        <v>32</v>
      </c>
      <c r="I139" s="471" t="s">
        <v>319</v>
      </c>
      <c r="J139" s="486" t="s">
        <v>32</v>
      </c>
      <c r="K139" s="471" t="s">
        <v>319</v>
      </c>
      <c r="L139" s="486" t="s">
        <v>32</v>
      </c>
      <c r="M139" s="471" t="s">
        <v>319</v>
      </c>
      <c r="N139" s="486" t="s">
        <v>32</v>
      </c>
      <c r="O139" s="471" t="s">
        <v>319</v>
      </c>
    </row>
    <row r="140" spans="2:15">
      <c r="B140" s="467"/>
      <c r="C140" s="472">
        <v>12</v>
      </c>
      <c r="D140" s="487"/>
      <c r="E140" s="488">
        <f>'VR y % Depreciación'!G41</f>
        <v>0.75</v>
      </c>
      <c r="F140" s="487"/>
      <c r="G140" s="488">
        <f>'VR y % Depreciación'!G48</f>
        <v>0.75</v>
      </c>
      <c r="H140" s="487"/>
      <c r="I140" s="488">
        <f>'VR y % Depreciación'!G20</f>
        <v>0.7</v>
      </c>
      <c r="J140" s="487"/>
      <c r="K140" s="488">
        <f>'VR y % Depreciación'!G6</f>
        <v>0.74</v>
      </c>
      <c r="L140" s="487"/>
      <c r="M140" s="488">
        <f>'VR y % Depreciación'!G27</f>
        <v>0.7</v>
      </c>
      <c r="N140" s="487"/>
      <c r="O140" s="488">
        <f>'VR y % Depreciación'!G34</f>
        <v>0.7</v>
      </c>
    </row>
    <row r="141" spans="2:15">
      <c r="B141" s="467"/>
      <c r="C141" s="473">
        <v>18</v>
      </c>
      <c r="D141" s="489"/>
      <c r="E141" s="490">
        <f>(E140+E142)/2</f>
        <v>0.7</v>
      </c>
      <c r="F141" s="489"/>
      <c r="G141" s="490">
        <f>(G140+G142)/2</f>
        <v>0.7</v>
      </c>
      <c r="H141" s="489"/>
      <c r="I141" s="490">
        <f>(I140+I142)/2</f>
        <v>0.64999999999999991</v>
      </c>
      <c r="J141" s="489"/>
      <c r="K141" s="490">
        <f>(K140+K142)/2</f>
        <v>0.67999999999999994</v>
      </c>
      <c r="L141" s="489"/>
      <c r="M141" s="490">
        <f>(M140+M142)/2</f>
        <v>0.64999999999999991</v>
      </c>
      <c r="N141" s="489"/>
      <c r="O141" s="490">
        <f>(O140+O142)/2</f>
        <v>0.64999999999999991</v>
      </c>
    </row>
    <row r="142" spans="2:15">
      <c r="B142" s="467"/>
      <c r="C142" s="472">
        <v>24</v>
      </c>
      <c r="D142" s="487"/>
      <c r="E142" s="488">
        <f>'VR y % Depreciación'!G42</f>
        <v>0.65</v>
      </c>
      <c r="F142" s="487"/>
      <c r="G142" s="488">
        <f>'VR y % Depreciación'!G49</f>
        <v>0.65</v>
      </c>
      <c r="H142" s="487"/>
      <c r="I142" s="488">
        <f>'VR y % Depreciación'!G21</f>
        <v>0.6</v>
      </c>
      <c r="J142" s="487"/>
      <c r="K142" s="488">
        <f>'VR y % Depreciación'!G7</f>
        <v>0.62</v>
      </c>
      <c r="L142" s="487"/>
      <c r="M142" s="488">
        <f>'VR y % Depreciación'!G28</f>
        <v>0.6</v>
      </c>
      <c r="N142" s="487"/>
      <c r="O142" s="488">
        <f>'VR y % Depreciación'!G35</f>
        <v>0.6</v>
      </c>
    </row>
    <row r="143" spans="2:15">
      <c r="B143" s="467"/>
      <c r="C143" s="473">
        <v>30</v>
      </c>
      <c r="D143" s="489"/>
      <c r="E143" s="490">
        <f>(E142+E144)/2</f>
        <v>0.60000000000000009</v>
      </c>
      <c r="F143" s="489"/>
      <c r="G143" s="490">
        <f>(G142+G144)/2</f>
        <v>0.60000000000000009</v>
      </c>
      <c r="H143" s="489"/>
      <c r="I143" s="490">
        <f>(I142+I144)/2</f>
        <v>0.55000000000000004</v>
      </c>
      <c r="J143" s="489"/>
      <c r="K143" s="490">
        <f>(K142+K144)/2</f>
        <v>0.56000000000000005</v>
      </c>
      <c r="L143" s="489"/>
      <c r="M143" s="490">
        <f>(M142+M144)/2</f>
        <v>0.55000000000000004</v>
      </c>
      <c r="N143" s="489"/>
      <c r="O143" s="490">
        <f>(O142+O144)/2</f>
        <v>0.55000000000000004</v>
      </c>
    </row>
    <row r="144" spans="2:15">
      <c r="B144" s="467"/>
      <c r="C144" s="472">
        <v>36</v>
      </c>
      <c r="D144" s="487"/>
      <c r="E144" s="488">
        <f>'VR y % Depreciación'!G43</f>
        <v>0.55000000000000004</v>
      </c>
      <c r="F144" s="487"/>
      <c r="G144" s="488">
        <f>'VR y % Depreciación'!G50</f>
        <v>0.55000000000000004</v>
      </c>
      <c r="H144" s="487"/>
      <c r="I144" s="488">
        <f>'VR y % Depreciación'!G22</f>
        <v>0.5</v>
      </c>
      <c r="J144" s="487"/>
      <c r="K144" s="488">
        <f>'VR y % Depreciación'!G8</f>
        <v>0.5</v>
      </c>
      <c r="L144" s="487"/>
      <c r="M144" s="488">
        <f>'VR y % Depreciación'!G29</f>
        <v>0.5</v>
      </c>
      <c r="N144" s="487"/>
      <c r="O144" s="488">
        <f>'VR y % Depreciación'!G36</f>
        <v>0.5</v>
      </c>
    </row>
    <row r="145" spans="2:15">
      <c r="B145" s="467"/>
      <c r="C145" s="473">
        <v>42</v>
      </c>
      <c r="D145" s="487"/>
      <c r="E145" s="490">
        <f>(E144+E146)/2</f>
        <v>0.5</v>
      </c>
      <c r="F145" s="489"/>
      <c r="G145" s="490">
        <f>(G144+G146)/2</f>
        <v>0.5</v>
      </c>
      <c r="H145" s="489"/>
      <c r="I145" s="490">
        <f>(I144+I146)/2</f>
        <v>0.45</v>
      </c>
      <c r="J145" s="489"/>
      <c r="K145" s="490">
        <f>(K144+K146)/2</f>
        <v>0.44500000000000001</v>
      </c>
      <c r="L145" s="489"/>
      <c r="M145" s="490">
        <f>(M144+M146)/2</f>
        <v>0.45</v>
      </c>
      <c r="N145" s="489"/>
      <c r="O145" s="490">
        <f>(O144+O146)/2</f>
        <v>0.45</v>
      </c>
    </row>
    <row r="146" spans="2:15">
      <c r="B146" s="467"/>
      <c r="C146" s="472">
        <v>48</v>
      </c>
      <c r="D146" s="487"/>
      <c r="E146" s="488">
        <f>'VR y % Depreciación'!G44</f>
        <v>0.45000000000000007</v>
      </c>
      <c r="F146" s="487"/>
      <c r="G146" s="488">
        <f>'VR y % Depreciación'!G51</f>
        <v>0.45000000000000007</v>
      </c>
      <c r="H146" s="487"/>
      <c r="I146" s="488">
        <f>'VR y % Depreciación'!G23</f>
        <v>0.4</v>
      </c>
      <c r="J146" s="487"/>
      <c r="K146" s="488">
        <f>'VR y % Depreciación'!G9</f>
        <v>0.39</v>
      </c>
      <c r="L146" s="487"/>
      <c r="M146" s="488">
        <f>'VR y % Depreciación'!G30</f>
        <v>0.4</v>
      </c>
      <c r="N146" s="487"/>
      <c r="O146" s="488">
        <f>'VR y % Depreciación'!G37</f>
        <v>0.4</v>
      </c>
    </row>
    <row r="147" spans="2:15">
      <c r="B147" s="467"/>
      <c r="C147" s="473">
        <v>54</v>
      </c>
      <c r="D147" s="489"/>
      <c r="E147" s="490">
        <f>(E146+E148)/2</f>
        <v>0.40000000000000008</v>
      </c>
      <c r="F147" s="489"/>
      <c r="G147" s="490">
        <f>(G146+G148)/2</f>
        <v>0.40000000000000008</v>
      </c>
      <c r="H147" s="489"/>
      <c r="I147" s="490">
        <f>(I146+I148)/2</f>
        <v>0.35000000000000003</v>
      </c>
      <c r="J147" s="489"/>
      <c r="K147" s="490">
        <f>(K146+K148)/2</f>
        <v>0.34</v>
      </c>
      <c r="L147" s="489"/>
      <c r="M147" s="490">
        <f>(M146+M148)/2</f>
        <v>0.35000000000000003</v>
      </c>
      <c r="N147" s="489"/>
      <c r="O147" s="490">
        <f>(O146+O148)/2</f>
        <v>0.35000000000000003</v>
      </c>
    </row>
    <row r="148" spans="2:15">
      <c r="B148" s="467"/>
      <c r="C148" s="474">
        <v>60</v>
      </c>
      <c r="D148" s="491"/>
      <c r="E148" s="492">
        <f>'VR y % Depreciación'!G45</f>
        <v>0.35000000000000009</v>
      </c>
      <c r="F148" s="491"/>
      <c r="G148" s="492">
        <f>'VR y % Depreciación'!G52</f>
        <v>0.35000000000000009</v>
      </c>
      <c r="H148" s="491"/>
      <c r="I148" s="492">
        <f>'VR y % Depreciación'!G24</f>
        <v>0.30000000000000004</v>
      </c>
      <c r="J148" s="491"/>
      <c r="K148" s="492">
        <f>'VR y % Depreciación'!G10</f>
        <v>0.29000000000000004</v>
      </c>
      <c r="L148" s="491"/>
      <c r="M148" s="492">
        <f>'VR y % Depreciación'!G31</f>
        <v>0.30000000000000004</v>
      </c>
      <c r="N148" s="491"/>
      <c r="O148" s="492">
        <f>'VR y % Depreciación'!G38</f>
        <v>0.30000000000000004</v>
      </c>
    </row>
    <row r="149" spans="2:15">
      <c r="B149" s="467"/>
      <c r="C149" s="43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</row>
    <row r="150" spans="2:15" s="494" customFormat="1" ht="13">
      <c r="B150" s="495">
        <v>4</v>
      </c>
      <c r="C150" s="618" t="s">
        <v>356</v>
      </c>
      <c r="D150" s="619" t="s">
        <v>488</v>
      </c>
      <c r="E150" s="620">
        <v>6</v>
      </c>
      <c r="F150" s="619" t="s">
        <v>228</v>
      </c>
      <c r="G150" s="620">
        <v>5</v>
      </c>
      <c r="H150" s="619" t="s">
        <v>27</v>
      </c>
      <c r="I150" s="620">
        <v>4</v>
      </c>
      <c r="J150" s="621" t="s">
        <v>219</v>
      </c>
      <c r="K150" s="620">
        <v>3</v>
      </c>
      <c r="L150" s="619" t="s">
        <v>218</v>
      </c>
      <c r="M150" s="620">
        <v>2</v>
      </c>
      <c r="N150" s="619" t="s">
        <v>332</v>
      </c>
      <c r="O150" s="620">
        <v>1</v>
      </c>
    </row>
    <row r="151" spans="2:15" ht="13">
      <c r="B151" s="467"/>
      <c r="C151" s="622" t="s">
        <v>227</v>
      </c>
      <c r="D151" s="623" t="s">
        <v>32</v>
      </c>
      <c r="E151" s="620" t="s">
        <v>319</v>
      </c>
      <c r="F151" s="623" t="s">
        <v>32</v>
      </c>
      <c r="G151" s="620" t="s">
        <v>319</v>
      </c>
      <c r="H151" s="623" t="s">
        <v>32</v>
      </c>
      <c r="I151" s="620" t="s">
        <v>319</v>
      </c>
      <c r="J151" s="623" t="s">
        <v>32</v>
      </c>
      <c r="K151" s="620" t="s">
        <v>319</v>
      </c>
      <c r="L151" s="623" t="s">
        <v>32</v>
      </c>
      <c r="M151" s="620" t="s">
        <v>319</v>
      </c>
      <c r="N151" s="623" t="s">
        <v>32</v>
      </c>
      <c r="O151" s="620" t="s">
        <v>319</v>
      </c>
    </row>
    <row r="152" spans="2:15">
      <c r="B152" s="467"/>
      <c r="C152" s="624">
        <v>12</v>
      </c>
      <c r="D152" s="625"/>
      <c r="E152" s="626">
        <f>'VR y % Depreciación'!H41</f>
        <v>0.70499999999999996</v>
      </c>
      <c r="F152" s="625"/>
      <c r="G152" s="626">
        <f>'VR y % Depreciación'!H48</f>
        <v>0.70499999999999996</v>
      </c>
      <c r="H152" s="625"/>
      <c r="I152" s="626">
        <f>'VR y % Depreciación'!H20</f>
        <v>0.65799999999999992</v>
      </c>
      <c r="J152" s="625"/>
      <c r="K152" s="626">
        <f>'VR y % Depreciación'!H6</f>
        <v>0.6956</v>
      </c>
      <c r="L152" s="625"/>
      <c r="M152" s="626">
        <f>'VR y % Depreciación'!H27</f>
        <v>0.65799999999999992</v>
      </c>
      <c r="N152" s="625"/>
      <c r="O152" s="626">
        <f>'VR y % Depreciación'!H34</f>
        <v>0.65799999999999992</v>
      </c>
    </row>
    <row r="153" spans="2:15">
      <c r="B153" s="467"/>
      <c r="C153" s="627">
        <v>18</v>
      </c>
      <c r="D153" s="628"/>
      <c r="E153" s="629">
        <f>(E152+E154)/2</f>
        <v>0.65799999999999992</v>
      </c>
      <c r="F153" s="628"/>
      <c r="G153" s="629">
        <f>(G152+G154)/2</f>
        <v>0.65799999999999992</v>
      </c>
      <c r="H153" s="628"/>
      <c r="I153" s="629">
        <f>(I152+I154)/2</f>
        <v>0.61099999999999999</v>
      </c>
      <c r="J153" s="628"/>
      <c r="K153" s="629">
        <f>(K152+K154)/2</f>
        <v>0.63919999999999999</v>
      </c>
      <c r="L153" s="628"/>
      <c r="M153" s="629">
        <f>(M152+M154)/2</f>
        <v>0.61099999999999999</v>
      </c>
      <c r="N153" s="628"/>
      <c r="O153" s="629">
        <f>(O152+O154)/2</f>
        <v>0.61099999999999999</v>
      </c>
    </row>
    <row r="154" spans="2:15">
      <c r="B154" s="467"/>
      <c r="C154" s="624">
        <v>24</v>
      </c>
      <c r="D154" s="625"/>
      <c r="E154" s="626">
        <f>'VR y % Depreciación'!H42</f>
        <v>0.61099999999999999</v>
      </c>
      <c r="F154" s="625"/>
      <c r="G154" s="626">
        <f>'VR y % Depreciación'!H49</f>
        <v>0.61099999999999999</v>
      </c>
      <c r="H154" s="625"/>
      <c r="I154" s="626">
        <f>'VR y % Depreciación'!H21</f>
        <v>0.56399999999999995</v>
      </c>
      <c r="J154" s="625"/>
      <c r="K154" s="626">
        <f>'VR y % Depreciación'!H7</f>
        <v>0.58279999999999998</v>
      </c>
      <c r="L154" s="625"/>
      <c r="M154" s="626">
        <f>'VR y % Depreciación'!H28</f>
        <v>0.56399999999999995</v>
      </c>
      <c r="N154" s="625"/>
      <c r="O154" s="626">
        <f>'VR y % Depreciación'!H35</f>
        <v>0.56399999999999995</v>
      </c>
    </row>
    <row r="155" spans="2:15">
      <c r="B155" s="467"/>
      <c r="C155" s="627">
        <v>30</v>
      </c>
      <c r="D155" s="628"/>
      <c r="E155" s="629">
        <f>(E154+E156)/2</f>
        <v>0.56400000000000006</v>
      </c>
      <c r="F155" s="628"/>
      <c r="G155" s="629">
        <f>(G154+G156)/2</f>
        <v>0.56400000000000006</v>
      </c>
      <c r="H155" s="628"/>
      <c r="I155" s="629">
        <f>(I154+I156)/2</f>
        <v>0.5169999999999999</v>
      </c>
      <c r="J155" s="628"/>
      <c r="K155" s="629">
        <f>(K154+K156)/2</f>
        <v>0.52639999999999998</v>
      </c>
      <c r="L155" s="628"/>
      <c r="M155" s="629">
        <f>(M154+M156)/2</f>
        <v>0.5169999999999999</v>
      </c>
      <c r="N155" s="628"/>
      <c r="O155" s="629">
        <f>(O154+O156)/2</f>
        <v>0.5169999999999999</v>
      </c>
    </row>
    <row r="156" spans="2:15">
      <c r="B156" s="467"/>
      <c r="C156" s="624">
        <v>36</v>
      </c>
      <c r="D156" s="625"/>
      <c r="E156" s="626">
        <f>'VR y % Depreciación'!H43</f>
        <v>0.51700000000000002</v>
      </c>
      <c r="F156" s="625"/>
      <c r="G156" s="626">
        <f>'VR y % Depreciación'!H50</f>
        <v>0.51700000000000002</v>
      </c>
      <c r="H156" s="625"/>
      <c r="I156" s="626">
        <f>'VR y % Depreciación'!H22</f>
        <v>0.47</v>
      </c>
      <c r="J156" s="625"/>
      <c r="K156" s="626">
        <f>'VR y % Depreciación'!H8</f>
        <v>0.47</v>
      </c>
      <c r="L156" s="625"/>
      <c r="M156" s="626">
        <f>'VR y % Depreciación'!H29</f>
        <v>0.47</v>
      </c>
      <c r="N156" s="625"/>
      <c r="O156" s="626">
        <f>'VR y % Depreciación'!H36</f>
        <v>0.47</v>
      </c>
    </row>
    <row r="157" spans="2:15">
      <c r="B157" s="467"/>
      <c r="C157" s="627">
        <v>42</v>
      </c>
      <c r="D157" s="625"/>
      <c r="E157" s="629">
        <f>(E156+E158)/2</f>
        <v>0.47000000000000003</v>
      </c>
      <c r="F157" s="625"/>
      <c r="G157" s="629">
        <f>(G156+G158)/2</f>
        <v>0.47000000000000003</v>
      </c>
      <c r="H157" s="625"/>
      <c r="I157" s="629">
        <f>(I156+I158)/2</f>
        <v>0.42299999999999999</v>
      </c>
      <c r="J157" s="625"/>
      <c r="K157" s="629">
        <f>(K156+K158)/2</f>
        <v>0.41830000000000001</v>
      </c>
      <c r="L157" s="625"/>
      <c r="M157" s="629">
        <f>(M156+M158)/2</f>
        <v>0.42299999999999999</v>
      </c>
      <c r="N157" s="625"/>
      <c r="O157" s="629">
        <f>(O156+O158)/2</f>
        <v>0.42299999999999999</v>
      </c>
    </row>
    <row r="158" spans="2:15">
      <c r="B158" s="467"/>
      <c r="C158" s="624">
        <v>48</v>
      </c>
      <c r="D158" s="625"/>
      <c r="E158" s="626">
        <f>'VR y % Depreciación'!H44</f>
        <v>0.42300000000000004</v>
      </c>
      <c r="F158" s="625"/>
      <c r="G158" s="626">
        <f>'VR y % Depreciación'!H51</f>
        <v>0.42300000000000004</v>
      </c>
      <c r="H158" s="625"/>
      <c r="I158" s="626">
        <f>'VR y % Depreciación'!H23</f>
        <v>0.376</v>
      </c>
      <c r="J158" s="625"/>
      <c r="K158" s="626">
        <f>'VR y % Depreciación'!H9</f>
        <v>0.36659999999999998</v>
      </c>
      <c r="L158" s="625"/>
      <c r="M158" s="626">
        <f>'VR y % Depreciación'!H30</f>
        <v>0.376</v>
      </c>
      <c r="N158" s="625"/>
      <c r="O158" s="626">
        <f>'VR y % Depreciación'!H37</f>
        <v>0.376</v>
      </c>
    </row>
    <row r="159" spans="2:15">
      <c r="B159" s="467"/>
      <c r="C159" s="627">
        <v>54</v>
      </c>
      <c r="D159" s="628"/>
      <c r="E159" s="629">
        <f>(E158+E160)/2</f>
        <v>0.37600000000000006</v>
      </c>
      <c r="F159" s="625"/>
      <c r="G159" s="629">
        <f>(G158+G160)/2</f>
        <v>0.37600000000000006</v>
      </c>
      <c r="H159" s="625"/>
      <c r="I159" s="629">
        <f>(I158+I160)/2</f>
        <v>0.32900000000000001</v>
      </c>
      <c r="J159" s="625"/>
      <c r="K159" s="629">
        <f>(K158+K160)/2</f>
        <v>0.3196</v>
      </c>
      <c r="L159" s="625"/>
      <c r="M159" s="629">
        <f>(M158+M160)/2</f>
        <v>0.32900000000000001</v>
      </c>
      <c r="N159" s="625"/>
      <c r="O159" s="629">
        <f>(O158+O160)/2</f>
        <v>0.32900000000000001</v>
      </c>
    </row>
    <row r="160" spans="2:15">
      <c r="B160" s="467"/>
      <c r="C160" s="630">
        <v>60</v>
      </c>
      <c r="D160" s="631"/>
      <c r="E160" s="632">
        <f>'VR y % Depreciación'!H45</f>
        <v>0.32900000000000007</v>
      </c>
      <c r="F160" s="631"/>
      <c r="G160" s="632">
        <f>'VR y % Depreciación'!H52</f>
        <v>0.32900000000000007</v>
      </c>
      <c r="H160" s="631"/>
      <c r="I160" s="632">
        <f>'VR y % Depreciación'!H24</f>
        <v>0.28200000000000003</v>
      </c>
      <c r="J160" s="631"/>
      <c r="K160" s="632">
        <f>'VR y % Depreciación'!H10</f>
        <v>0.27260000000000001</v>
      </c>
      <c r="L160" s="631"/>
      <c r="M160" s="632">
        <f>'VR y % Depreciación'!H31</f>
        <v>0.28200000000000003</v>
      </c>
      <c r="N160" s="631"/>
      <c r="O160" s="632">
        <f>'VR y % Depreciación'!H38</f>
        <v>0.28200000000000003</v>
      </c>
    </row>
    <row r="161" spans="2:15">
      <c r="B161" s="467"/>
      <c r="C161" s="43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</row>
    <row r="162" spans="2:15" s="494" customFormat="1" ht="13">
      <c r="B162" s="495">
        <v>5</v>
      </c>
      <c r="C162" s="496" t="s">
        <v>357</v>
      </c>
      <c r="D162" s="497" t="s">
        <v>488</v>
      </c>
      <c r="E162" s="493">
        <v>6</v>
      </c>
      <c r="F162" s="497" t="s">
        <v>228</v>
      </c>
      <c r="G162" s="493">
        <v>5</v>
      </c>
      <c r="H162" s="497" t="s">
        <v>27</v>
      </c>
      <c r="I162" s="493">
        <v>4</v>
      </c>
      <c r="J162" s="498" t="s">
        <v>219</v>
      </c>
      <c r="K162" s="493">
        <v>3</v>
      </c>
      <c r="L162" s="497" t="s">
        <v>218</v>
      </c>
      <c r="M162" s="493">
        <v>2</v>
      </c>
      <c r="N162" s="497" t="s">
        <v>332</v>
      </c>
      <c r="O162" s="493">
        <v>1</v>
      </c>
    </row>
    <row r="163" spans="2:15" ht="13">
      <c r="B163" s="467"/>
      <c r="C163" s="470" t="s">
        <v>227</v>
      </c>
      <c r="D163" s="486" t="s">
        <v>32</v>
      </c>
      <c r="E163" s="471" t="s">
        <v>319</v>
      </c>
      <c r="F163" s="486" t="s">
        <v>32</v>
      </c>
      <c r="G163" s="471" t="s">
        <v>319</v>
      </c>
      <c r="H163" s="486" t="s">
        <v>32</v>
      </c>
      <c r="I163" s="471" t="s">
        <v>319</v>
      </c>
      <c r="J163" s="486" t="s">
        <v>32</v>
      </c>
      <c r="K163" s="471" t="s">
        <v>319</v>
      </c>
      <c r="L163" s="486" t="s">
        <v>32</v>
      </c>
      <c r="M163" s="471" t="s">
        <v>319</v>
      </c>
      <c r="N163" s="486" t="s">
        <v>32</v>
      </c>
      <c r="O163" s="471" t="s">
        <v>319</v>
      </c>
    </row>
    <row r="164" spans="2:15">
      <c r="B164" s="467"/>
      <c r="C164" s="472">
        <v>12</v>
      </c>
      <c r="D164" s="487"/>
      <c r="E164" s="488">
        <f>'VR y % Depreciación'!I41</f>
        <v>0.63749999999999996</v>
      </c>
      <c r="F164" s="487"/>
      <c r="G164" s="488">
        <f>'VR y % Depreciación'!I48</f>
        <v>0.63749999999999996</v>
      </c>
      <c r="H164" s="487"/>
      <c r="I164" s="488">
        <f>'VR y % Depreciación'!I20</f>
        <v>0.55999999999999994</v>
      </c>
      <c r="J164" s="487"/>
      <c r="K164" s="488">
        <f>'VR y % Depreciación'!I6</f>
        <v>0.629</v>
      </c>
      <c r="L164" s="487"/>
      <c r="M164" s="488">
        <f>'VR y % Depreciación'!I27</f>
        <v>0.55999999999999994</v>
      </c>
      <c r="N164" s="487"/>
      <c r="O164" s="488">
        <f>'VR y % Depreciación'!I34</f>
        <v>0.59499999999999997</v>
      </c>
    </row>
    <row r="165" spans="2:15">
      <c r="B165" s="467"/>
      <c r="C165" s="473">
        <v>18</v>
      </c>
      <c r="D165" s="489"/>
      <c r="E165" s="490">
        <f>(E164+E166)/2</f>
        <v>0.59499999999999997</v>
      </c>
      <c r="F165" s="489"/>
      <c r="G165" s="490">
        <f>(G164+G166)/2</f>
        <v>0.59499999999999997</v>
      </c>
      <c r="H165" s="489"/>
      <c r="I165" s="490">
        <f>(I164+I166)/2</f>
        <v>0.52</v>
      </c>
      <c r="J165" s="489"/>
      <c r="K165" s="490">
        <f>(K164+K166)/2</f>
        <v>0.57800000000000007</v>
      </c>
      <c r="L165" s="489"/>
      <c r="M165" s="490">
        <f>(M164+M166)/2</f>
        <v>0.52</v>
      </c>
      <c r="N165" s="489"/>
      <c r="O165" s="490">
        <f>(O164+O166)/2</f>
        <v>0.55249999999999999</v>
      </c>
    </row>
    <row r="166" spans="2:15">
      <c r="B166" s="467"/>
      <c r="C166" s="472">
        <v>24</v>
      </c>
      <c r="D166" s="487"/>
      <c r="E166" s="488">
        <f>'VR y % Depreciación'!I42</f>
        <v>0.55249999999999999</v>
      </c>
      <c r="F166" s="487"/>
      <c r="G166" s="488">
        <f>'VR y % Depreciación'!I49</f>
        <v>0.55249999999999999</v>
      </c>
      <c r="H166" s="487"/>
      <c r="I166" s="488">
        <f>'VR y % Depreciación'!I21</f>
        <v>0.48</v>
      </c>
      <c r="J166" s="487"/>
      <c r="K166" s="488">
        <f>'VR y % Depreciación'!I7</f>
        <v>0.52700000000000002</v>
      </c>
      <c r="L166" s="487"/>
      <c r="M166" s="488">
        <f>'VR y % Depreciación'!I28</f>
        <v>0.48</v>
      </c>
      <c r="N166" s="487"/>
      <c r="O166" s="488">
        <f>'VR y % Depreciación'!I35</f>
        <v>0.51</v>
      </c>
    </row>
    <row r="167" spans="2:15">
      <c r="B167" s="467"/>
      <c r="C167" s="473">
        <v>30</v>
      </c>
      <c r="D167" s="489"/>
      <c r="E167" s="490">
        <f>(E166+E168)/2</f>
        <v>0.51</v>
      </c>
      <c r="F167" s="489"/>
      <c r="G167" s="490">
        <f>(G166+G168)/2</f>
        <v>0.51</v>
      </c>
      <c r="H167" s="489"/>
      <c r="I167" s="490">
        <f>(I166+I168)/2</f>
        <v>0.44</v>
      </c>
      <c r="J167" s="489"/>
      <c r="K167" s="490">
        <f>(K166+K168)/2</f>
        <v>0.47599999999999998</v>
      </c>
      <c r="L167" s="489"/>
      <c r="M167" s="490">
        <f>(M166+M168)/2</f>
        <v>0.44</v>
      </c>
      <c r="N167" s="489"/>
      <c r="O167" s="490">
        <f>(O166+O168)/2</f>
        <v>0.46750000000000003</v>
      </c>
    </row>
    <row r="168" spans="2:15">
      <c r="B168" s="467"/>
      <c r="C168" s="472">
        <v>36</v>
      </c>
      <c r="D168" s="487"/>
      <c r="E168" s="488">
        <f>'VR y % Depreciación'!I43</f>
        <v>0.46750000000000003</v>
      </c>
      <c r="F168" s="487"/>
      <c r="G168" s="488">
        <f>'VR y % Depreciación'!I50</f>
        <v>0.46750000000000003</v>
      </c>
      <c r="H168" s="487"/>
      <c r="I168" s="488">
        <f>'VR y % Depreciación'!I22</f>
        <v>0.4</v>
      </c>
      <c r="J168" s="487"/>
      <c r="K168" s="488">
        <f>'VR y % Depreciación'!I8</f>
        <v>0.42499999999999999</v>
      </c>
      <c r="L168" s="487"/>
      <c r="M168" s="488">
        <f>'VR y % Depreciación'!I29</f>
        <v>0.4</v>
      </c>
      <c r="N168" s="487"/>
      <c r="O168" s="488">
        <f>'VR y % Depreciación'!I36</f>
        <v>0.42499999999999999</v>
      </c>
    </row>
    <row r="169" spans="2:15">
      <c r="B169" s="467"/>
      <c r="C169" s="473">
        <v>42</v>
      </c>
      <c r="D169" s="487"/>
      <c r="E169" s="490">
        <f>(E168+E170)/2</f>
        <v>0.42500000000000004</v>
      </c>
      <c r="F169" s="489"/>
      <c r="G169" s="490">
        <f>(G168+G170)/2</f>
        <v>0.42500000000000004</v>
      </c>
      <c r="H169" s="489"/>
      <c r="I169" s="490">
        <f>(I168+I170)/2</f>
        <v>0.36000000000000004</v>
      </c>
      <c r="J169" s="489"/>
      <c r="K169" s="490">
        <f>(K168+K170)/2</f>
        <v>0.37824999999999998</v>
      </c>
      <c r="L169" s="489"/>
      <c r="M169" s="490">
        <f>(M168+M170)/2</f>
        <v>0.36000000000000004</v>
      </c>
      <c r="N169" s="489"/>
      <c r="O169" s="490">
        <f>(O168+O170)/2</f>
        <v>0.38250000000000001</v>
      </c>
    </row>
    <row r="170" spans="2:15">
      <c r="B170" s="467"/>
      <c r="C170" s="472">
        <v>48</v>
      </c>
      <c r="D170" s="487"/>
      <c r="E170" s="488">
        <f>'VR y % Depreciación'!I44</f>
        <v>0.38250000000000006</v>
      </c>
      <c r="F170" s="487"/>
      <c r="G170" s="488">
        <f>'VR y % Depreciación'!I51</f>
        <v>0.38250000000000006</v>
      </c>
      <c r="H170" s="487"/>
      <c r="I170" s="488">
        <f>'VR y % Depreciación'!I23</f>
        <v>0.32000000000000006</v>
      </c>
      <c r="J170" s="487"/>
      <c r="K170" s="488">
        <f>'VR y % Depreciación'!I9</f>
        <v>0.33150000000000002</v>
      </c>
      <c r="L170" s="487"/>
      <c r="M170" s="488">
        <f>'VR y % Depreciación'!I30</f>
        <v>0.32000000000000006</v>
      </c>
      <c r="N170" s="487"/>
      <c r="O170" s="488">
        <f>'VR y % Depreciación'!I37</f>
        <v>0.34</v>
      </c>
    </row>
    <row r="171" spans="2:15">
      <c r="B171" s="467"/>
      <c r="C171" s="473">
        <v>54</v>
      </c>
      <c r="D171" s="489"/>
      <c r="E171" s="490">
        <f>(E170+E172)/2</f>
        <v>0.34000000000000008</v>
      </c>
      <c r="F171" s="489"/>
      <c r="G171" s="490">
        <f>(G170+G172)/2</f>
        <v>0.34000000000000008</v>
      </c>
      <c r="H171" s="489"/>
      <c r="I171" s="490">
        <f>(I170+I172)/2</f>
        <v>0.28000000000000003</v>
      </c>
      <c r="J171" s="489"/>
      <c r="K171" s="490">
        <f>(K170+K172)/2</f>
        <v>0.28900000000000003</v>
      </c>
      <c r="L171" s="489"/>
      <c r="M171" s="490">
        <f>(M170+M172)/2</f>
        <v>0.28000000000000003</v>
      </c>
      <c r="N171" s="489"/>
      <c r="O171" s="490">
        <f>(O170+O172)/2</f>
        <v>0.29749999999999999</v>
      </c>
    </row>
    <row r="172" spans="2:15">
      <c r="B172" s="467"/>
      <c r="C172" s="474">
        <v>60</v>
      </c>
      <c r="D172" s="491"/>
      <c r="E172" s="492">
        <f>'VR y % Depreciación'!I45</f>
        <v>0.29750000000000004</v>
      </c>
      <c r="F172" s="491"/>
      <c r="G172" s="492">
        <f>'VR y % Depreciación'!I52</f>
        <v>0.29750000000000004</v>
      </c>
      <c r="H172" s="491"/>
      <c r="I172" s="492">
        <f>'VR y % Depreciación'!I24</f>
        <v>0.24000000000000005</v>
      </c>
      <c r="J172" s="491"/>
      <c r="K172" s="492">
        <f>'VR y % Depreciación'!I10</f>
        <v>0.24650000000000002</v>
      </c>
      <c r="L172" s="491"/>
      <c r="M172" s="492">
        <f>'VR y % Depreciación'!I31</f>
        <v>0.24000000000000005</v>
      </c>
      <c r="N172" s="491"/>
      <c r="O172" s="492">
        <f>'VR y % Depreciación'!I38</f>
        <v>0.255</v>
      </c>
    </row>
    <row r="173" spans="2:15">
      <c r="B173" s="43"/>
      <c r="C173" s="43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</row>
    <row r="174" spans="2:15" s="494" customFormat="1" ht="13">
      <c r="B174" s="495">
        <v>6</v>
      </c>
      <c r="C174" s="496" t="s">
        <v>224</v>
      </c>
      <c r="D174" s="497" t="s">
        <v>488</v>
      </c>
      <c r="E174" s="493">
        <v>6</v>
      </c>
      <c r="F174" s="497" t="s">
        <v>228</v>
      </c>
      <c r="G174" s="493">
        <v>5</v>
      </c>
      <c r="H174" s="497" t="s">
        <v>27</v>
      </c>
      <c r="I174" s="493">
        <v>4</v>
      </c>
      <c r="J174" s="498" t="s">
        <v>219</v>
      </c>
      <c r="K174" s="493">
        <v>3</v>
      </c>
      <c r="L174" s="497" t="s">
        <v>218</v>
      </c>
      <c r="M174" s="493">
        <v>2</v>
      </c>
      <c r="N174" s="497" t="s">
        <v>332</v>
      </c>
      <c r="O174" s="493">
        <v>1</v>
      </c>
    </row>
    <row r="175" spans="2:15" ht="13">
      <c r="B175" s="467"/>
      <c r="C175" s="470" t="s">
        <v>227</v>
      </c>
      <c r="D175" s="486" t="s">
        <v>32</v>
      </c>
      <c r="E175" s="471" t="s">
        <v>319</v>
      </c>
      <c r="F175" s="486" t="s">
        <v>32</v>
      </c>
      <c r="G175" s="471" t="s">
        <v>319</v>
      </c>
      <c r="H175" s="486" t="s">
        <v>32</v>
      </c>
      <c r="I175" s="471" t="s">
        <v>319</v>
      </c>
      <c r="J175" s="486" t="s">
        <v>32</v>
      </c>
      <c r="K175" s="471" t="s">
        <v>319</v>
      </c>
      <c r="L175" s="486" t="s">
        <v>32</v>
      </c>
      <c r="M175" s="471" t="s">
        <v>319</v>
      </c>
      <c r="N175" s="486" t="s">
        <v>32</v>
      </c>
      <c r="O175" s="471" t="s">
        <v>319</v>
      </c>
    </row>
    <row r="176" spans="2:15">
      <c r="B176" s="467"/>
      <c r="C176" s="472">
        <v>12</v>
      </c>
      <c r="D176" s="487">
        <v>0.3</v>
      </c>
      <c r="E176" s="488">
        <f>1-D176</f>
        <v>0.7</v>
      </c>
      <c r="F176" s="487">
        <v>0.3</v>
      </c>
      <c r="G176" s="488">
        <f>1-F176</f>
        <v>0.7</v>
      </c>
      <c r="H176" s="487">
        <v>0.3</v>
      </c>
      <c r="I176" s="488">
        <f>1-H176</f>
        <v>0.7</v>
      </c>
      <c r="J176" s="487">
        <v>0.3</v>
      </c>
      <c r="K176" s="488">
        <f>1-J176</f>
        <v>0.7</v>
      </c>
      <c r="L176" s="487">
        <v>0.3</v>
      </c>
      <c r="M176" s="488">
        <f>1-L176</f>
        <v>0.7</v>
      </c>
      <c r="N176" s="487">
        <v>0.25</v>
      </c>
      <c r="O176" s="488">
        <f>1-N176</f>
        <v>0.75</v>
      </c>
    </row>
    <row r="177" spans="2:15">
      <c r="B177" s="467"/>
      <c r="C177" s="473">
        <v>18</v>
      </c>
      <c r="D177" s="489"/>
      <c r="E177" s="490">
        <f>(E176+E178)/2</f>
        <v>0.64999999999999991</v>
      </c>
      <c r="F177" s="489"/>
      <c r="G177" s="490">
        <f>(G176+G178)/2</f>
        <v>0.64999999999999991</v>
      </c>
      <c r="H177" s="489"/>
      <c r="I177" s="490">
        <f>(I176+I178)/2</f>
        <v>0.64999999999999991</v>
      </c>
      <c r="J177" s="489"/>
      <c r="K177" s="490">
        <f>(K176+K178)/2</f>
        <v>0.64999999999999991</v>
      </c>
      <c r="L177" s="489"/>
      <c r="M177" s="490">
        <f>(M176+M178)/2</f>
        <v>0.64999999999999991</v>
      </c>
      <c r="N177" s="489"/>
      <c r="O177" s="490">
        <f>(O176+O178)/2</f>
        <v>0.7</v>
      </c>
    </row>
    <row r="178" spans="2:15">
      <c r="B178" s="467"/>
      <c r="C178" s="472">
        <v>24</v>
      </c>
      <c r="D178" s="487">
        <v>0.1</v>
      </c>
      <c r="E178" s="488">
        <f>E176-D178</f>
        <v>0.6</v>
      </c>
      <c r="F178" s="487">
        <v>0.1</v>
      </c>
      <c r="G178" s="488">
        <f>G176-F178</f>
        <v>0.6</v>
      </c>
      <c r="H178" s="487">
        <v>0.1</v>
      </c>
      <c r="I178" s="488">
        <f>I176-H178</f>
        <v>0.6</v>
      </c>
      <c r="J178" s="487">
        <v>0.1</v>
      </c>
      <c r="K178" s="488">
        <f>K176-J178</f>
        <v>0.6</v>
      </c>
      <c r="L178" s="487">
        <v>0.1</v>
      </c>
      <c r="M178" s="488">
        <f>M176-L178</f>
        <v>0.6</v>
      </c>
      <c r="N178" s="487">
        <v>0.1</v>
      </c>
      <c r="O178" s="488">
        <f>O176-N178</f>
        <v>0.65</v>
      </c>
    </row>
    <row r="179" spans="2:15">
      <c r="B179" s="467"/>
      <c r="C179" s="473">
        <v>30</v>
      </c>
      <c r="D179" s="489"/>
      <c r="E179" s="490">
        <f>(E178+E180)/2</f>
        <v>0.55000000000000004</v>
      </c>
      <c r="F179" s="489"/>
      <c r="G179" s="490">
        <f>(G178+G180)/2</f>
        <v>0.55000000000000004</v>
      </c>
      <c r="H179" s="489"/>
      <c r="I179" s="490">
        <f>(I178+I180)/2</f>
        <v>0.55000000000000004</v>
      </c>
      <c r="J179" s="489"/>
      <c r="K179" s="490">
        <f>(K178+K180)/2</f>
        <v>0.55000000000000004</v>
      </c>
      <c r="L179" s="489"/>
      <c r="M179" s="490">
        <f>(M178+M180)/2</f>
        <v>0.55000000000000004</v>
      </c>
      <c r="N179" s="489"/>
      <c r="O179" s="490">
        <f>(O178+O180)/2</f>
        <v>0.60000000000000009</v>
      </c>
    </row>
    <row r="180" spans="2:15">
      <c r="B180" s="467"/>
      <c r="C180" s="472">
        <v>36</v>
      </c>
      <c r="D180" s="487">
        <v>0.1</v>
      </c>
      <c r="E180" s="488">
        <f>E178-D180</f>
        <v>0.5</v>
      </c>
      <c r="F180" s="487">
        <v>0.1</v>
      </c>
      <c r="G180" s="488">
        <f>G178-F180</f>
        <v>0.5</v>
      </c>
      <c r="H180" s="487">
        <v>0.1</v>
      </c>
      <c r="I180" s="488">
        <f>I178-H180</f>
        <v>0.5</v>
      </c>
      <c r="J180" s="487">
        <v>0.1</v>
      </c>
      <c r="K180" s="488">
        <f>K178-J180</f>
        <v>0.5</v>
      </c>
      <c r="L180" s="487">
        <v>0.1</v>
      </c>
      <c r="M180" s="488">
        <f>M178-L180</f>
        <v>0.5</v>
      </c>
      <c r="N180" s="487">
        <v>0.1</v>
      </c>
      <c r="O180" s="488">
        <f>O178-N180</f>
        <v>0.55000000000000004</v>
      </c>
    </row>
    <row r="181" spans="2:15">
      <c r="B181" s="467"/>
      <c r="C181" s="473">
        <v>42</v>
      </c>
      <c r="D181" s="489"/>
      <c r="E181" s="490">
        <f>(E180+E182)/2</f>
        <v>0.45</v>
      </c>
      <c r="F181" s="489"/>
      <c r="G181" s="490">
        <f>(G180+G182)/2</f>
        <v>0.45</v>
      </c>
      <c r="H181" s="489"/>
      <c r="I181" s="490">
        <f>(I180+I182)/2</f>
        <v>0.45</v>
      </c>
      <c r="J181" s="489"/>
      <c r="K181" s="490">
        <f>(K180+K182)/2</f>
        <v>0.45</v>
      </c>
      <c r="L181" s="489"/>
      <c r="M181" s="490">
        <f>(M180+M182)/2</f>
        <v>0.45</v>
      </c>
      <c r="N181" s="489"/>
      <c r="O181" s="490">
        <f>(O180+O182)/2</f>
        <v>0.5</v>
      </c>
    </row>
    <row r="182" spans="2:15">
      <c r="B182" s="467"/>
      <c r="C182" s="472">
        <v>48</v>
      </c>
      <c r="D182" s="487">
        <v>0.1</v>
      </c>
      <c r="E182" s="488">
        <f>E180-D182</f>
        <v>0.4</v>
      </c>
      <c r="F182" s="487">
        <v>0.1</v>
      </c>
      <c r="G182" s="488">
        <f>G180-F182</f>
        <v>0.4</v>
      </c>
      <c r="H182" s="487">
        <v>0.1</v>
      </c>
      <c r="I182" s="488">
        <f>I180-H182</f>
        <v>0.4</v>
      </c>
      <c r="J182" s="487">
        <v>0.1</v>
      </c>
      <c r="K182" s="488">
        <f>K180-J182</f>
        <v>0.4</v>
      </c>
      <c r="L182" s="487">
        <v>0.1</v>
      </c>
      <c r="M182" s="488">
        <f>M180-L182</f>
        <v>0.4</v>
      </c>
      <c r="N182" s="487">
        <v>0.1</v>
      </c>
      <c r="O182" s="488">
        <f>O180-N182</f>
        <v>0.45000000000000007</v>
      </c>
    </row>
    <row r="183" spans="2:15">
      <c r="B183" s="467"/>
      <c r="C183" s="473">
        <v>54</v>
      </c>
      <c r="D183" s="489"/>
      <c r="E183" s="490">
        <f>(E182+E184)/2</f>
        <v>0.35000000000000003</v>
      </c>
      <c r="F183" s="489"/>
      <c r="G183" s="490">
        <f>(G182+G184)/2</f>
        <v>0.35000000000000003</v>
      </c>
      <c r="H183" s="489"/>
      <c r="I183" s="490">
        <f>(I182+I184)/2</f>
        <v>0.35000000000000003</v>
      </c>
      <c r="J183" s="489"/>
      <c r="K183" s="490">
        <f>(K182+K184)/2</f>
        <v>0.35000000000000003</v>
      </c>
      <c r="L183" s="489"/>
      <c r="M183" s="490">
        <f>(M182+M184)/2</f>
        <v>0.35000000000000003</v>
      </c>
      <c r="N183" s="489"/>
      <c r="O183" s="490">
        <f>(O182+O184)/2</f>
        <v>0.40000000000000008</v>
      </c>
    </row>
    <row r="184" spans="2:15">
      <c r="B184" s="467"/>
      <c r="C184" s="474">
        <v>60</v>
      </c>
      <c r="D184" s="491">
        <v>0.1</v>
      </c>
      <c r="E184" s="492">
        <f>E182-D184</f>
        <v>0.30000000000000004</v>
      </c>
      <c r="F184" s="491">
        <v>0.1</v>
      </c>
      <c r="G184" s="492">
        <f>G182-F184</f>
        <v>0.30000000000000004</v>
      </c>
      <c r="H184" s="491">
        <v>0.1</v>
      </c>
      <c r="I184" s="492">
        <f>I182-H184</f>
        <v>0.30000000000000004</v>
      </c>
      <c r="J184" s="491">
        <v>0.1</v>
      </c>
      <c r="K184" s="492">
        <f>K182-J184</f>
        <v>0.30000000000000004</v>
      </c>
      <c r="L184" s="491">
        <v>0.1</v>
      </c>
      <c r="M184" s="492">
        <f>M182-L184</f>
        <v>0.30000000000000004</v>
      </c>
      <c r="N184" s="491">
        <v>0.1</v>
      </c>
      <c r="O184" s="492">
        <f>O182-N184</f>
        <v>0.35000000000000009</v>
      </c>
    </row>
    <row r="185" spans="2:15">
      <c r="B185" s="309"/>
    </row>
  </sheetData>
  <sheetProtection formatCells="0" formatColumns="0" formatRows="0"/>
  <mergeCells count="16">
    <mergeCell ref="H9:J9"/>
    <mergeCell ref="H13:J13"/>
    <mergeCell ref="H12:J12"/>
    <mergeCell ref="H11:J11"/>
    <mergeCell ref="H10:J10"/>
    <mergeCell ref="C82:G82"/>
    <mergeCell ref="C4:G4"/>
    <mergeCell ref="C28:G28"/>
    <mergeCell ref="C42:G42"/>
    <mergeCell ref="C56:G56"/>
    <mergeCell ref="C69:G69"/>
    <mergeCell ref="K30:N30"/>
    <mergeCell ref="Q30:T30"/>
    <mergeCell ref="Q31:R31"/>
    <mergeCell ref="S31:T31"/>
    <mergeCell ref="F30:I30"/>
  </mergeCells>
  <pageMargins left="0.7" right="0.7" top="0.75" bottom="0.75" header="0.3" footer="0.3"/>
  <pageSetup orientation="portrait" r:id="rId1"/>
  <ignoredErrors>
    <ignoredError sqref="E187:P201" unlockedFormula="1"/>
    <ignoredError sqref="U118:V125 U127:V137 U126:V126 U139:V149 U138:V138 U151:V161 U150:V150 U163:V173 U162:V162 U175:V184 U174:V174 Q186:T186 Q185:T185 Q174:T174 Q175:T184 Q162:T162 Q163:T173 Q150:T150 Q151:T161 Q138:T138 Q139:T149 Q126:T126 Q127:T137 Q118:T125 A1:T9 A12:T30 A10:C10 E10:T10 A11:C11 E11:T11 A85:T86 A84:D84 F84:T84 A105:D108 A90:D91 Q90:T104 A127:D137 A126:D126 A118:D125 A115:D117 Q114:T117 A111:D113 Q111:T113 A139:D149 A138:D138 A151:D161 A150:D150 A163:D173 A162:D162 A185:D185 A174:D174 A175:D184 A109:D110 Q109:T110 Q105:T108 A88:T89 A87:C87 E87:T87 A93:D101 A92:C92 A103:D104 A102:B102 D102 A114:B114 D114 A62:T62 A60:B60 D60:T60 A61:B61 D61:T61 A64:T83 A63:B63 D63:T63 A32:T59 A31:C31 E31:T31" formula="1"/>
    <ignoredError sqref="E186:P186 N105:P108 E105:J108 E109:P110 E175:G184 E163:G173 E174:O174 E151:G161 E162:O162 E139:G149 E150:O150 E127:G137 E138:O138 N111:P113 E111:J113 E114:P117 E118:G125 E126:O126 E90:P104 E84 D11 D10 H118:P125 K111:M113 H127:P137 P126 H139:P149 P138 H151:P161 P150 H163:P173 P162 H175:P184 P174 E185:P185 K105:M108" formula="1" unlockedFormula="1"/>
  </ignoredErrors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2AA362B-08CE-4965-B821-B9B511E9264E}">
            <xm:f>IF(OR(Carátula!$I$29=6,Carátula!$I$29=5),1,0)</xm:f>
            <x14:dxf>
              <font>
                <color theme="0" tint="-0.24994659260841701"/>
              </font>
            </x14:dxf>
          </x14:cfRule>
          <xm:sqref>C35:D35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7">
    <tabColor theme="6" tint="0.59999389629810485"/>
  </sheetPr>
  <dimension ref="B2:DE151"/>
  <sheetViews>
    <sheetView showGridLines="0" zoomScale="85" zoomScaleNormal="85" workbookViewId="0">
      <pane xSplit="7" ySplit="2" topLeftCell="I3" activePane="bottomRight" state="frozen"/>
      <selection activeCell="E8" sqref="E8"/>
      <selection pane="topRight" activeCell="E8" sqref="E8"/>
      <selection pane="bottomLeft" activeCell="E8" sqref="E8"/>
      <selection pane="bottomRight" activeCell="I5" sqref="I5"/>
    </sheetView>
  </sheetViews>
  <sheetFormatPr baseColWidth="10" defaultColWidth="11.453125" defaultRowHeight="14.5" outlineLevelCol="1"/>
  <cols>
    <col min="1" max="1" width="1.7265625" customWidth="1"/>
    <col min="2" max="2" width="37.54296875" customWidth="1"/>
    <col min="3" max="3" width="12.7265625" customWidth="1"/>
    <col min="4" max="4" width="1.7265625" customWidth="1"/>
    <col min="5" max="5" width="12.7265625" style="82" customWidth="1"/>
    <col min="6" max="6" width="1.7265625" customWidth="1"/>
    <col min="7" max="7" width="28.26953125" customWidth="1"/>
    <col min="8" max="8" width="13.453125" bestFit="1" customWidth="1"/>
    <col min="9" max="9" width="11.81640625" bestFit="1" customWidth="1"/>
    <col min="32" max="32" width="11.453125" customWidth="1"/>
    <col min="57" max="108" width="11.453125" outlineLevel="1"/>
  </cols>
  <sheetData>
    <row r="2" spans="2:109">
      <c r="G2" s="83" t="s">
        <v>250</v>
      </c>
      <c r="H2" s="84">
        <v>0</v>
      </c>
      <c r="I2" s="84">
        <v>1</v>
      </c>
      <c r="J2" s="84">
        <v>2</v>
      </c>
      <c r="K2" s="84">
        <v>3</v>
      </c>
      <c r="L2" s="84">
        <v>4</v>
      </c>
      <c r="M2" s="84">
        <v>5</v>
      </c>
      <c r="N2" s="84">
        <v>6</v>
      </c>
      <c r="O2" s="84">
        <v>7</v>
      </c>
      <c r="P2" s="84">
        <v>8</v>
      </c>
      <c r="Q2" s="84">
        <v>9</v>
      </c>
      <c r="R2" s="84">
        <v>10</v>
      </c>
      <c r="S2" s="84">
        <v>11</v>
      </c>
      <c r="T2" s="84">
        <v>12</v>
      </c>
      <c r="U2" s="84">
        <v>13</v>
      </c>
      <c r="V2" s="84">
        <v>14</v>
      </c>
      <c r="W2" s="84">
        <v>15</v>
      </c>
      <c r="X2" s="84">
        <v>16</v>
      </c>
      <c r="Y2" s="84">
        <v>17</v>
      </c>
      <c r="Z2" s="84">
        <v>18</v>
      </c>
      <c r="AA2" s="84">
        <v>19</v>
      </c>
      <c r="AB2" s="84">
        <v>20</v>
      </c>
      <c r="AC2" s="84">
        <v>21</v>
      </c>
      <c r="AD2" s="84">
        <v>22</v>
      </c>
      <c r="AE2" s="84">
        <v>23</v>
      </c>
      <c r="AF2" s="84">
        <v>24</v>
      </c>
      <c r="AG2" s="84">
        <v>25</v>
      </c>
      <c r="AH2" s="84">
        <v>26</v>
      </c>
      <c r="AI2" s="84">
        <v>27</v>
      </c>
      <c r="AJ2" s="84">
        <v>28</v>
      </c>
      <c r="AK2" s="84">
        <v>29</v>
      </c>
      <c r="AL2" s="84">
        <v>30</v>
      </c>
      <c r="AM2" s="84">
        <v>31</v>
      </c>
      <c r="AN2" s="84">
        <v>32</v>
      </c>
      <c r="AO2" s="84">
        <v>33</v>
      </c>
      <c r="AP2" s="84">
        <v>34</v>
      </c>
      <c r="AQ2" s="84">
        <v>35</v>
      </c>
      <c r="AR2" s="84">
        <v>36</v>
      </c>
      <c r="AS2" s="84">
        <v>37</v>
      </c>
      <c r="AT2" s="84">
        <v>38</v>
      </c>
      <c r="AU2" s="84">
        <v>39</v>
      </c>
      <c r="AV2" s="84">
        <v>40</v>
      </c>
      <c r="AW2" s="84">
        <v>41</v>
      </c>
      <c r="AX2" s="84">
        <v>42</v>
      </c>
      <c r="AY2" s="84">
        <v>43</v>
      </c>
      <c r="AZ2" s="84">
        <v>44</v>
      </c>
      <c r="BA2" s="84">
        <v>45</v>
      </c>
      <c r="BB2" s="84">
        <v>46</v>
      </c>
      <c r="BC2" s="84">
        <v>47</v>
      </c>
      <c r="BD2" s="84">
        <v>48</v>
      </c>
      <c r="BE2" s="84">
        <v>49</v>
      </c>
      <c r="BF2" s="84">
        <v>50</v>
      </c>
      <c r="BG2" s="84">
        <v>51</v>
      </c>
      <c r="BH2" s="84">
        <v>52</v>
      </c>
      <c r="BI2" s="84">
        <v>53</v>
      </c>
      <c r="BJ2" s="84">
        <v>54</v>
      </c>
      <c r="BK2" s="84">
        <v>55</v>
      </c>
      <c r="BL2" s="84">
        <v>56</v>
      </c>
      <c r="BM2" s="84">
        <v>57</v>
      </c>
      <c r="BN2" s="84">
        <v>58</v>
      </c>
      <c r="BO2" s="84">
        <v>59</v>
      </c>
      <c r="BP2" s="84">
        <v>60</v>
      </c>
      <c r="BQ2" s="84">
        <v>61</v>
      </c>
      <c r="BR2" s="84">
        <v>62</v>
      </c>
      <c r="BS2" s="84">
        <v>63</v>
      </c>
      <c r="BT2" s="84">
        <v>64</v>
      </c>
      <c r="BU2" s="84">
        <v>65</v>
      </c>
      <c r="BV2" s="84">
        <v>66</v>
      </c>
      <c r="BW2" s="84">
        <v>67</v>
      </c>
      <c r="BX2" s="84">
        <v>68</v>
      </c>
      <c r="BY2" s="84">
        <v>69</v>
      </c>
      <c r="BZ2" s="84">
        <v>70</v>
      </c>
      <c r="CA2" s="84">
        <v>71</v>
      </c>
      <c r="CB2" s="84">
        <v>72</v>
      </c>
      <c r="CC2" s="84">
        <v>73</v>
      </c>
      <c r="CD2" s="84">
        <v>74</v>
      </c>
      <c r="CE2" s="84">
        <v>75</v>
      </c>
      <c r="CF2" s="84">
        <v>76</v>
      </c>
      <c r="CG2" s="84">
        <v>77</v>
      </c>
      <c r="CH2" s="84">
        <v>78</v>
      </c>
      <c r="CI2" s="84">
        <v>79</v>
      </c>
      <c r="CJ2" s="84">
        <v>80</v>
      </c>
      <c r="CK2" s="84">
        <v>81</v>
      </c>
      <c r="CL2" s="84">
        <v>82</v>
      </c>
      <c r="CM2" s="84">
        <v>83</v>
      </c>
      <c r="CN2" s="84">
        <v>84</v>
      </c>
      <c r="CO2" s="84">
        <v>85</v>
      </c>
      <c r="CP2" s="84">
        <v>86</v>
      </c>
      <c r="CQ2" s="84">
        <v>87</v>
      </c>
      <c r="CR2" s="84">
        <v>88</v>
      </c>
      <c r="CS2" s="84">
        <v>89</v>
      </c>
      <c r="CT2" s="84">
        <v>90</v>
      </c>
      <c r="CU2" s="84">
        <v>91</v>
      </c>
      <c r="CV2" s="84">
        <v>92</v>
      </c>
      <c r="CW2" s="84">
        <v>93</v>
      </c>
      <c r="CX2" s="84">
        <v>94</v>
      </c>
      <c r="CY2" s="84">
        <v>95</v>
      </c>
      <c r="CZ2" s="84">
        <v>96</v>
      </c>
      <c r="DA2" s="84">
        <v>97</v>
      </c>
      <c r="DB2" s="84">
        <v>98</v>
      </c>
      <c r="DC2" s="84">
        <v>99</v>
      </c>
      <c r="DD2" s="84">
        <v>100</v>
      </c>
      <c r="DE2" s="85" t="s">
        <v>249</v>
      </c>
    </row>
    <row r="3" spans="2:109"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6"/>
      <c r="BJ3" s="86"/>
      <c r="BK3" s="86"/>
      <c r="BL3" s="86"/>
      <c r="BM3" s="86"/>
      <c r="BN3" s="86"/>
      <c r="BO3" s="86"/>
      <c r="BP3" s="86"/>
      <c r="BQ3" s="86"/>
      <c r="BR3" s="86"/>
      <c r="BS3" s="86"/>
      <c r="BT3" s="86"/>
      <c r="BU3" s="86"/>
      <c r="BV3" s="86"/>
      <c r="BW3" s="86"/>
      <c r="BX3" s="86"/>
      <c r="BY3" s="86"/>
      <c r="BZ3" s="86"/>
      <c r="CA3" s="86"/>
      <c r="CB3" s="86"/>
      <c r="CC3" s="86"/>
      <c r="CD3" s="86"/>
      <c r="CE3" s="86"/>
      <c r="CF3" s="86"/>
      <c r="CG3" s="86"/>
      <c r="CH3" s="86"/>
      <c r="CI3" s="86"/>
      <c r="CJ3" s="86"/>
      <c r="CK3" s="86"/>
      <c r="CL3" s="86"/>
      <c r="CM3" s="86"/>
      <c r="CN3" s="86"/>
      <c r="CO3" s="86"/>
      <c r="CP3" s="86"/>
      <c r="CQ3" s="86"/>
      <c r="CR3" s="86"/>
      <c r="CS3" s="86"/>
      <c r="CT3" s="86"/>
      <c r="CU3" s="86"/>
      <c r="CV3" s="86"/>
      <c r="CW3" s="86"/>
      <c r="CX3" s="86"/>
      <c r="CY3" s="86"/>
      <c r="CZ3" s="86"/>
      <c r="DA3" s="86"/>
      <c r="DB3" s="86"/>
      <c r="DC3" s="86"/>
      <c r="DD3" s="86"/>
      <c r="DE3" s="86"/>
    </row>
    <row r="4" spans="2:109" ht="15" thickBot="1">
      <c r="B4" s="83" t="s">
        <v>256</v>
      </c>
      <c r="G4" s="87" t="s">
        <v>248</v>
      </c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  <c r="BW4" s="88"/>
      <c r="BX4" s="88"/>
      <c r="BY4" s="88"/>
      <c r="BZ4" s="88"/>
      <c r="CA4" s="88"/>
      <c r="CB4" s="88"/>
      <c r="CC4" s="88"/>
      <c r="CD4" s="88"/>
      <c r="CE4" s="88"/>
      <c r="CF4" s="88"/>
      <c r="CG4" s="88"/>
      <c r="CH4" s="88"/>
      <c r="CI4" s="88"/>
      <c r="CJ4" s="88"/>
      <c r="CK4" s="88"/>
      <c r="CL4" s="88"/>
      <c r="CM4" s="88"/>
      <c r="CN4" s="88"/>
      <c r="CO4" s="88"/>
      <c r="CP4" s="88"/>
      <c r="CQ4" s="88"/>
      <c r="CR4" s="88"/>
      <c r="CS4" s="88"/>
      <c r="CT4" s="88"/>
      <c r="CU4" s="88"/>
      <c r="CV4" s="88"/>
      <c r="CW4" s="88"/>
      <c r="CX4" s="88"/>
      <c r="CY4" s="88"/>
      <c r="CZ4" s="88"/>
      <c r="DA4" s="88"/>
      <c r="DB4" s="88"/>
      <c r="DC4" s="88"/>
      <c r="DD4" s="88"/>
      <c r="DE4" s="88"/>
    </row>
    <row r="5" spans="2:109">
      <c r="B5" s="89" t="s">
        <v>261</v>
      </c>
      <c r="C5" s="90">
        <f>Carátula!$G$39</f>
        <v>48</v>
      </c>
      <c r="E5" s="91"/>
      <c r="G5" t="s">
        <v>230</v>
      </c>
      <c r="H5" s="311">
        <f>$C$30*$C$10</f>
        <v>0</v>
      </c>
      <c r="I5" s="311">
        <f t="shared" ref="I5:AN5" si="0">IF(I$2&lt;=$C$5,1,0)*(($C$6*$C$7*$C$10)*((1+$C$37/12)^(I$2-1)))</f>
        <v>760608.93599999999</v>
      </c>
      <c r="J5" s="311">
        <f t="shared" si="0"/>
        <v>762510.4583399999</v>
      </c>
      <c r="K5" s="311">
        <f t="shared" si="0"/>
        <v>764416.73448584985</v>
      </c>
      <c r="L5" s="311">
        <f t="shared" si="0"/>
        <v>766327.77632206446</v>
      </c>
      <c r="M5" s="311">
        <f t="shared" si="0"/>
        <v>768243.59576286958</v>
      </c>
      <c r="N5" s="311">
        <f t="shared" si="0"/>
        <v>770164.20475227677</v>
      </c>
      <c r="O5" s="311">
        <f t="shared" si="0"/>
        <v>772089.6152641573</v>
      </c>
      <c r="P5" s="311">
        <f t="shared" si="0"/>
        <v>774019.83930231771</v>
      </c>
      <c r="Q5" s="311">
        <f t="shared" si="0"/>
        <v>775954.88890057348</v>
      </c>
      <c r="R5" s="311">
        <f t="shared" si="0"/>
        <v>777894.77612282499</v>
      </c>
      <c r="S5" s="311">
        <f t="shared" si="0"/>
        <v>779839.51306313195</v>
      </c>
      <c r="T5" s="311">
        <f t="shared" si="0"/>
        <v>781789.11184578959</v>
      </c>
      <c r="U5" s="311">
        <f t="shared" si="0"/>
        <v>783743.58462540421</v>
      </c>
      <c r="V5" s="311">
        <f t="shared" si="0"/>
        <v>785702.94358696777</v>
      </c>
      <c r="W5" s="311">
        <f t="shared" si="0"/>
        <v>787667.20094593498</v>
      </c>
      <c r="X5" s="311">
        <f t="shared" si="0"/>
        <v>789636.36894829979</v>
      </c>
      <c r="Y5" s="311">
        <f t="shared" si="0"/>
        <v>791610.45987067057</v>
      </c>
      <c r="Z5" s="311">
        <f t="shared" si="0"/>
        <v>793589.4860203471</v>
      </c>
      <c r="AA5" s="311">
        <f t="shared" si="0"/>
        <v>795573.45973539806</v>
      </c>
      <c r="AB5" s="311">
        <f t="shared" si="0"/>
        <v>797562.3933847365</v>
      </c>
      <c r="AC5" s="311">
        <f t="shared" si="0"/>
        <v>799556.29936819838</v>
      </c>
      <c r="AD5" s="311">
        <f t="shared" si="0"/>
        <v>801555.19011661876</v>
      </c>
      <c r="AE5" s="311">
        <f t="shared" si="0"/>
        <v>803559.07809191011</v>
      </c>
      <c r="AF5" s="311">
        <f t="shared" si="0"/>
        <v>805567.97578713996</v>
      </c>
      <c r="AG5" s="311">
        <f t="shared" si="0"/>
        <v>807581.89572660776</v>
      </c>
      <c r="AH5" s="311">
        <f t="shared" si="0"/>
        <v>809600.85046592436</v>
      </c>
      <c r="AI5" s="311">
        <f t="shared" si="0"/>
        <v>811624.8525920891</v>
      </c>
      <c r="AJ5" s="311">
        <f t="shared" si="0"/>
        <v>813653.91472356918</v>
      </c>
      <c r="AK5" s="311">
        <f t="shared" si="0"/>
        <v>815688.04951037816</v>
      </c>
      <c r="AL5" s="311">
        <f t="shared" si="0"/>
        <v>817727.26963415428</v>
      </c>
      <c r="AM5" s="311">
        <f t="shared" si="0"/>
        <v>819771.58780823939</v>
      </c>
      <c r="AN5" s="311">
        <f t="shared" si="0"/>
        <v>821821.01677775988</v>
      </c>
      <c r="AO5" s="311">
        <f t="shared" ref="AO5:BT5" si="1">IF(AO$2&lt;=$C$5,1,0)*(($C$6*$C$7*$C$10)*((1+$C$37/12)^(AO$2-1)))</f>
        <v>823875.56931970443</v>
      </c>
      <c r="AP5" s="311">
        <f t="shared" si="1"/>
        <v>825935.25824300363</v>
      </c>
      <c r="AQ5" s="311">
        <f t="shared" si="1"/>
        <v>828000.09638861101</v>
      </c>
      <c r="AR5" s="311">
        <f t="shared" si="1"/>
        <v>830070.09662958246</v>
      </c>
      <c r="AS5" s="311">
        <f t="shared" si="1"/>
        <v>832145.27187115652</v>
      </c>
      <c r="AT5" s="311">
        <f t="shared" si="1"/>
        <v>834225.63505083439</v>
      </c>
      <c r="AU5" s="311">
        <f t="shared" si="1"/>
        <v>836311.19913846126</v>
      </c>
      <c r="AV5" s="311">
        <f t="shared" si="1"/>
        <v>838401.97713630751</v>
      </c>
      <c r="AW5" s="311">
        <f t="shared" si="1"/>
        <v>840497.98207914829</v>
      </c>
      <c r="AX5" s="311">
        <f t="shared" si="1"/>
        <v>842599.22703434608</v>
      </c>
      <c r="AY5" s="311">
        <f t="shared" si="1"/>
        <v>844705.72510193184</v>
      </c>
      <c r="AZ5" s="311">
        <f t="shared" si="1"/>
        <v>846817.48941468657</v>
      </c>
      <c r="BA5" s="311">
        <f t="shared" si="1"/>
        <v>848934.53313822334</v>
      </c>
      <c r="BB5" s="311">
        <f t="shared" si="1"/>
        <v>851056.86947106896</v>
      </c>
      <c r="BC5" s="311">
        <f t="shared" si="1"/>
        <v>853184.51164474629</v>
      </c>
      <c r="BD5" s="311">
        <f t="shared" si="1"/>
        <v>855317.47292385821</v>
      </c>
      <c r="BE5" s="311">
        <f t="shared" si="1"/>
        <v>0</v>
      </c>
      <c r="BF5" s="311">
        <f t="shared" si="1"/>
        <v>0</v>
      </c>
      <c r="BG5" s="311">
        <f t="shared" si="1"/>
        <v>0</v>
      </c>
      <c r="BH5" s="311">
        <f t="shared" si="1"/>
        <v>0</v>
      </c>
      <c r="BI5" s="311">
        <f t="shared" si="1"/>
        <v>0</v>
      </c>
      <c r="BJ5" s="311">
        <f t="shared" si="1"/>
        <v>0</v>
      </c>
      <c r="BK5" s="311">
        <f t="shared" si="1"/>
        <v>0</v>
      </c>
      <c r="BL5" s="311">
        <f t="shared" si="1"/>
        <v>0</v>
      </c>
      <c r="BM5" s="311">
        <f t="shared" si="1"/>
        <v>0</v>
      </c>
      <c r="BN5" s="311">
        <f t="shared" si="1"/>
        <v>0</v>
      </c>
      <c r="BO5" s="311">
        <f t="shared" si="1"/>
        <v>0</v>
      </c>
      <c r="BP5" s="311">
        <f t="shared" si="1"/>
        <v>0</v>
      </c>
      <c r="BQ5" s="311">
        <f t="shared" si="1"/>
        <v>0</v>
      </c>
      <c r="BR5" s="311">
        <f t="shared" si="1"/>
        <v>0</v>
      </c>
      <c r="BS5" s="311">
        <f t="shared" si="1"/>
        <v>0</v>
      </c>
      <c r="BT5" s="311">
        <f t="shared" si="1"/>
        <v>0</v>
      </c>
      <c r="BU5" s="311">
        <f t="shared" ref="BU5:DD5" si="2">IF(BU$2&lt;=$C$5,1,0)*(($C$6*$C$7*$C$10)*((1+$C$37/12)^(BU$2-1)))</f>
        <v>0</v>
      </c>
      <c r="BV5" s="311">
        <f t="shared" si="2"/>
        <v>0</v>
      </c>
      <c r="BW5" s="311">
        <f t="shared" si="2"/>
        <v>0</v>
      </c>
      <c r="BX5" s="311">
        <f t="shared" si="2"/>
        <v>0</v>
      </c>
      <c r="BY5" s="311">
        <f t="shared" si="2"/>
        <v>0</v>
      </c>
      <c r="BZ5" s="311">
        <f t="shared" si="2"/>
        <v>0</v>
      </c>
      <c r="CA5" s="311">
        <f t="shared" si="2"/>
        <v>0</v>
      </c>
      <c r="CB5" s="311">
        <f t="shared" si="2"/>
        <v>0</v>
      </c>
      <c r="CC5" s="311">
        <f t="shared" si="2"/>
        <v>0</v>
      </c>
      <c r="CD5" s="311">
        <f t="shared" si="2"/>
        <v>0</v>
      </c>
      <c r="CE5" s="311">
        <f t="shared" si="2"/>
        <v>0</v>
      </c>
      <c r="CF5" s="311">
        <f t="shared" si="2"/>
        <v>0</v>
      </c>
      <c r="CG5" s="311">
        <f t="shared" si="2"/>
        <v>0</v>
      </c>
      <c r="CH5" s="311">
        <f t="shared" si="2"/>
        <v>0</v>
      </c>
      <c r="CI5" s="311">
        <f t="shared" si="2"/>
        <v>0</v>
      </c>
      <c r="CJ5" s="311">
        <f t="shared" si="2"/>
        <v>0</v>
      </c>
      <c r="CK5" s="311">
        <f t="shared" si="2"/>
        <v>0</v>
      </c>
      <c r="CL5" s="311">
        <f t="shared" si="2"/>
        <v>0</v>
      </c>
      <c r="CM5" s="311">
        <f t="shared" si="2"/>
        <v>0</v>
      </c>
      <c r="CN5" s="311">
        <f t="shared" si="2"/>
        <v>0</v>
      </c>
      <c r="CO5" s="311">
        <f t="shared" si="2"/>
        <v>0</v>
      </c>
      <c r="CP5" s="311">
        <f t="shared" si="2"/>
        <v>0</v>
      </c>
      <c r="CQ5" s="311">
        <f t="shared" si="2"/>
        <v>0</v>
      </c>
      <c r="CR5" s="311">
        <f t="shared" si="2"/>
        <v>0</v>
      </c>
      <c r="CS5" s="311">
        <f t="shared" si="2"/>
        <v>0</v>
      </c>
      <c r="CT5" s="311">
        <f t="shared" si="2"/>
        <v>0</v>
      </c>
      <c r="CU5" s="311">
        <f t="shared" si="2"/>
        <v>0</v>
      </c>
      <c r="CV5" s="311">
        <f t="shared" si="2"/>
        <v>0</v>
      </c>
      <c r="CW5" s="311">
        <f t="shared" si="2"/>
        <v>0</v>
      </c>
      <c r="CX5" s="311">
        <f t="shared" si="2"/>
        <v>0</v>
      </c>
      <c r="CY5" s="311">
        <f t="shared" si="2"/>
        <v>0</v>
      </c>
      <c r="CZ5" s="311">
        <f t="shared" si="2"/>
        <v>0</v>
      </c>
      <c r="DA5" s="311">
        <f t="shared" si="2"/>
        <v>0</v>
      </c>
      <c r="DB5" s="311">
        <f t="shared" si="2"/>
        <v>0</v>
      </c>
      <c r="DC5" s="311">
        <f t="shared" si="2"/>
        <v>0</v>
      </c>
      <c r="DD5" s="311">
        <f t="shared" si="2"/>
        <v>0</v>
      </c>
      <c r="DE5" s="86">
        <f t="shared" ref="DE5:DE25" si="3">SUM(H5:DD5)</f>
        <v>38738732.242467858</v>
      </c>
    </row>
    <row r="6" spans="2:109">
      <c r="B6" t="s">
        <v>262</v>
      </c>
      <c r="C6" s="92">
        <f>Carátula!$G$82</f>
        <v>21.2</v>
      </c>
      <c r="E6" s="91"/>
      <c r="G6" t="s">
        <v>247</v>
      </c>
      <c r="H6" s="86"/>
      <c r="I6" s="86">
        <f>-IF(I$2&lt;=$C$5,1,0)*(SUM($C$10:$C$12)*$C$20)*((1+$C$37/12)^(I$2-1))-IF(I$2&lt;=$C$5,1,0)*(I$5*$C$9)</f>
        <v>-254846.77908083334</v>
      </c>
      <c r="J6" s="86">
        <f>-IF(J$2&lt;=$C$5,1,0)*(SUM($C$10:$C$12)*$C$20)*((1+$C$37/12)^(J$2-1))-IF(J$2&lt;=$C$5,1,0)*(J$5*$C$9)</f>
        <v>-255483.89602853541</v>
      </c>
      <c r="K6" s="86">
        <f t="shared" ref="K6:AN6" si="4">-IF(K$2&lt;=$C$5,1,0)*(SUM($C$10:$C$12)*$C$20)*((1+$C$37/12)^(K$2-1))-IF(K$2&lt;=$C$5,1,0)*(K$5*$C$9)</f>
        <v>-256122.60576860671</v>
      </c>
      <c r="L6" s="86">
        <f t="shared" si="4"/>
        <v>-256762.91228302821</v>
      </c>
      <c r="M6" s="86">
        <f t="shared" si="4"/>
        <v>-257404.8195637358</v>
      </c>
      <c r="N6" s="86">
        <f t="shared" si="4"/>
        <v>-258048.33161264512</v>
      </c>
      <c r="O6" s="86">
        <f t="shared" si="4"/>
        <v>-258693.45244167667</v>
      </c>
      <c r="P6" s="86">
        <f t="shared" si="4"/>
        <v>-259340.18607278087</v>
      </c>
      <c r="Q6" s="86">
        <f t="shared" si="4"/>
        <v>-259988.53653796282</v>
      </c>
      <c r="R6" s="86">
        <f t="shared" si="4"/>
        <v>-260638.50787930776</v>
      </c>
      <c r="S6" s="86">
        <f t="shared" si="4"/>
        <v>-261290.10414900596</v>
      </c>
      <c r="T6" s="86">
        <f t="shared" si="4"/>
        <v>-261943.32940937844</v>
      </c>
      <c r="U6" s="86">
        <f t="shared" si="4"/>
        <v>-262598.18773290195</v>
      </c>
      <c r="V6" s="86">
        <f t="shared" si="4"/>
        <v>-263254.68320223421</v>
      </c>
      <c r="W6" s="86">
        <f t="shared" si="4"/>
        <v>-263912.81991023972</v>
      </c>
      <c r="X6" s="86">
        <f t="shared" si="4"/>
        <v>-264572.60196001525</v>
      </c>
      <c r="Y6" s="86">
        <f t="shared" si="4"/>
        <v>-265234.03346491535</v>
      </c>
      <c r="Z6" s="86">
        <f t="shared" si="4"/>
        <v>-265897.11854857759</v>
      </c>
      <c r="AA6" s="86">
        <f t="shared" si="4"/>
        <v>-266561.86134494905</v>
      </c>
      <c r="AB6" s="86">
        <f t="shared" si="4"/>
        <v>-267228.2659983114</v>
      </c>
      <c r="AC6" s="86">
        <f t="shared" si="4"/>
        <v>-267896.33666330721</v>
      </c>
      <c r="AD6" s="86">
        <f t="shared" si="4"/>
        <v>-268566.07750496548</v>
      </c>
      <c r="AE6" s="86">
        <f t="shared" si="4"/>
        <v>-269237.49269872782</v>
      </c>
      <c r="AF6" s="86">
        <f t="shared" si="4"/>
        <v>-269910.58643047465</v>
      </c>
      <c r="AG6" s="86">
        <f t="shared" si="4"/>
        <v>-270585.3628965508</v>
      </c>
      <c r="AH6" s="86">
        <f t="shared" si="4"/>
        <v>-271261.82630379219</v>
      </c>
      <c r="AI6" s="86">
        <f t="shared" si="4"/>
        <v>-271939.98086955171</v>
      </c>
      <c r="AJ6" s="86">
        <f t="shared" si="4"/>
        <v>-272619.83082172548</v>
      </c>
      <c r="AK6" s="86">
        <f t="shared" si="4"/>
        <v>-273301.38039877982</v>
      </c>
      <c r="AL6" s="86">
        <f t="shared" si="4"/>
        <v>-273984.63384977682</v>
      </c>
      <c r="AM6" s="86">
        <f t="shared" si="4"/>
        <v>-274669.59543440118</v>
      </c>
      <c r="AN6" s="86">
        <f t="shared" si="4"/>
        <v>-275356.26942298713</v>
      </c>
      <c r="AO6" s="86">
        <f t="shared" ref="AO6:BT6" si="5">-IF(AO$2&lt;=$C$5,1,0)*(SUM($C$10:$C$12)*$C$20)*((1+$C$37/12)^(AO$2-1))-IF(AO$2&lt;=$C$5,1,0)*(AO$5*$C$9)</f>
        <v>-276044.66009654466</v>
      </c>
      <c r="AP6" s="86">
        <f t="shared" si="5"/>
        <v>-276734.77174678602</v>
      </c>
      <c r="AQ6" s="86">
        <f t="shared" si="5"/>
        <v>-277426.60867615294</v>
      </c>
      <c r="AR6" s="86">
        <f t="shared" si="5"/>
        <v>-278120.17519784335</v>
      </c>
      <c r="AS6" s="86">
        <f t="shared" si="5"/>
        <v>-278815.47563583794</v>
      </c>
      <c r="AT6" s="86">
        <f t="shared" si="5"/>
        <v>-279512.51432492759</v>
      </c>
      <c r="AU6" s="86">
        <f t="shared" si="5"/>
        <v>-280211.29561073973</v>
      </c>
      <c r="AV6" s="86">
        <f t="shared" si="5"/>
        <v>-280911.82384976663</v>
      </c>
      <c r="AW6" s="86">
        <f t="shared" si="5"/>
        <v>-281614.10340939101</v>
      </c>
      <c r="AX6" s="86">
        <f t="shared" si="5"/>
        <v>-282318.13866791455</v>
      </c>
      <c r="AY6" s="86">
        <f t="shared" si="5"/>
        <v>-283023.93401458429</v>
      </c>
      <c r="AZ6" s="86">
        <f t="shared" si="5"/>
        <v>-283731.49384962069</v>
      </c>
      <c r="BA6" s="86">
        <f t="shared" si="5"/>
        <v>-284440.82258424477</v>
      </c>
      <c r="BB6" s="86">
        <f t="shared" si="5"/>
        <v>-285151.9246407054</v>
      </c>
      <c r="BC6" s="86">
        <f t="shared" si="5"/>
        <v>-285864.80445230711</v>
      </c>
      <c r="BD6" s="86">
        <f t="shared" si="5"/>
        <v>-286579.46646343777</v>
      </c>
      <c r="BE6" s="86">
        <f t="shared" si="5"/>
        <v>0</v>
      </c>
      <c r="BF6" s="86">
        <f t="shared" si="5"/>
        <v>0</v>
      </c>
      <c r="BG6" s="86">
        <f t="shared" si="5"/>
        <v>0</v>
      </c>
      <c r="BH6" s="86">
        <f t="shared" si="5"/>
        <v>0</v>
      </c>
      <c r="BI6" s="86">
        <f t="shared" si="5"/>
        <v>0</v>
      </c>
      <c r="BJ6" s="86">
        <f t="shared" si="5"/>
        <v>0</v>
      </c>
      <c r="BK6" s="86">
        <f t="shared" si="5"/>
        <v>0</v>
      </c>
      <c r="BL6" s="86">
        <f t="shared" si="5"/>
        <v>0</v>
      </c>
      <c r="BM6" s="86">
        <f t="shared" si="5"/>
        <v>0</v>
      </c>
      <c r="BN6" s="86">
        <f t="shared" si="5"/>
        <v>0</v>
      </c>
      <c r="BO6" s="86">
        <f t="shared" si="5"/>
        <v>0</v>
      </c>
      <c r="BP6" s="86">
        <f t="shared" si="5"/>
        <v>0</v>
      </c>
      <c r="BQ6" s="86">
        <f t="shared" si="5"/>
        <v>0</v>
      </c>
      <c r="BR6" s="86">
        <f t="shared" si="5"/>
        <v>0</v>
      </c>
      <c r="BS6" s="86">
        <f t="shared" si="5"/>
        <v>0</v>
      </c>
      <c r="BT6" s="86">
        <f t="shared" si="5"/>
        <v>0</v>
      </c>
      <c r="BU6" s="86">
        <f t="shared" ref="BU6:DD6" si="6">-IF(BU$2&lt;=$C$5,1,0)*(SUM($C$10:$C$12)*$C$20)*((1+$C$37/12)^(BU$2-1))-IF(BU$2&lt;=$C$5,1,0)*(BU$5*$C$9)</f>
        <v>0</v>
      </c>
      <c r="BV6" s="86">
        <f t="shared" si="6"/>
        <v>0</v>
      </c>
      <c r="BW6" s="86">
        <f t="shared" si="6"/>
        <v>0</v>
      </c>
      <c r="BX6" s="86">
        <f t="shared" si="6"/>
        <v>0</v>
      </c>
      <c r="BY6" s="86">
        <f t="shared" si="6"/>
        <v>0</v>
      </c>
      <c r="BZ6" s="86">
        <f t="shared" si="6"/>
        <v>0</v>
      </c>
      <c r="CA6" s="86">
        <f t="shared" si="6"/>
        <v>0</v>
      </c>
      <c r="CB6" s="86">
        <f t="shared" si="6"/>
        <v>0</v>
      </c>
      <c r="CC6" s="86">
        <f t="shared" si="6"/>
        <v>0</v>
      </c>
      <c r="CD6" s="86">
        <f t="shared" si="6"/>
        <v>0</v>
      </c>
      <c r="CE6" s="86">
        <f t="shared" si="6"/>
        <v>0</v>
      </c>
      <c r="CF6" s="86">
        <f t="shared" si="6"/>
        <v>0</v>
      </c>
      <c r="CG6" s="86">
        <f t="shared" si="6"/>
        <v>0</v>
      </c>
      <c r="CH6" s="86">
        <f t="shared" si="6"/>
        <v>0</v>
      </c>
      <c r="CI6" s="86">
        <f t="shared" si="6"/>
        <v>0</v>
      </c>
      <c r="CJ6" s="86">
        <f t="shared" si="6"/>
        <v>0</v>
      </c>
      <c r="CK6" s="86">
        <f t="shared" si="6"/>
        <v>0</v>
      </c>
      <c r="CL6" s="86">
        <f t="shared" si="6"/>
        <v>0</v>
      </c>
      <c r="CM6" s="86">
        <f t="shared" si="6"/>
        <v>0</v>
      </c>
      <c r="CN6" s="86">
        <f t="shared" si="6"/>
        <v>0</v>
      </c>
      <c r="CO6" s="86">
        <f t="shared" si="6"/>
        <v>0</v>
      </c>
      <c r="CP6" s="86">
        <f t="shared" si="6"/>
        <v>0</v>
      </c>
      <c r="CQ6" s="86">
        <f t="shared" si="6"/>
        <v>0</v>
      </c>
      <c r="CR6" s="86">
        <f t="shared" si="6"/>
        <v>0</v>
      </c>
      <c r="CS6" s="86">
        <f t="shared" si="6"/>
        <v>0</v>
      </c>
      <c r="CT6" s="86">
        <f t="shared" si="6"/>
        <v>0</v>
      </c>
      <c r="CU6" s="86">
        <f t="shared" si="6"/>
        <v>0</v>
      </c>
      <c r="CV6" s="86">
        <f t="shared" si="6"/>
        <v>0</v>
      </c>
      <c r="CW6" s="86">
        <f t="shared" si="6"/>
        <v>0</v>
      </c>
      <c r="CX6" s="86">
        <f t="shared" si="6"/>
        <v>0</v>
      </c>
      <c r="CY6" s="86">
        <f t="shared" si="6"/>
        <v>0</v>
      </c>
      <c r="CZ6" s="86">
        <f t="shared" si="6"/>
        <v>0</v>
      </c>
      <c r="DA6" s="86">
        <f t="shared" si="6"/>
        <v>0</v>
      </c>
      <c r="DB6" s="86">
        <f t="shared" si="6"/>
        <v>0</v>
      </c>
      <c r="DC6" s="86">
        <f t="shared" si="6"/>
        <v>0</v>
      </c>
      <c r="DD6" s="86">
        <f t="shared" si="6"/>
        <v>0</v>
      </c>
      <c r="DE6" s="86">
        <f t="shared" si="3"/>
        <v>-12979654.41950549</v>
      </c>
    </row>
    <row r="7" spans="2:109">
      <c r="B7" t="s">
        <v>263</v>
      </c>
      <c r="C7" s="92">
        <f>Carátula!$K$13</f>
        <v>35877.78</v>
      </c>
      <c r="E7" s="91"/>
      <c r="G7" s="83" t="s">
        <v>174</v>
      </c>
      <c r="H7" s="93">
        <f t="shared" ref="H7:I7" si="7">SUM(H5:H6)</f>
        <v>0</v>
      </c>
      <c r="I7" s="93">
        <f t="shared" si="7"/>
        <v>505762.15691916668</v>
      </c>
      <c r="J7" s="93">
        <f t="shared" ref="J7:BU7" si="8">SUM(J5:J6)</f>
        <v>507026.56231146445</v>
      </c>
      <c r="K7" s="93">
        <f t="shared" si="8"/>
        <v>508294.12871724315</v>
      </c>
      <c r="L7" s="93">
        <f t="shared" si="8"/>
        <v>509564.86403903621</v>
      </c>
      <c r="M7" s="93">
        <f t="shared" si="8"/>
        <v>510838.77619913378</v>
      </c>
      <c r="N7" s="93">
        <f t="shared" si="8"/>
        <v>512115.87313963164</v>
      </c>
      <c r="O7" s="93">
        <f t="shared" si="8"/>
        <v>513396.16282248066</v>
      </c>
      <c r="P7" s="93">
        <f t="shared" si="8"/>
        <v>514679.65322953684</v>
      </c>
      <c r="Q7" s="93">
        <f t="shared" si="8"/>
        <v>515966.35236261063</v>
      </c>
      <c r="R7" s="93">
        <f t="shared" si="8"/>
        <v>517256.26824351726</v>
      </c>
      <c r="S7" s="93">
        <f t="shared" si="8"/>
        <v>518549.40891412599</v>
      </c>
      <c r="T7" s="93">
        <f t="shared" si="8"/>
        <v>519845.78243641113</v>
      </c>
      <c r="U7" s="93">
        <f t="shared" si="8"/>
        <v>521145.39689250226</v>
      </c>
      <c r="V7" s="93">
        <f t="shared" si="8"/>
        <v>522448.26038473356</v>
      </c>
      <c r="W7" s="93">
        <f t="shared" si="8"/>
        <v>523754.38103569526</v>
      </c>
      <c r="X7" s="93">
        <f t="shared" si="8"/>
        <v>525063.76698828454</v>
      </c>
      <c r="Y7" s="93">
        <f t="shared" si="8"/>
        <v>526376.42640575522</v>
      </c>
      <c r="Z7" s="93">
        <f t="shared" si="8"/>
        <v>527692.36747176945</v>
      </c>
      <c r="AA7" s="93">
        <f t="shared" si="8"/>
        <v>529011.59839044907</v>
      </c>
      <c r="AB7" s="93">
        <f t="shared" si="8"/>
        <v>530334.12738642516</v>
      </c>
      <c r="AC7" s="93">
        <f t="shared" si="8"/>
        <v>531659.96270489111</v>
      </c>
      <c r="AD7" s="93">
        <f t="shared" si="8"/>
        <v>532989.11261165328</v>
      </c>
      <c r="AE7" s="93">
        <f t="shared" si="8"/>
        <v>534321.58539318223</v>
      </c>
      <c r="AF7" s="93">
        <f t="shared" si="8"/>
        <v>535657.38935666531</v>
      </c>
      <c r="AG7" s="93">
        <f t="shared" si="8"/>
        <v>536996.53283005697</v>
      </c>
      <c r="AH7" s="93">
        <f t="shared" si="8"/>
        <v>538339.02416213218</v>
      </c>
      <c r="AI7" s="93">
        <f t="shared" si="8"/>
        <v>539684.87172253733</v>
      </c>
      <c r="AJ7" s="93">
        <f t="shared" si="8"/>
        <v>541034.08390184375</v>
      </c>
      <c r="AK7" s="93">
        <f t="shared" si="8"/>
        <v>542386.66911159828</v>
      </c>
      <c r="AL7" s="93">
        <f t="shared" si="8"/>
        <v>543742.63578437746</v>
      </c>
      <c r="AM7" s="93">
        <f t="shared" si="8"/>
        <v>545101.99237383821</v>
      </c>
      <c r="AN7" s="93">
        <f t="shared" si="8"/>
        <v>546464.74735477276</v>
      </c>
      <c r="AO7" s="93">
        <f t="shared" si="8"/>
        <v>547830.90922315978</v>
      </c>
      <c r="AP7" s="93">
        <f t="shared" si="8"/>
        <v>549200.48649621755</v>
      </c>
      <c r="AQ7" s="93">
        <f t="shared" si="8"/>
        <v>550573.48771245801</v>
      </c>
      <c r="AR7" s="93">
        <f t="shared" si="8"/>
        <v>551949.92143173912</v>
      </c>
      <c r="AS7" s="93">
        <f t="shared" si="8"/>
        <v>553329.79623531853</v>
      </c>
      <c r="AT7" s="93">
        <f t="shared" si="8"/>
        <v>554713.1207259068</v>
      </c>
      <c r="AU7" s="93">
        <f t="shared" si="8"/>
        <v>556099.90352772153</v>
      </c>
      <c r="AV7" s="93">
        <f t="shared" si="8"/>
        <v>557490.15328654088</v>
      </c>
      <c r="AW7" s="93">
        <f t="shared" si="8"/>
        <v>558883.87866975728</v>
      </c>
      <c r="AX7" s="93">
        <f t="shared" si="8"/>
        <v>560281.08836643153</v>
      </c>
      <c r="AY7" s="93">
        <f t="shared" si="8"/>
        <v>561681.79108734755</v>
      </c>
      <c r="AZ7" s="93">
        <f t="shared" si="8"/>
        <v>563085.99556506588</v>
      </c>
      <c r="BA7" s="93">
        <f t="shared" si="8"/>
        <v>564493.71055397857</v>
      </c>
      <c r="BB7" s="93">
        <f t="shared" si="8"/>
        <v>565904.94483036362</v>
      </c>
      <c r="BC7" s="93">
        <f t="shared" si="8"/>
        <v>567319.70719243912</v>
      </c>
      <c r="BD7" s="93">
        <f t="shared" si="8"/>
        <v>568738.00646042044</v>
      </c>
      <c r="BE7" s="93">
        <f t="shared" si="8"/>
        <v>0</v>
      </c>
      <c r="BF7" s="93">
        <f t="shared" si="8"/>
        <v>0</v>
      </c>
      <c r="BG7" s="93">
        <f t="shared" si="8"/>
        <v>0</v>
      </c>
      <c r="BH7" s="93">
        <f t="shared" si="8"/>
        <v>0</v>
      </c>
      <c r="BI7" s="93">
        <f t="shared" si="8"/>
        <v>0</v>
      </c>
      <c r="BJ7" s="93">
        <f t="shared" si="8"/>
        <v>0</v>
      </c>
      <c r="BK7" s="93">
        <f t="shared" si="8"/>
        <v>0</v>
      </c>
      <c r="BL7" s="93">
        <f t="shared" si="8"/>
        <v>0</v>
      </c>
      <c r="BM7" s="93">
        <f t="shared" si="8"/>
        <v>0</v>
      </c>
      <c r="BN7" s="93">
        <f t="shared" si="8"/>
        <v>0</v>
      </c>
      <c r="BO7" s="93">
        <f t="shared" si="8"/>
        <v>0</v>
      </c>
      <c r="BP7" s="93">
        <f t="shared" si="8"/>
        <v>0</v>
      </c>
      <c r="BQ7" s="93">
        <f t="shared" si="8"/>
        <v>0</v>
      </c>
      <c r="BR7" s="93">
        <f t="shared" si="8"/>
        <v>0</v>
      </c>
      <c r="BS7" s="93">
        <f t="shared" si="8"/>
        <v>0</v>
      </c>
      <c r="BT7" s="93">
        <f t="shared" si="8"/>
        <v>0</v>
      </c>
      <c r="BU7" s="93">
        <f t="shared" si="8"/>
        <v>0</v>
      </c>
      <c r="BV7" s="93">
        <f t="shared" ref="BV7:DD7" si="9">SUM(BV5:BV6)</f>
        <v>0</v>
      </c>
      <c r="BW7" s="93">
        <f t="shared" si="9"/>
        <v>0</v>
      </c>
      <c r="BX7" s="93">
        <f t="shared" si="9"/>
        <v>0</v>
      </c>
      <c r="BY7" s="93">
        <f t="shared" si="9"/>
        <v>0</v>
      </c>
      <c r="BZ7" s="93">
        <f t="shared" si="9"/>
        <v>0</v>
      </c>
      <c r="CA7" s="93">
        <f t="shared" si="9"/>
        <v>0</v>
      </c>
      <c r="CB7" s="93">
        <f t="shared" si="9"/>
        <v>0</v>
      </c>
      <c r="CC7" s="93">
        <f t="shared" si="9"/>
        <v>0</v>
      </c>
      <c r="CD7" s="93">
        <f t="shared" si="9"/>
        <v>0</v>
      </c>
      <c r="CE7" s="93">
        <f t="shared" si="9"/>
        <v>0</v>
      </c>
      <c r="CF7" s="93">
        <f t="shared" si="9"/>
        <v>0</v>
      </c>
      <c r="CG7" s="93">
        <f t="shared" si="9"/>
        <v>0</v>
      </c>
      <c r="CH7" s="93">
        <f t="shared" si="9"/>
        <v>0</v>
      </c>
      <c r="CI7" s="93">
        <f t="shared" si="9"/>
        <v>0</v>
      </c>
      <c r="CJ7" s="93">
        <f t="shared" si="9"/>
        <v>0</v>
      </c>
      <c r="CK7" s="93">
        <f t="shared" si="9"/>
        <v>0</v>
      </c>
      <c r="CL7" s="93">
        <f t="shared" si="9"/>
        <v>0</v>
      </c>
      <c r="CM7" s="93">
        <f t="shared" si="9"/>
        <v>0</v>
      </c>
      <c r="CN7" s="93">
        <f t="shared" si="9"/>
        <v>0</v>
      </c>
      <c r="CO7" s="93">
        <f t="shared" si="9"/>
        <v>0</v>
      </c>
      <c r="CP7" s="93">
        <f t="shared" si="9"/>
        <v>0</v>
      </c>
      <c r="CQ7" s="93">
        <f t="shared" si="9"/>
        <v>0</v>
      </c>
      <c r="CR7" s="93">
        <f t="shared" si="9"/>
        <v>0</v>
      </c>
      <c r="CS7" s="93">
        <f t="shared" si="9"/>
        <v>0</v>
      </c>
      <c r="CT7" s="93">
        <f t="shared" si="9"/>
        <v>0</v>
      </c>
      <c r="CU7" s="93">
        <f t="shared" si="9"/>
        <v>0</v>
      </c>
      <c r="CV7" s="93">
        <f t="shared" si="9"/>
        <v>0</v>
      </c>
      <c r="CW7" s="93">
        <f t="shared" si="9"/>
        <v>0</v>
      </c>
      <c r="CX7" s="93">
        <f t="shared" si="9"/>
        <v>0</v>
      </c>
      <c r="CY7" s="93">
        <f t="shared" si="9"/>
        <v>0</v>
      </c>
      <c r="CZ7" s="93">
        <f t="shared" si="9"/>
        <v>0</v>
      </c>
      <c r="DA7" s="93">
        <f t="shared" si="9"/>
        <v>0</v>
      </c>
      <c r="DB7" s="93">
        <f t="shared" si="9"/>
        <v>0</v>
      </c>
      <c r="DC7" s="93">
        <f t="shared" si="9"/>
        <v>0</v>
      </c>
      <c r="DD7" s="93">
        <f t="shared" si="9"/>
        <v>0</v>
      </c>
      <c r="DE7" s="93">
        <f t="shared" si="3"/>
        <v>25759077.822962392</v>
      </c>
    </row>
    <row r="8" spans="2:109">
      <c r="B8" t="s">
        <v>260</v>
      </c>
      <c r="C8" s="147">
        <f>Resumen!$E$28</f>
        <v>1</v>
      </c>
      <c r="E8" s="91"/>
      <c r="G8" t="s">
        <v>246</v>
      </c>
      <c r="H8" s="86"/>
      <c r="I8" s="86">
        <f>(-IF(I$2&lt;=$C$5,1,0)*(SUM($C$10:$C$12)*$C$25))*(1+$C$37/12)^(I$2-1)</f>
        <v>-36050</v>
      </c>
      <c r="J8" s="86">
        <f t="shared" ref="J8:AN8" si="10">(-IF(J$2&lt;=$C$5,1,0)*(SUM($C$10:$C$12)*$C$25))*(1+$C$37/12)^(J$2-1)</f>
        <v>-36140.125</v>
      </c>
      <c r="K8" s="86">
        <f t="shared" si="10"/>
        <v>-36230.475312499999</v>
      </c>
      <c r="L8" s="86">
        <f t="shared" si="10"/>
        <v>-36321.051500781243</v>
      </c>
      <c r="M8" s="86">
        <f t="shared" si="10"/>
        <v>-36411.854129533196</v>
      </c>
      <c r="N8" s="86">
        <f t="shared" si="10"/>
        <v>-36502.883764857033</v>
      </c>
      <c r="O8" s="86">
        <f t="shared" si="10"/>
        <v>-36594.140974269161</v>
      </c>
      <c r="P8" s="86">
        <f t="shared" si="10"/>
        <v>-36685.626326704834</v>
      </c>
      <c r="Q8" s="86">
        <f t="shared" si="10"/>
        <v>-36777.340392521597</v>
      </c>
      <c r="R8" s="86">
        <f t="shared" si="10"/>
        <v>-36869.283743502907</v>
      </c>
      <c r="S8" s="86">
        <f t="shared" si="10"/>
        <v>-36961.456952861656</v>
      </c>
      <c r="T8" s="86">
        <f t="shared" si="10"/>
        <v>-37053.860595243801</v>
      </c>
      <c r="U8" s="86">
        <f t="shared" si="10"/>
        <v>-37146.495246731916</v>
      </c>
      <c r="V8" s="86">
        <f t="shared" si="10"/>
        <v>-37239.361484848749</v>
      </c>
      <c r="W8" s="86">
        <f t="shared" si="10"/>
        <v>-37332.459888560865</v>
      </c>
      <c r="X8" s="86">
        <f t="shared" si="10"/>
        <v>-37425.791038282259</v>
      </c>
      <c r="Y8" s="86">
        <f t="shared" si="10"/>
        <v>-37519.355515877971</v>
      </c>
      <c r="Z8" s="86">
        <f t="shared" si="10"/>
        <v>-37613.153904667663</v>
      </c>
      <c r="AA8" s="86">
        <f t="shared" si="10"/>
        <v>-37707.186789429332</v>
      </c>
      <c r="AB8" s="86">
        <f t="shared" si="10"/>
        <v>-37801.454756402898</v>
      </c>
      <c r="AC8" s="86">
        <f t="shared" si="10"/>
        <v>-37895.958393293913</v>
      </c>
      <c r="AD8" s="86">
        <f t="shared" si="10"/>
        <v>-37990.698289277141</v>
      </c>
      <c r="AE8" s="86">
        <f t="shared" si="10"/>
        <v>-38085.675035000328</v>
      </c>
      <c r="AF8" s="86">
        <f t="shared" si="10"/>
        <v>-38180.88922258783</v>
      </c>
      <c r="AG8" s="86">
        <f t="shared" si="10"/>
        <v>-38276.341445644299</v>
      </c>
      <c r="AH8" s="86">
        <f t="shared" si="10"/>
        <v>-38372.032299258412</v>
      </c>
      <c r="AI8" s="86">
        <f t="shared" si="10"/>
        <v>-38467.962380006553</v>
      </c>
      <c r="AJ8" s="86">
        <f t="shared" si="10"/>
        <v>-38564.132285956563</v>
      </c>
      <c r="AK8" s="86">
        <f t="shared" si="10"/>
        <v>-38660.542616671453</v>
      </c>
      <c r="AL8" s="86">
        <f t="shared" si="10"/>
        <v>-38757.193973213143</v>
      </c>
      <c r="AM8" s="86">
        <f t="shared" si="10"/>
        <v>-38854.086958146159</v>
      </c>
      <c r="AN8" s="86">
        <f t="shared" si="10"/>
        <v>-38951.222175541523</v>
      </c>
      <c r="AO8" s="86">
        <f t="shared" ref="AO8:BT8" si="11">(-IF(AO$2&lt;=$C$5,1,0)*(SUM($C$10:$C$12)*$C$25))*(1+$C$37/12)^(AO$2-1)</f>
        <v>-39048.600230980381</v>
      </c>
      <c r="AP8" s="86">
        <f t="shared" si="11"/>
        <v>-39146.221731557838</v>
      </c>
      <c r="AQ8" s="86">
        <f t="shared" si="11"/>
        <v>-39244.087285886722</v>
      </c>
      <c r="AR8" s="86">
        <f t="shared" si="11"/>
        <v>-39342.197504101438</v>
      </c>
      <c r="AS8" s="86">
        <f t="shared" si="11"/>
        <v>-39440.552997861698</v>
      </c>
      <c r="AT8" s="86">
        <f t="shared" si="11"/>
        <v>-39539.154380356347</v>
      </c>
      <c r="AU8" s="86">
        <f t="shared" si="11"/>
        <v>-39638.00226630723</v>
      </c>
      <c r="AV8" s="86">
        <f t="shared" si="11"/>
        <v>-39737.097271972998</v>
      </c>
      <c r="AW8" s="86">
        <f t="shared" si="11"/>
        <v>-39836.440015152933</v>
      </c>
      <c r="AX8" s="86">
        <f t="shared" si="11"/>
        <v>-39936.03111519081</v>
      </c>
      <c r="AY8" s="86">
        <f t="shared" si="11"/>
        <v>-40035.871192978782</v>
      </c>
      <c r="AZ8" s="86">
        <f t="shared" si="11"/>
        <v>-40135.960870961222</v>
      </c>
      <c r="BA8" s="86">
        <f t="shared" si="11"/>
        <v>-40236.300773138631</v>
      </c>
      <c r="BB8" s="86">
        <f t="shared" si="11"/>
        <v>-40336.891525071478</v>
      </c>
      <c r="BC8" s="86">
        <f t="shared" si="11"/>
        <v>-40437.733753884146</v>
      </c>
      <c r="BD8" s="86">
        <f t="shared" si="11"/>
        <v>-40538.828088268856</v>
      </c>
      <c r="BE8" s="86">
        <f t="shared" si="11"/>
        <v>0</v>
      </c>
      <c r="BF8" s="86">
        <f t="shared" si="11"/>
        <v>0</v>
      </c>
      <c r="BG8" s="86">
        <f t="shared" si="11"/>
        <v>0</v>
      </c>
      <c r="BH8" s="86">
        <f t="shared" si="11"/>
        <v>0</v>
      </c>
      <c r="BI8" s="86">
        <f t="shared" si="11"/>
        <v>0</v>
      </c>
      <c r="BJ8" s="86">
        <f t="shared" si="11"/>
        <v>0</v>
      </c>
      <c r="BK8" s="86">
        <f t="shared" si="11"/>
        <v>0</v>
      </c>
      <c r="BL8" s="86">
        <f t="shared" si="11"/>
        <v>0</v>
      </c>
      <c r="BM8" s="86">
        <f t="shared" si="11"/>
        <v>0</v>
      </c>
      <c r="BN8" s="86">
        <f t="shared" si="11"/>
        <v>0</v>
      </c>
      <c r="BO8" s="86">
        <f t="shared" si="11"/>
        <v>0</v>
      </c>
      <c r="BP8" s="86">
        <f t="shared" si="11"/>
        <v>0</v>
      </c>
      <c r="BQ8" s="86">
        <f t="shared" si="11"/>
        <v>0</v>
      </c>
      <c r="BR8" s="86">
        <f t="shared" si="11"/>
        <v>0</v>
      </c>
      <c r="BS8" s="86">
        <f t="shared" si="11"/>
        <v>0</v>
      </c>
      <c r="BT8" s="86">
        <f t="shared" si="11"/>
        <v>0</v>
      </c>
      <c r="BU8" s="86">
        <f t="shared" ref="BU8:DD8" si="12">(-IF(BU$2&lt;=$C$5,1,0)*(SUM($C$10:$C$12)*$C$25))*(1+$C$37/12)^(BU$2-1)</f>
        <v>0</v>
      </c>
      <c r="BV8" s="86">
        <f t="shared" si="12"/>
        <v>0</v>
      </c>
      <c r="BW8" s="86">
        <f t="shared" si="12"/>
        <v>0</v>
      </c>
      <c r="BX8" s="86">
        <f t="shared" si="12"/>
        <v>0</v>
      </c>
      <c r="BY8" s="86">
        <f t="shared" si="12"/>
        <v>0</v>
      </c>
      <c r="BZ8" s="86">
        <f t="shared" si="12"/>
        <v>0</v>
      </c>
      <c r="CA8" s="86">
        <f t="shared" si="12"/>
        <v>0</v>
      </c>
      <c r="CB8" s="86">
        <f t="shared" si="12"/>
        <v>0</v>
      </c>
      <c r="CC8" s="86">
        <f t="shared" si="12"/>
        <v>0</v>
      </c>
      <c r="CD8" s="86">
        <f t="shared" si="12"/>
        <v>0</v>
      </c>
      <c r="CE8" s="86">
        <f t="shared" si="12"/>
        <v>0</v>
      </c>
      <c r="CF8" s="86">
        <f t="shared" si="12"/>
        <v>0</v>
      </c>
      <c r="CG8" s="86">
        <f t="shared" si="12"/>
        <v>0</v>
      </c>
      <c r="CH8" s="86">
        <f t="shared" si="12"/>
        <v>0</v>
      </c>
      <c r="CI8" s="86">
        <f t="shared" si="12"/>
        <v>0</v>
      </c>
      <c r="CJ8" s="86">
        <f t="shared" si="12"/>
        <v>0</v>
      </c>
      <c r="CK8" s="86">
        <f t="shared" si="12"/>
        <v>0</v>
      </c>
      <c r="CL8" s="86">
        <f t="shared" si="12"/>
        <v>0</v>
      </c>
      <c r="CM8" s="86">
        <f t="shared" si="12"/>
        <v>0</v>
      </c>
      <c r="CN8" s="86">
        <f t="shared" si="12"/>
        <v>0</v>
      </c>
      <c r="CO8" s="86">
        <f t="shared" si="12"/>
        <v>0</v>
      </c>
      <c r="CP8" s="86">
        <f t="shared" si="12"/>
        <v>0</v>
      </c>
      <c r="CQ8" s="86">
        <f t="shared" si="12"/>
        <v>0</v>
      </c>
      <c r="CR8" s="86">
        <f t="shared" si="12"/>
        <v>0</v>
      </c>
      <c r="CS8" s="86">
        <f t="shared" si="12"/>
        <v>0</v>
      </c>
      <c r="CT8" s="86">
        <f t="shared" si="12"/>
        <v>0</v>
      </c>
      <c r="CU8" s="86">
        <f t="shared" si="12"/>
        <v>0</v>
      </c>
      <c r="CV8" s="86">
        <f t="shared" si="12"/>
        <v>0</v>
      </c>
      <c r="CW8" s="86">
        <f t="shared" si="12"/>
        <v>0</v>
      </c>
      <c r="CX8" s="86">
        <f t="shared" si="12"/>
        <v>0</v>
      </c>
      <c r="CY8" s="86">
        <f t="shared" si="12"/>
        <v>0</v>
      </c>
      <c r="CZ8" s="86">
        <f t="shared" si="12"/>
        <v>0</v>
      </c>
      <c r="DA8" s="86">
        <f t="shared" si="12"/>
        <v>0</v>
      </c>
      <c r="DB8" s="86">
        <f t="shared" si="12"/>
        <v>0</v>
      </c>
      <c r="DC8" s="86">
        <f t="shared" si="12"/>
        <v>0</v>
      </c>
      <c r="DD8" s="86">
        <f t="shared" si="12"/>
        <v>0</v>
      </c>
      <c r="DE8" s="86">
        <f t="shared" si="3"/>
        <v>-1836070.0633958459</v>
      </c>
    </row>
    <row r="9" spans="2:109">
      <c r="B9" s="94" t="s">
        <v>274</v>
      </c>
      <c r="C9" s="148">
        <f>Carátula!$G$93</f>
        <v>0.01</v>
      </c>
      <c r="E9" s="91"/>
      <c r="G9" s="83" t="s">
        <v>176</v>
      </c>
      <c r="H9" s="93">
        <f>SUM(H7:H8)</f>
        <v>0</v>
      </c>
      <c r="I9" s="93">
        <f>SUM(I7:I8)</f>
        <v>469712.15691916668</v>
      </c>
      <c r="J9" s="93">
        <f t="shared" ref="J9:BU9" si="13">SUM(J7:J8)</f>
        <v>470886.43731146445</v>
      </c>
      <c r="K9" s="93">
        <f t="shared" si="13"/>
        <v>472063.65340474318</v>
      </c>
      <c r="L9" s="93">
        <f t="shared" si="13"/>
        <v>473243.81253825495</v>
      </c>
      <c r="M9" s="93">
        <f t="shared" si="13"/>
        <v>474426.92206960055</v>
      </c>
      <c r="N9" s="93">
        <f t="shared" si="13"/>
        <v>475612.98937477462</v>
      </c>
      <c r="O9" s="93">
        <f t="shared" si="13"/>
        <v>476802.02184821153</v>
      </c>
      <c r="P9" s="93">
        <f t="shared" si="13"/>
        <v>477994.02690283197</v>
      </c>
      <c r="Q9" s="93">
        <f t="shared" si="13"/>
        <v>479189.01197008905</v>
      </c>
      <c r="R9" s="93">
        <f t="shared" si="13"/>
        <v>480386.98450001434</v>
      </c>
      <c r="S9" s="93">
        <f t="shared" si="13"/>
        <v>481587.95196126436</v>
      </c>
      <c r="T9" s="93">
        <f t="shared" si="13"/>
        <v>482791.92184116732</v>
      </c>
      <c r="U9" s="93">
        <f t="shared" si="13"/>
        <v>483998.90164577035</v>
      </c>
      <c r="V9" s="93">
        <f t="shared" si="13"/>
        <v>485208.89889988478</v>
      </c>
      <c r="W9" s="93">
        <f t="shared" si="13"/>
        <v>486421.92114713439</v>
      </c>
      <c r="X9" s="93">
        <f t="shared" si="13"/>
        <v>487637.97595000226</v>
      </c>
      <c r="Y9" s="93">
        <f t="shared" si="13"/>
        <v>488857.07088987727</v>
      </c>
      <c r="Z9" s="93">
        <f t="shared" si="13"/>
        <v>490079.2135671018</v>
      </c>
      <c r="AA9" s="93">
        <f t="shared" si="13"/>
        <v>491304.41160101973</v>
      </c>
      <c r="AB9" s="93">
        <f t="shared" si="13"/>
        <v>492532.67263002228</v>
      </c>
      <c r="AC9" s="93">
        <f t="shared" si="13"/>
        <v>493764.00431159721</v>
      </c>
      <c r="AD9" s="93">
        <f t="shared" si="13"/>
        <v>494998.41432237613</v>
      </c>
      <c r="AE9" s="93">
        <f t="shared" si="13"/>
        <v>496235.91035818192</v>
      </c>
      <c r="AF9" s="93">
        <f t="shared" si="13"/>
        <v>497476.50013407751</v>
      </c>
      <c r="AG9" s="93">
        <f t="shared" si="13"/>
        <v>498720.1913844127</v>
      </c>
      <c r="AH9" s="93">
        <f t="shared" si="13"/>
        <v>499966.99186287378</v>
      </c>
      <c r="AI9" s="93">
        <f t="shared" si="13"/>
        <v>501216.90934253077</v>
      </c>
      <c r="AJ9" s="93">
        <f t="shared" si="13"/>
        <v>502469.95161588717</v>
      </c>
      <c r="AK9" s="93">
        <f t="shared" si="13"/>
        <v>503726.12649492681</v>
      </c>
      <c r="AL9" s="93">
        <f t="shared" si="13"/>
        <v>504985.44181116432</v>
      </c>
      <c r="AM9" s="93">
        <f t="shared" si="13"/>
        <v>506247.90541569202</v>
      </c>
      <c r="AN9" s="93">
        <f t="shared" si="13"/>
        <v>507513.52517923125</v>
      </c>
      <c r="AO9" s="93">
        <f t="shared" si="13"/>
        <v>508782.3089921794</v>
      </c>
      <c r="AP9" s="93">
        <f t="shared" si="13"/>
        <v>510054.26476465969</v>
      </c>
      <c r="AQ9" s="93">
        <f t="shared" si="13"/>
        <v>511329.40042657126</v>
      </c>
      <c r="AR9" s="93">
        <f t="shared" si="13"/>
        <v>512607.72392763768</v>
      </c>
      <c r="AS9" s="93">
        <f t="shared" si="13"/>
        <v>513889.24323745683</v>
      </c>
      <c r="AT9" s="93">
        <f t="shared" si="13"/>
        <v>515173.96634555043</v>
      </c>
      <c r="AU9" s="93">
        <f t="shared" si="13"/>
        <v>516461.90126141428</v>
      </c>
      <c r="AV9" s="93">
        <f t="shared" si="13"/>
        <v>517753.0560145679</v>
      </c>
      <c r="AW9" s="93">
        <f t="shared" si="13"/>
        <v>519047.43865460437</v>
      </c>
      <c r="AX9" s="93">
        <f t="shared" si="13"/>
        <v>520345.05725124071</v>
      </c>
      <c r="AY9" s="93">
        <f t="shared" si="13"/>
        <v>521645.91989436874</v>
      </c>
      <c r="AZ9" s="93">
        <f t="shared" si="13"/>
        <v>522950.03469410469</v>
      </c>
      <c r="BA9" s="93">
        <f t="shared" si="13"/>
        <v>524257.40978083992</v>
      </c>
      <c r="BB9" s="93">
        <f t="shared" si="13"/>
        <v>525568.05330529215</v>
      </c>
      <c r="BC9" s="93">
        <f t="shared" si="13"/>
        <v>526881.97343855503</v>
      </c>
      <c r="BD9" s="93">
        <f t="shared" si="13"/>
        <v>528199.17837215157</v>
      </c>
      <c r="BE9" s="93">
        <f t="shared" si="13"/>
        <v>0</v>
      </c>
      <c r="BF9" s="93">
        <f t="shared" si="13"/>
        <v>0</v>
      </c>
      <c r="BG9" s="93">
        <f t="shared" si="13"/>
        <v>0</v>
      </c>
      <c r="BH9" s="93">
        <f t="shared" si="13"/>
        <v>0</v>
      </c>
      <c r="BI9" s="93">
        <f t="shared" si="13"/>
        <v>0</v>
      </c>
      <c r="BJ9" s="93">
        <f t="shared" si="13"/>
        <v>0</v>
      </c>
      <c r="BK9" s="93">
        <f t="shared" si="13"/>
        <v>0</v>
      </c>
      <c r="BL9" s="93">
        <f t="shared" si="13"/>
        <v>0</v>
      </c>
      <c r="BM9" s="93">
        <f t="shared" si="13"/>
        <v>0</v>
      </c>
      <c r="BN9" s="93">
        <f t="shared" si="13"/>
        <v>0</v>
      </c>
      <c r="BO9" s="93">
        <f t="shared" si="13"/>
        <v>0</v>
      </c>
      <c r="BP9" s="93">
        <f t="shared" si="13"/>
        <v>0</v>
      </c>
      <c r="BQ9" s="93">
        <f t="shared" si="13"/>
        <v>0</v>
      </c>
      <c r="BR9" s="93">
        <f t="shared" si="13"/>
        <v>0</v>
      </c>
      <c r="BS9" s="93">
        <f t="shared" si="13"/>
        <v>0</v>
      </c>
      <c r="BT9" s="93">
        <f t="shared" si="13"/>
        <v>0</v>
      </c>
      <c r="BU9" s="93">
        <f t="shared" si="13"/>
        <v>0</v>
      </c>
      <c r="BV9" s="93">
        <f t="shared" ref="BV9:DD9" si="14">SUM(BV7:BV8)</f>
        <v>0</v>
      </c>
      <c r="BW9" s="93">
        <f t="shared" si="14"/>
        <v>0</v>
      </c>
      <c r="BX9" s="93">
        <f t="shared" si="14"/>
        <v>0</v>
      </c>
      <c r="BY9" s="93">
        <f t="shared" si="14"/>
        <v>0</v>
      </c>
      <c r="BZ9" s="93">
        <f t="shared" si="14"/>
        <v>0</v>
      </c>
      <c r="CA9" s="93">
        <f t="shared" si="14"/>
        <v>0</v>
      </c>
      <c r="CB9" s="93">
        <f t="shared" si="14"/>
        <v>0</v>
      </c>
      <c r="CC9" s="93">
        <f t="shared" si="14"/>
        <v>0</v>
      </c>
      <c r="CD9" s="93">
        <f t="shared" si="14"/>
        <v>0</v>
      </c>
      <c r="CE9" s="93">
        <f t="shared" si="14"/>
        <v>0</v>
      </c>
      <c r="CF9" s="93">
        <f t="shared" si="14"/>
        <v>0</v>
      </c>
      <c r="CG9" s="93">
        <f t="shared" si="14"/>
        <v>0</v>
      </c>
      <c r="CH9" s="93">
        <f t="shared" si="14"/>
        <v>0</v>
      </c>
      <c r="CI9" s="93">
        <f t="shared" si="14"/>
        <v>0</v>
      </c>
      <c r="CJ9" s="93">
        <f t="shared" si="14"/>
        <v>0</v>
      </c>
      <c r="CK9" s="93">
        <f t="shared" si="14"/>
        <v>0</v>
      </c>
      <c r="CL9" s="93">
        <f t="shared" si="14"/>
        <v>0</v>
      </c>
      <c r="CM9" s="93">
        <f t="shared" si="14"/>
        <v>0</v>
      </c>
      <c r="CN9" s="93">
        <f t="shared" si="14"/>
        <v>0</v>
      </c>
      <c r="CO9" s="93">
        <f t="shared" si="14"/>
        <v>0</v>
      </c>
      <c r="CP9" s="93">
        <f t="shared" si="14"/>
        <v>0</v>
      </c>
      <c r="CQ9" s="93">
        <f t="shared" si="14"/>
        <v>0</v>
      </c>
      <c r="CR9" s="93">
        <f t="shared" si="14"/>
        <v>0</v>
      </c>
      <c r="CS9" s="93">
        <f t="shared" si="14"/>
        <v>0</v>
      </c>
      <c r="CT9" s="93">
        <f t="shared" si="14"/>
        <v>0</v>
      </c>
      <c r="CU9" s="93">
        <f t="shared" si="14"/>
        <v>0</v>
      </c>
      <c r="CV9" s="93">
        <f t="shared" si="14"/>
        <v>0</v>
      </c>
      <c r="CW9" s="93">
        <f t="shared" si="14"/>
        <v>0</v>
      </c>
      <c r="CX9" s="93">
        <f t="shared" si="14"/>
        <v>0</v>
      </c>
      <c r="CY9" s="93">
        <f t="shared" si="14"/>
        <v>0</v>
      </c>
      <c r="CZ9" s="93">
        <f t="shared" si="14"/>
        <v>0</v>
      </c>
      <c r="DA9" s="93">
        <f t="shared" si="14"/>
        <v>0</v>
      </c>
      <c r="DB9" s="93">
        <f t="shared" si="14"/>
        <v>0</v>
      </c>
      <c r="DC9" s="93">
        <f t="shared" si="14"/>
        <v>0</v>
      </c>
      <c r="DD9" s="93">
        <f t="shared" si="14"/>
        <v>0</v>
      </c>
      <c r="DE9" s="93">
        <f t="shared" si="3"/>
        <v>23923007.759566542</v>
      </c>
    </row>
    <row r="10" spans="2:109">
      <c r="B10" t="s">
        <v>276</v>
      </c>
      <c r="C10" s="147">
        <f>Carátula!$G$38</f>
        <v>1</v>
      </c>
      <c r="E10" s="91"/>
      <c r="G10" s="513" t="s">
        <v>503</v>
      </c>
      <c r="H10" s="512"/>
      <c r="I10" s="512">
        <f>-IF(I$2&lt;=$C$5,1,0)*(((SUM($C$10:$C$11)+$C$10*$C$13)*($C$15*100%)/$C$5))</f>
        <v>0</v>
      </c>
      <c r="J10" s="512">
        <f t="shared" ref="J10:BU10" si="15">-IF(J$2&lt;=$C$5,1,0)*(((SUM($C$10:$C$11)+$C$10*$C$13)*($C$15*100%)/$C$5))</f>
        <v>0</v>
      </c>
      <c r="K10" s="512">
        <f t="shared" si="15"/>
        <v>0</v>
      </c>
      <c r="L10" s="512">
        <f t="shared" si="15"/>
        <v>0</v>
      </c>
      <c r="M10" s="512">
        <f t="shared" si="15"/>
        <v>0</v>
      </c>
      <c r="N10" s="512">
        <f t="shared" si="15"/>
        <v>0</v>
      </c>
      <c r="O10" s="512">
        <f t="shared" si="15"/>
        <v>0</v>
      </c>
      <c r="P10" s="512">
        <f t="shared" si="15"/>
        <v>0</v>
      </c>
      <c r="Q10" s="512">
        <f t="shared" si="15"/>
        <v>0</v>
      </c>
      <c r="R10" s="512">
        <f t="shared" si="15"/>
        <v>0</v>
      </c>
      <c r="S10" s="512">
        <f t="shared" si="15"/>
        <v>0</v>
      </c>
      <c r="T10" s="512">
        <f t="shared" si="15"/>
        <v>0</v>
      </c>
      <c r="U10" s="512">
        <f t="shared" si="15"/>
        <v>0</v>
      </c>
      <c r="V10" s="512">
        <f t="shared" si="15"/>
        <v>0</v>
      </c>
      <c r="W10" s="512">
        <f t="shared" si="15"/>
        <v>0</v>
      </c>
      <c r="X10" s="512">
        <f t="shared" si="15"/>
        <v>0</v>
      </c>
      <c r="Y10" s="512">
        <f t="shared" si="15"/>
        <v>0</v>
      </c>
      <c r="Z10" s="512">
        <f t="shared" si="15"/>
        <v>0</v>
      </c>
      <c r="AA10" s="512">
        <f t="shared" si="15"/>
        <v>0</v>
      </c>
      <c r="AB10" s="512">
        <f t="shared" si="15"/>
        <v>0</v>
      </c>
      <c r="AC10" s="512">
        <f t="shared" si="15"/>
        <v>0</v>
      </c>
      <c r="AD10" s="512">
        <f t="shared" si="15"/>
        <v>0</v>
      </c>
      <c r="AE10" s="512">
        <f t="shared" si="15"/>
        <v>0</v>
      </c>
      <c r="AF10" s="512">
        <f t="shared" si="15"/>
        <v>0</v>
      </c>
      <c r="AG10" s="512">
        <f t="shared" si="15"/>
        <v>0</v>
      </c>
      <c r="AH10" s="512">
        <f t="shared" si="15"/>
        <v>0</v>
      </c>
      <c r="AI10" s="512">
        <f t="shared" si="15"/>
        <v>0</v>
      </c>
      <c r="AJ10" s="512">
        <f t="shared" si="15"/>
        <v>0</v>
      </c>
      <c r="AK10" s="512">
        <f t="shared" si="15"/>
        <v>0</v>
      </c>
      <c r="AL10" s="512">
        <f t="shared" si="15"/>
        <v>0</v>
      </c>
      <c r="AM10" s="512">
        <f t="shared" si="15"/>
        <v>0</v>
      </c>
      <c r="AN10" s="512">
        <f t="shared" si="15"/>
        <v>0</v>
      </c>
      <c r="AO10" s="512">
        <f t="shared" si="15"/>
        <v>0</v>
      </c>
      <c r="AP10" s="512">
        <f t="shared" si="15"/>
        <v>0</v>
      </c>
      <c r="AQ10" s="512">
        <f t="shared" si="15"/>
        <v>0</v>
      </c>
      <c r="AR10" s="512">
        <f t="shared" si="15"/>
        <v>0</v>
      </c>
      <c r="AS10" s="512">
        <f t="shared" si="15"/>
        <v>0</v>
      </c>
      <c r="AT10" s="512">
        <f t="shared" si="15"/>
        <v>0</v>
      </c>
      <c r="AU10" s="512">
        <f t="shared" si="15"/>
        <v>0</v>
      </c>
      <c r="AV10" s="512">
        <f t="shared" si="15"/>
        <v>0</v>
      </c>
      <c r="AW10" s="512">
        <f t="shared" si="15"/>
        <v>0</v>
      </c>
      <c r="AX10" s="512">
        <f t="shared" si="15"/>
        <v>0</v>
      </c>
      <c r="AY10" s="512">
        <f t="shared" si="15"/>
        <v>0</v>
      </c>
      <c r="AZ10" s="512">
        <f t="shared" si="15"/>
        <v>0</v>
      </c>
      <c r="BA10" s="512">
        <f t="shared" si="15"/>
        <v>0</v>
      </c>
      <c r="BB10" s="512">
        <f t="shared" si="15"/>
        <v>0</v>
      </c>
      <c r="BC10" s="512">
        <f t="shared" si="15"/>
        <v>0</v>
      </c>
      <c r="BD10" s="512">
        <f t="shared" si="15"/>
        <v>0</v>
      </c>
      <c r="BE10" s="512">
        <f t="shared" si="15"/>
        <v>0</v>
      </c>
      <c r="BF10" s="512">
        <f t="shared" si="15"/>
        <v>0</v>
      </c>
      <c r="BG10" s="512">
        <f t="shared" si="15"/>
        <v>0</v>
      </c>
      <c r="BH10" s="512">
        <f t="shared" si="15"/>
        <v>0</v>
      </c>
      <c r="BI10" s="512">
        <f t="shared" si="15"/>
        <v>0</v>
      </c>
      <c r="BJ10" s="512">
        <f t="shared" si="15"/>
        <v>0</v>
      </c>
      <c r="BK10" s="512">
        <f t="shared" si="15"/>
        <v>0</v>
      </c>
      <c r="BL10" s="512">
        <f t="shared" si="15"/>
        <v>0</v>
      </c>
      <c r="BM10" s="512">
        <f t="shared" si="15"/>
        <v>0</v>
      </c>
      <c r="BN10" s="512">
        <f t="shared" si="15"/>
        <v>0</v>
      </c>
      <c r="BO10" s="512">
        <f t="shared" si="15"/>
        <v>0</v>
      </c>
      <c r="BP10" s="512">
        <f t="shared" si="15"/>
        <v>0</v>
      </c>
      <c r="BQ10" s="512">
        <f t="shared" si="15"/>
        <v>0</v>
      </c>
      <c r="BR10" s="512">
        <f t="shared" si="15"/>
        <v>0</v>
      </c>
      <c r="BS10" s="512">
        <f t="shared" si="15"/>
        <v>0</v>
      </c>
      <c r="BT10" s="512">
        <f t="shared" si="15"/>
        <v>0</v>
      </c>
      <c r="BU10" s="512">
        <f t="shared" si="15"/>
        <v>0</v>
      </c>
      <c r="BV10" s="512">
        <f t="shared" ref="BV10:DD10" si="16">-IF(BV$2&lt;=$C$5,1,0)*(((SUM($C$10:$C$11)+$C$10*$C$13)*($C$15*100%)/$C$5))</f>
        <v>0</v>
      </c>
      <c r="BW10" s="512">
        <f t="shared" si="16"/>
        <v>0</v>
      </c>
      <c r="BX10" s="512">
        <f t="shared" si="16"/>
        <v>0</v>
      </c>
      <c r="BY10" s="512">
        <f t="shared" si="16"/>
        <v>0</v>
      </c>
      <c r="BZ10" s="512">
        <f t="shared" si="16"/>
        <v>0</v>
      </c>
      <c r="CA10" s="512">
        <f t="shared" si="16"/>
        <v>0</v>
      </c>
      <c r="CB10" s="512">
        <f t="shared" si="16"/>
        <v>0</v>
      </c>
      <c r="CC10" s="512">
        <f t="shared" si="16"/>
        <v>0</v>
      </c>
      <c r="CD10" s="512">
        <f t="shared" si="16"/>
        <v>0</v>
      </c>
      <c r="CE10" s="512">
        <f t="shared" si="16"/>
        <v>0</v>
      </c>
      <c r="CF10" s="512">
        <f t="shared" si="16"/>
        <v>0</v>
      </c>
      <c r="CG10" s="512">
        <f t="shared" si="16"/>
        <v>0</v>
      </c>
      <c r="CH10" s="512">
        <f t="shared" si="16"/>
        <v>0</v>
      </c>
      <c r="CI10" s="512">
        <f t="shared" si="16"/>
        <v>0</v>
      </c>
      <c r="CJ10" s="512">
        <f t="shared" si="16"/>
        <v>0</v>
      </c>
      <c r="CK10" s="512">
        <f t="shared" si="16"/>
        <v>0</v>
      </c>
      <c r="CL10" s="512">
        <f t="shared" si="16"/>
        <v>0</v>
      </c>
      <c r="CM10" s="512">
        <f t="shared" si="16"/>
        <v>0</v>
      </c>
      <c r="CN10" s="512">
        <f t="shared" si="16"/>
        <v>0</v>
      </c>
      <c r="CO10" s="512">
        <f t="shared" si="16"/>
        <v>0</v>
      </c>
      <c r="CP10" s="512">
        <f t="shared" si="16"/>
        <v>0</v>
      </c>
      <c r="CQ10" s="512">
        <f t="shared" si="16"/>
        <v>0</v>
      </c>
      <c r="CR10" s="512">
        <f t="shared" si="16"/>
        <v>0</v>
      </c>
      <c r="CS10" s="512">
        <f t="shared" si="16"/>
        <v>0</v>
      </c>
      <c r="CT10" s="512">
        <f t="shared" si="16"/>
        <v>0</v>
      </c>
      <c r="CU10" s="512">
        <f t="shared" si="16"/>
        <v>0</v>
      </c>
      <c r="CV10" s="512">
        <f t="shared" si="16"/>
        <v>0</v>
      </c>
      <c r="CW10" s="512">
        <f t="shared" si="16"/>
        <v>0</v>
      </c>
      <c r="CX10" s="512">
        <f t="shared" si="16"/>
        <v>0</v>
      </c>
      <c r="CY10" s="512">
        <f t="shared" si="16"/>
        <v>0</v>
      </c>
      <c r="CZ10" s="512">
        <f t="shared" si="16"/>
        <v>0</v>
      </c>
      <c r="DA10" s="512">
        <f t="shared" si="16"/>
        <v>0</v>
      </c>
      <c r="DB10" s="512">
        <f t="shared" si="16"/>
        <v>0</v>
      </c>
      <c r="DC10" s="512">
        <f t="shared" si="16"/>
        <v>0</v>
      </c>
      <c r="DD10" s="512">
        <f t="shared" si="16"/>
        <v>0</v>
      </c>
      <c r="DE10" s="512">
        <f t="shared" si="3"/>
        <v>0</v>
      </c>
    </row>
    <row r="11" spans="2:109">
      <c r="B11" t="s">
        <v>416</v>
      </c>
      <c r="C11" s="147">
        <f>Carátula!$K$36</f>
        <v>0</v>
      </c>
      <c r="E11" s="91"/>
      <c r="G11" s="513" t="s">
        <v>500</v>
      </c>
      <c r="H11" s="512"/>
      <c r="I11" s="512">
        <f>-IF(I$2&lt;=$C$5,1,0)*(((SUM($C$10:$C$11)+$C$10*$C$13)*($C$16*$C$28)/$C$5))</f>
        <v>0</v>
      </c>
      <c r="J11" s="512">
        <f t="shared" ref="J11:BU11" si="17">-IF(J$2&lt;=$C$5,1,0)*(((SUM($C$10:$C$11)+$C$10*$C$13)*($C$16*$C$28)/$C$5))</f>
        <v>0</v>
      </c>
      <c r="K11" s="512">
        <f t="shared" si="17"/>
        <v>0</v>
      </c>
      <c r="L11" s="512">
        <f t="shared" si="17"/>
        <v>0</v>
      </c>
      <c r="M11" s="512">
        <f t="shared" si="17"/>
        <v>0</v>
      </c>
      <c r="N11" s="512">
        <f t="shared" si="17"/>
        <v>0</v>
      </c>
      <c r="O11" s="512">
        <f t="shared" si="17"/>
        <v>0</v>
      </c>
      <c r="P11" s="512">
        <f t="shared" si="17"/>
        <v>0</v>
      </c>
      <c r="Q11" s="512">
        <f t="shared" si="17"/>
        <v>0</v>
      </c>
      <c r="R11" s="512">
        <f t="shared" si="17"/>
        <v>0</v>
      </c>
      <c r="S11" s="512">
        <f t="shared" si="17"/>
        <v>0</v>
      </c>
      <c r="T11" s="512">
        <f t="shared" si="17"/>
        <v>0</v>
      </c>
      <c r="U11" s="512">
        <f t="shared" si="17"/>
        <v>0</v>
      </c>
      <c r="V11" s="512">
        <f t="shared" si="17"/>
        <v>0</v>
      </c>
      <c r="W11" s="512">
        <f t="shared" si="17"/>
        <v>0</v>
      </c>
      <c r="X11" s="512">
        <f t="shared" si="17"/>
        <v>0</v>
      </c>
      <c r="Y11" s="512">
        <f t="shared" si="17"/>
        <v>0</v>
      </c>
      <c r="Z11" s="512">
        <f t="shared" si="17"/>
        <v>0</v>
      </c>
      <c r="AA11" s="512">
        <f t="shared" si="17"/>
        <v>0</v>
      </c>
      <c r="AB11" s="512">
        <f t="shared" si="17"/>
        <v>0</v>
      </c>
      <c r="AC11" s="512">
        <f t="shared" si="17"/>
        <v>0</v>
      </c>
      <c r="AD11" s="512">
        <f t="shared" si="17"/>
        <v>0</v>
      </c>
      <c r="AE11" s="512">
        <f t="shared" si="17"/>
        <v>0</v>
      </c>
      <c r="AF11" s="512">
        <f t="shared" si="17"/>
        <v>0</v>
      </c>
      <c r="AG11" s="512">
        <f t="shared" si="17"/>
        <v>0</v>
      </c>
      <c r="AH11" s="512">
        <f t="shared" si="17"/>
        <v>0</v>
      </c>
      <c r="AI11" s="512">
        <f t="shared" si="17"/>
        <v>0</v>
      </c>
      <c r="AJ11" s="512">
        <f t="shared" si="17"/>
        <v>0</v>
      </c>
      <c r="AK11" s="512">
        <f t="shared" si="17"/>
        <v>0</v>
      </c>
      <c r="AL11" s="512">
        <f t="shared" si="17"/>
        <v>0</v>
      </c>
      <c r="AM11" s="512">
        <f t="shared" si="17"/>
        <v>0</v>
      </c>
      <c r="AN11" s="512">
        <f t="shared" si="17"/>
        <v>0</v>
      </c>
      <c r="AO11" s="512">
        <f t="shared" si="17"/>
        <v>0</v>
      </c>
      <c r="AP11" s="512">
        <f t="shared" si="17"/>
        <v>0</v>
      </c>
      <c r="AQ11" s="512">
        <f t="shared" si="17"/>
        <v>0</v>
      </c>
      <c r="AR11" s="512">
        <f t="shared" si="17"/>
        <v>0</v>
      </c>
      <c r="AS11" s="512">
        <f t="shared" si="17"/>
        <v>0</v>
      </c>
      <c r="AT11" s="512">
        <f t="shared" si="17"/>
        <v>0</v>
      </c>
      <c r="AU11" s="512">
        <f t="shared" si="17"/>
        <v>0</v>
      </c>
      <c r="AV11" s="512">
        <f t="shared" si="17"/>
        <v>0</v>
      </c>
      <c r="AW11" s="512">
        <f t="shared" si="17"/>
        <v>0</v>
      </c>
      <c r="AX11" s="512">
        <f t="shared" si="17"/>
        <v>0</v>
      </c>
      <c r="AY11" s="512">
        <f t="shared" si="17"/>
        <v>0</v>
      </c>
      <c r="AZ11" s="512">
        <f t="shared" si="17"/>
        <v>0</v>
      </c>
      <c r="BA11" s="512">
        <f t="shared" si="17"/>
        <v>0</v>
      </c>
      <c r="BB11" s="512">
        <f t="shared" si="17"/>
        <v>0</v>
      </c>
      <c r="BC11" s="512">
        <f t="shared" si="17"/>
        <v>0</v>
      </c>
      <c r="BD11" s="512">
        <f t="shared" si="17"/>
        <v>0</v>
      </c>
      <c r="BE11" s="512">
        <f t="shared" si="17"/>
        <v>0</v>
      </c>
      <c r="BF11" s="512">
        <f t="shared" si="17"/>
        <v>0</v>
      </c>
      <c r="BG11" s="512">
        <f t="shared" si="17"/>
        <v>0</v>
      </c>
      <c r="BH11" s="512">
        <f t="shared" si="17"/>
        <v>0</v>
      </c>
      <c r="BI11" s="512">
        <f t="shared" si="17"/>
        <v>0</v>
      </c>
      <c r="BJ11" s="512">
        <f t="shared" si="17"/>
        <v>0</v>
      </c>
      <c r="BK11" s="512">
        <f t="shared" si="17"/>
        <v>0</v>
      </c>
      <c r="BL11" s="512">
        <f t="shared" si="17"/>
        <v>0</v>
      </c>
      <c r="BM11" s="512">
        <f t="shared" si="17"/>
        <v>0</v>
      </c>
      <c r="BN11" s="512">
        <f t="shared" si="17"/>
        <v>0</v>
      </c>
      <c r="BO11" s="512">
        <f t="shared" si="17"/>
        <v>0</v>
      </c>
      <c r="BP11" s="512">
        <f t="shared" si="17"/>
        <v>0</v>
      </c>
      <c r="BQ11" s="512">
        <f t="shared" si="17"/>
        <v>0</v>
      </c>
      <c r="BR11" s="512">
        <f t="shared" si="17"/>
        <v>0</v>
      </c>
      <c r="BS11" s="512">
        <f t="shared" si="17"/>
        <v>0</v>
      </c>
      <c r="BT11" s="512">
        <f t="shared" si="17"/>
        <v>0</v>
      </c>
      <c r="BU11" s="512">
        <f t="shared" si="17"/>
        <v>0</v>
      </c>
      <c r="BV11" s="512">
        <f t="shared" ref="BV11:DD11" si="18">-IF(BV$2&lt;=$C$5,1,0)*(((SUM($C$10:$C$11)+$C$10*$C$13)*($C$16*$C$28)/$C$5))</f>
        <v>0</v>
      </c>
      <c r="BW11" s="512">
        <f t="shared" si="18"/>
        <v>0</v>
      </c>
      <c r="BX11" s="512">
        <f t="shared" si="18"/>
        <v>0</v>
      </c>
      <c r="BY11" s="512">
        <f t="shared" si="18"/>
        <v>0</v>
      </c>
      <c r="BZ11" s="512">
        <f t="shared" si="18"/>
        <v>0</v>
      </c>
      <c r="CA11" s="512">
        <f t="shared" si="18"/>
        <v>0</v>
      </c>
      <c r="CB11" s="512">
        <f t="shared" si="18"/>
        <v>0</v>
      </c>
      <c r="CC11" s="512">
        <f t="shared" si="18"/>
        <v>0</v>
      </c>
      <c r="CD11" s="512">
        <f t="shared" si="18"/>
        <v>0</v>
      </c>
      <c r="CE11" s="512">
        <f t="shared" si="18"/>
        <v>0</v>
      </c>
      <c r="CF11" s="512">
        <f t="shared" si="18"/>
        <v>0</v>
      </c>
      <c r="CG11" s="512">
        <f t="shared" si="18"/>
        <v>0</v>
      </c>
      <c r="CH11" s="512">
        <f t="shared" si="18"/>
        <v>0</v>
      </c>
      <c r="CI11" s="512">
        <f t="shared" si="18"/>
        <v>0</v>
      </c>
      <c r="CJ11" s="512">
        <f t="shared" si="18"/>
        <v>0</v>
      </c>
      <c r="CK11" s="512">
        <f t="shared" si="18"/>
        <v>0</v>
      </c>
      <c r="CL11" s="512">
        <f t="shared" si="18"/>
        <v>0</v>
      </c>
      <c r="CM11" s="512">
        <f t="shared" si="18"/>
        <v>0</v>
      </c>
      <c r="CN11" s="512">
        <f t="shared" si="18"/>
        <v>0</v>
      </c>
      <c r="CO11" s="512">
        <f t="shared" si="18"/>
        <v>0</v>
      </c>
      <c r="CP11" s="512">
        <f t="shared" si="18"/>
        <v>0</v>
      </c>
      <c r="CQ11" s="512">
        <f t="shared" si="18"/>
        <v>0</v>
      </c>
      <c r="CR11" s="512">
        <f t="shared" si="18"/>
        <v>0</v>
      </c>
      <c r="CS11" s="512">
        <f t="shared" si="18"/>
        <v>0</v>
      </c>
      <c r="CT11" s="512">
        <f t="shared" si="18"/>
        <v>0</v>
      </c>
      <c r="CU11" s="512">
        <f t="shared" si="18"/>
        <v>0</v>
      </c>
      <c r="CV11" s="512">
        <f t="shared" si="18"/>
        <v>0</v>
      </c>
      <c r="CW11" s="512">
        <f t="shared" si="18"/>
        <v>0</v>
      </c>
      <c r="CX11" s="512">
        <f t="shared" si="18"/>
        <v>0</v>
      </c>
      <c r="CY11" s="512">
        <f t="shared" si="18"/>
        <v>0</v>
      </c>
      <c r="CZ11" s="512">
        <f t="shared" si="18"/>
        <v>0</v>
      </c>
      <c r="DA11" s="512">
        <f t="shared" si="18"/>
        <v>0</v>
      </c>
      <c r="DB11" s="512">
        <f t="shared" si="18"/>
        <v>0</v>
      </c>
      <c r="DC11" s="512">
        <f t="shared" si="18"/>
        <v>0</v>
      </c>
      <c r="DD11" s="512">
        <f t="shared" si="18"/>
        <v>0</v>
      </c>
      <c r="DE11" s="512">
        <f t="shared" si="3"/>
        <v>0</v>
      </c>
    </row>
    <row r="12" spans="2:109">
      <c r="B12" t="s">
        <v>264</v>
      </c>
      <c r="C12" s="149">
        <f>Carátula!$K$38*C10</f>
        <v>0.03</v>
      </c>
      <c r="G12" s="513" t="s">
        <v>499</v>
      </c>
      <c r="H12" s="512"/>
      <c r="I12" s="512">
        <f>-IF(I$2&lt;=$C$5,1,0)*(((SUM($C$10:$C$11)+$C$10*$C$13)*($C$14*$C$26)/$C$5))</f>
        <v>-261800.25</v>
      </c>
      <c r="J12" s="512">
        <f t="shared" ref="J12:BU12" si="19">-IF(J$2&lt;=$C$5,1,0)*(((SUM($C$10:$C$11)+$C$10*$C$13)*($C$14*$C$26)/$C$5))</f>
        <v>-261800.25</v>
      </c>
      <c r="K12" s="512">
        <f t="shared" si="19"/>
        <v>-261800.25</v>
      </c>
      <c r="L12" s="512">
        <f t="shared" si="19"/>
        <v>-261800.25</v>
      </c>
      <c r="M12" s="512">
        <f t="shared" si="19"/>
        <v>-261800.25</v>
      </c>
      <c r="N12" s="512">
        <f t="shared" si="19"/>
        <v>-261800.25</v>
      </c>
      <c r="O12" s="512">
        <f t="shared" si="19"/>
        <v>-261800.25</v>
      </c>
      <c r="P12" s="512">
        <f t="shared" si="19"/>
        <v>-261800.25</v>
      </c>
      <c r="Q12" s="512">
        <f t="shared" si="19"/>
        <v>-261800.25</v>
      </c>
      <c r="R12" s="512">
        <f t="shared" si="19"/>
        <v>-261800.25</v>
      </c>
      <c r="S12" s="512">
        <f t="shared" si="19"/>
        <v>-261800.25</v>
      </c>
      <c r="T12" s="512">
        <f t="shared" si="19"/>
        <v>-261800.25</v>
      </c>
      <c r="U12" s="512">
        <f t="shared" si="19"/>
        <v>-261800.25</v>
      </c>
      <c r="V12" s="512">
        <f t="shared" si="19"/>
        <v>-261800.25</v>
      </c>
      <c r="W12" s="512">
        <f t="shared" si="19"/>
        <v>-261800.25</v>
      </c>
      <c r="X12" s="512">
        <f t="shared" si="19"/>
        <v>-261800.25</v>
      </c>
      <c r="Y12" s="512">
        <f t="shared" si="19"/>
        <v>-261800.25</v>
      </c>
      <c r="Z12" s="512">
        <f t="shared" si="19"/>
        <v>-261800.25</v>
      </c>
      <c r="AA12" s="512">
        <f t="shared" si="19"/>
        <v>-261800.25</v>
      </c>
      <c r="AB12" s="512">
        <f t="shared" si="19"/>
        <v>-261800.25</v>
      </c>
      <c r="AC12" s="512">
        <f t="shared" si="19"/>
        <v>-261800.25</v>
      </c>
      <c r="AD12" s="512">
        <f t="shared" si="19"/>
        <v>-261800.25</v>
      </c>
      <c r="AE12" s="512">
        <f t="shared" si="19"/>
        <v>-261800.25</v>
      </c>
      <c r="AF12" s="512">
        <f t="shared" si="19"/>
        <v>-261800.25</v>
      </c>
      <c r="AG12" s="512">
        <f t="shared" si="19"/>
        <v>-261800.25</v>
      </c>
      <c r="AH12" s="512">
        <f t="shared" si="19"/>
        <v>-261800.25</v>
      </c>
      <c r="AI12" s="512">
        <f t="shared" si="19"/>
        <v>-261800.25</v>
      </c>
      <c r="AJ12" s="512">
        <f t="shared" si="19"/>
        <v>-261800.25</v>
      </c>
      <c r="AK12" s="512">
        <f t="shared" si="19"/>
        <v>-261800.25</v>
      </c>
      <c r="AL12" s="512">
        <f t="shared" si="19"/>
        <v>-261800.25</v>
      </c>
      <c r="AM12" s="512">
        <f t="shared" si="19"/>
        <v>-261800.25</v>
      </c>
      <c r="AN12" s="512">
        <f t="shared" si="19"/>
        <v>-261800.25</v>
      </c>
      <c r="AO12" s="512">
        <f t="shared" si="19"/>
        <v>-261800.25</v>
      </c>
      <c r="AP12" s="512">
        <f t="shared" si="19"/>
        <v>-261800.25</v>
      </c>
      <c r="AQ12" s="512">
        <f t="shared" si="19"/>
        <v>-261800.25</v>
      </c>
      <c r="AR12" s="512">
        <f t="shared" si="19"/>
        <v>-261800.25</v>
      </c>
      <c r="AS12" s="512">
        <f t="shared" si="19"/>
        <v>-261800.25</v>
      </c>
      <c r="AT12" s="512">
        <f t="shared" si="19"/>
        <v>-261800.25</v>
      </c>
      <c r="AU12" s="512">
        <f t="shared" si="19"/>
        <v>-261800.25</v>
      </c>
      <c r="AV12" s="512">
        <f t="shared" si="19"/>
        <v>-261800.25</v>
      </c>
      <c r="AW12" s="512">
        <f t="shared" si="19"/>
        <v>-261800.25</v>
      </c>
      <c r="AX12" s="512">
        <f t="shared" si="19"/>
        <v>-261800.25</v>
      </c>
      <c r="AY12" s="512">
        <f t="shared" si="19"/>
        <v>-261800.25</v>
      </c>
      <c r="AZ12" s="512">
        <f t="shared" si="19"/>
        <v>-261800.25</v>
      </c>
      <c r="BA12" s="512">
        <f t="shared" si="19"/>
        <v>-261800.25</v>
      </c>
      <c r="BB12" s="512">
        <f t="shared" si="19"/>
        <v>-261800.25</v>
      </c>
      <c r="BC12" s="512">
        <f t="shared" si="19"/>
        <v>-261800.25</v>
      </c>
      <c r="BD12" s="512">
        <f t="shared" si="19"/>
        <v>-261800.25</v>
      </c>
      <c r="BE12" s="512">
        <f t="shared" si="19"/>
        <v>0</v>
      </c>
      <c r="BF12" s="512">
        <f t="shared" si="19"/>
        <v>0</v>
      </c>
      <c r="BG12" s="512">
        <f t="shared" si="19"/>
        <v>0</v>
      </c>
      <c r="BH12" s="512">
        <f t="shared" si="19"/>
        <v>0</v>
      </c>
      <c r="BI12" s="512">
        <f t="shared" si="19"/>
        <v>0</v>
      </c>
      <c r="BJ12" s="512">
        <f t="shared" si="19"/>
        <v>0</v>
      </c>
      <c r="BK12" s="512">
        <f t="shared" si="19"/>
        <v>0</v>
      </c>
      <c r="BL12" s="512">
        <f t="shared" si="19"/>
        <v>0</v>
      </c>
      <c r="BM12" s="512">
        <f t="shared" si="19"/>
        <v>0</v>
      </c>
      <c r="BN12" s="512">
        <f t="shared" si="19"/>
        <v>0</v>
      </c>
      <c r="BO12" s="512">
        <f t="shared" si="19"/>
        <v>0</v>
      </c>
      <c r="BP12" s="512">
        <f t="shared" si="19"/>
        <v>0</v>
      </c>
      <c r="BQ12" s="512">
        <f t="shared" si="19"/>
        <v>0</v>
      </c>
      <c r="BR12" s="512">
        <f t="shared" si="19"/>
        <v>0</v>
      </c>
      <c r="BS12" s="512">
        <f t="shared" si="19"/>
        <v>0</v>
      </c>
      <c r="BT12" s="512">
        <f t="shared" si="19"/>
        <v>0</v>
      </c>
      <c r="BU12" s="512">
        <f t="shared" si="19"/>
        <v>0</v>
      </c>
      <c r="BV12" s="512">
        <f t="shared" ref="BV12:DD12" si="20">-IF(BV$2&lt;=$C$5,1,0)*(((SUM($C$10:$C$11)+$C$10*$C$13)*($C$14*$C$26)/$C$5))</f>
        <v>0</v>
      </c>
      <c r="BW12" s="512">
        <f t="shared" si="20"/>
        <v>0</v>
      </c>
      <c r="BX12" s="512">
        <f t="shared" si="20"/>
        <v>0</v>
      </c>
      <c r="BY12" s="512">
        <f t="shared" si="20"/>
        <v>0</v>
      </c>
      <c r="BZ12" s="512">
        <f t="shared" si="20"/>
        <v>0</v>
      </c>
      <c r="CA12" s="512">
        <f t="shared" si="20"/>
        <v>0</v>
      </c>
      <c r="CB12" s="512">
        <f t="shared" si="20"/>
        <v>0</v>
      </c>
      <c r="CC12" s="512">
        <f t="shared" si="20"/>
        <v>0</v>
      </c>
      <c r="CD12" s="512">
        <f t="shared" si="20"/>
        <v>0</v>
      </c>
      <c r="CE12" s="512">
        <f t="shared" si="20"/>
        <v>0</v>
      </c>
      <c r="CF12" s="512">
        <f t="shared" si="20"/>
        <v>0</v>
      </c>
      <c r="CG12" s="512">
        <f t="shared" si="20"/>
        <v>0</v>
      </c>
      <c r="CH12" s="512">
        <f t="shared" si="20"/>
        <v>0</v>
      </c>
      <c r="CI12" s="512">
        <f t="shared" si="20"/>
        <v>0</v>
      </c>
      <c r="CJ12" s="512">
        <f t="shared" si="20"/>
        <v>0</v>
      </c>
      <c r="CK12" s="512">
        <f t="shared" si="20"/>
        <v>0</v>
      </c>
      <c r="CL12" s="512">
        <f t="shared" si="20"/>
        <v>0</v>
      </c>
      <c r="CM12" s="512">
        <f t="shared" si="20"/>
        <v>0</v>
      </c>
      <c r="CN12" s="512">
        <f t="shared" si="20"/>
        <v>0</v>
      </c>
      <c r="CO12" s="512">
        <f t="shared" si="20"/>
        <v>0</v>
      </c>
      <c r="CP12" s="512">
        <f t="shared" si="20"/>
        <v>0</v>
      </c>
      <c r="CQ12" s="512">
        <f t="shared" si="20"/>
        <v>0</v>
      </c>
      <c r="CR12" s="512">
        <f t="shared" si="20"/>
        <v>0</v>
      </c>
      <c r="CS12" s="512">
        <f t="shared" si="20"/>
        <v>0</v>
      </c>
      <c r="CT12" s="512">
        <f t="shared" si="20"/>
        <v>0</v>
      </c>
      <c r="CU12" s="512">
        <f t="shared" si="20"/>
        <v>0</v>
      </c>
      <c r="CV12" s="512">
        <f t="shared" si="20"/>
        <v>0</v>
      </c>
      <c r="CW12" s="512">
        <f t="shared" si="20"/>
        <v>0</v>
      </c>
      <c r="CX12" s="512">
        <f t="shared" si="20"/>
        <v>0</v>
      </c>
      <c r="CY12" s="512">
        <f t="shared" si="20"/>
        <v>0</v>
      </c>
      <c r="CZ12" s="512">
        <f t="shared" si="20"/>
        <v>0</v>
      </c>
      <c r="DA12" s="512">
        <f t="shared" si="20"/>
        <v>0</v>
      </c>
      <c r="DB12" s="512">
        <f t="shared" si="20"/>
        <v>0</v>
      </c>
      <c r="DC12" s="512">
        <f t="shared" si="20"/>
        <v>0</v>
      </c>
      <c r="DD12" s="512">
        <f t="shared" si="20"/>
        <v>0</v>
      </c>
      <c r="DE12" s="512">
        <f t="shared" si="3"/>
        <v>-12566412</v>
      </c>
    </row>
    <row r="13" spans="2:109">
      <c r="B13" s="107" t="s">
        <v>369</v>
      </c>
      <c r="C13" s="150">
        <f>Carátula!$K$38</f>
        <v>0.03</v>
      </c>
      <c r="G13" t="s">
        <v>493</v>
      </c>
      <c r="H13" s="86"/>
      <c r="I13" s="86">
        <f>SUM(I10:I12)</f>
        <v>-261800.25</v>
      </c>
      <c r="J13" s="86">
        <f t="shared" ref="J13:BU13" si="21">SUM(J10:J12)</f>
        <v>-261800.25</v>
      </c>
      <c r="K13" s="86">
        <f t="shared" si="21"/>
        <v>-261800.25</v>
      </c>
      <c r="L13" s="86">
        <f t="shared" si="21"/>
        <v>-261800.25</v>
      </c>
      <c r="M13" s="86">
        <f t="shared" si="21"/>
        <v>-261800.25</v>
      </c>
      <c r="N13" s="86">
        <f t="shared" si="21"/>
        <v>-261800.25</v>
      </c>
      <c r="O13" s="86">
        <f t="shared" si="21"/>
        <v>-261800.25</v>
      </c>
      <c r="P13" s="86">
        <f t="shared" si="21"/>
        <v>-261800.25</v>
      </c>
      <c r="Q13" s="86">
        <f t="shared" si="21"/>
        <v>-261800.25</v>
      </c>
      <c r="R13" s="86">
        <f t="shared" si="21"/>
        <v>-261800.25</v>
      </c>
      <c r="S13" s="86">
        <f t="shared" si="21"/>
        <v>-261800.25</v>
      </c>
      <c r="T13" s="86">
        <f t="shared" si="21"/>
        <v>-261800.25</v>
      </c>
      <c r="U13" s="86">
        <f t="shared" si="21"/>
        <v>-261800.25</v>
      </c>
      <c r="V13" s="86">
        <f t="shared" si="21"/>
        <v>-261800.25</v>
      </c>
      <c r="W13" s="86">
        <f t="shared" si="21"/>
        <v>-261800.25</v>
      </c>
      <c r="X13" s="86">
        <f t="shared" si="21"/>
        <v>-261800.25</v>
      </c>
      <c r="Y13" s="86">
        <f t="shared" si="21"/>
        <v>-261800.25</v>
      </c>
      <c r="Z13" s="86">
        <f t="shared" si="21"/>
        <v>-261800.25</v>
      </c>
      <c r="AA13" s="86">
        <f t="shared" si="21"/>
        <v>-261800.25</v>
      </c>
      <c r="AB13" s="86">
        <f t="shared" si="21"/>
        <v>-261800.25</v>
      </c>
      <c r="AC13" s="86">
        <f t="shared" si="21"/>
        <v>-261800.25</v>
      </c>
      <c r="AD13" s="86">
        <f t="shared" si="21"/>
        <v>-261800.25</v>
      </c>
      <c r="AE13" s="86">
        <f t="shared" si="21"/>
        <v>-261800.25</v>
      </c>
      <c r="AF13" s="86">
        <f t="shared" si="21"/>
        <v>-261800.25</v>
      </c>
      <c r="AG13" s="86">
        <f t="shared" si="21"/>
        <v>-261800.25</v>
      </c>
      <c r="AH13" s="86">
        <f t="shared" si="21"/>
        <v>-261800.25</v>
      </c>
      <c r="AI13" s="86">
        <f t="shared" si="21"/>
        <v>-261800.25</v>
      </c>
      <c r="AJ13" s="86">
        <f t="shared" si="21"/>
        <v>-261800.25</v>
      </c>
      <c r="AK13" s="86">
        <f t="shared" si="21"/>
        <v>-261800.25</v>
      </c>
      <c r="AL13" s="86">
        <f t="shared" si="21"/>
        <v>-261800.25</v>
      </c>
      <c r="AM13" s="86">
        <f t="shared" si="21"/>
        <v>-261800.25</v>
      </c>
      <c r="AN13" s="86">
        <f t="shared" si="21"/>
        <v>-261800.25</v>
      </c>
      <c r="AO13" s="86">
        <f t="shared" si="21"/>
        <v>-261800.25</v>
      </c>
      <c r="AP13" s="86">
        <f t="shared" si="21"/>
        <v>-261800.25</v>
      </c>
      <c r="AQ13" s="86">
        <f t="shared" si="21"/>
        <v>-261800.25</v>
      </c>
      <c r="AR13" s="86">
        <f t="shared" si="21"/>
        <v>-261800.25</v>
      </c>
      <c r="AS13" s="86">
        <f t="shared" si="21"/>
        <v>-261800.25</v>
      </c>
      <c r="AT13" s="86">
        <f t="shared" si="21"/>
        <v>-261800.25</v>
      </c>
      <c r="AU13" s="86">
        <f t="shared" si="21"/>
        <v>-261800.25</v>
      </c>
      <c r="AV13" s="86">
        <f t="shared" si="21"/>
        <v>-261800.25</v>
      </c>
      <c r="AW13" s="86">
        <f t="shared" si="21"/>
        <v>-261800.25</v>
      </c>
      <c r="AX13" s="86">
        <f t="shared" si="21"/>
        <v>-261800.25</v>
      </c>
      <c r="AY13" s="86">
        <f t="shared" si="21"/>
        <v>-261800.25</v>
      </c>
      <c r="AZ13" s="86">
        <f t="shared" si="21"/>
        <v>-261800.25</v>
      </c>
      <c r="BA13" s="86">
        <f t="shared" si="21"/>
        <v>-261800.25</v>
      </c>
      <c r="BB13" s="86">
        <f t="shared" si="21"/>
        <v>-261800.25</v>
      </c>
      <c r="BC13" s="86">
        <f t="shared" si="21"/>
        <v>-261800.25</v>
      </c>
      <c r="BD13" s="86">
        <f t="shared" si="21"/>
        <v>-261800.25</v>
      </c>
      <c r="BE13" s="86">
        <f t="shared" si="21"/>
        <v>0</v>
      </c>
      <c r="BF13" s="86">
        <f t="shared" si="21"/>
        <v>0</v>
      </c>
      <c r="BG13" s="86">
        <f t="shared" si="21"/>
        <v>0</v>
      </c>
      <c r="BH13" s="86">
        <f t="shared" si="21"/>
        <v>0</v>
      </c>
      <c r="BI13" s="86">
        <f t="shared" si="21"/>
        <v>0</v>
      </c>
      <c r="BJ13" s="86">
        <f t="shared" si="21"/>
        <v>0</v>
      </c>
      <c r="BK13" s="86">
        <f t="shared" si="21"/>
        <v>0</v>
      </c>
      <c r="BL13" s="86">
        <f t="shared" si="21"/>
        <v>0</v>
      </c>
      <c r="BM13" s="86">
        <f t="shared" si="21"/>
        <v>0</v>
      </c>
      <c r="BN13" s="86">
        <f t="shared" si="21"/>
        <v>0</v>
      </c>
      <c r="BO13" s="86">
        <f t="shared" si="21"/>
        <v>0</v>
      </c>
      <c r="BP13" s="86">
        <f t="shared" si="21"/>
        <v>0</v>
      </c>
      <c r="BQ13" s="86">
        <f t="shared" si="21"/>
        <v>0</v>
      </c>
      <c r="BR13" s="86">
        <f t="shared" si="21"/>
        <v>0</v>
      </c>
      <c r="BS13" s="86">
        <f t="shared" si="21"/>
        <v>0</v>
      </c>
      <c r="BT13" s="86">
        <f t="shared" si="21"/>
        <v>0</v>
      </c>
      <c r="BU13" s="86">
        <f t="shared" si="21"/>
        <v>0</v>
      </c>
      <c r="BV13" s="86">
        <f t="shared" ref="BV13:DD13" si="22">SUM(BV10:BV12)</f>
        <v>0</v>
      </c>
      <c r="BW13" s="86">
        <f t="shared" si="22"/>
        <v>0</v>
      </c>
      <c r="BX13" s="86">
        <f t="shared" si="22"/>
        <v>0</v>
      </c>
      <c r="BY13" s="86">
        <f t="shared" si="22"/>
        <v>0</v>
      </c>
      <c r="BZ13" s="86">
        <f t="shared" si="22"/>
        <v>0</v>
      </c>
      <c r="CA13" s="86">
        <f t="shared" si="22"/>
        <v>0</v>
      </c>
      <c r="CB13" s="86">
        <f t="shared" si="22"/>
        <v>0</v>
      </c>
      <c r="CC13" s="86">
        <f t="shared" si="22"/>
        <v>0</v>
      </c>
      <c r="CD13" s="86">
        <f t="shared" si="22"/>
        <v>0</v>
      </c>
      <c r="CE13" s="86">
        <f t="shared" si="22"/>
        <v>0</v>
      </c>
      <c r="CF13" s="86">
        <f t="shared" si="22"/>
        <v>0</v>
      </c>
      <c r="CG13" s="86">
        <f t="shared" si="22"/>
        <v>0</v>
      </c>
      <c r="CH13" s="86">
        <f t="shared" si="22"/>
        <v>0</v>
      </c>
      <c r="CI13" s="86">
        <f t="shared" si="22"/>
        <v>0</v>
      </c>
      <c r="CJ13" s="86">
        <f t="shared" si="22"/>
        <v>0</v>
      </c>
      <c r="CK13" s="86">
        <f t="shared" si="22"/>
        <v>0</v>
      </c>
      <c r="CL13" s="86">
        <f t="shared" si="22"/>
        <v>0</v>
      </c>
      <c r="CM13" s="86">
        <f t="shared" si="22"/>
        <v>0</v>
      </c>
      <c r="CN13" s="86">
        <f t="shared" si="22"/>
        <v>0</v>
      </c>
      <c r="CO13" s="86">
        <f t="shared" si="22"/>
        <v>0</v>
      </c>
      <c r="CP13" s="86">
        <f t="shared" si="22"/>
        <v>0</v>
      </c>
      <c r="CQ13" s="86">
        <f t="shared" si="22"/>
        <v>0</v>
      </c>
      <c r="CR13" s="86">
        <f t="shared" si="22"/>
        <v>0</v>
      </c>
      <c r="CS13" s="86">
        <f t="shared" si="22"/>
        <v>0</v>
      </c>
      <c r="CT13" s="86">
        <f t="shared" si="22"/>
        <v>0</v>
      </c>
      <c r="CU13" s="86">
        <f t="shared" si="22"/>
        <v>0</v>
      </c>
      <c r="CV13" s="86">
        <f t="shared" si="22"/>
        <v>0</v>
      </c>
      <c r="CW13" s="86">
        <f t="shared" si="22"/>
        <v>0</v>
      </c>
      <c r="CX13" s="86">
        <f t="shared" si="22"/>
        <v>0</v>
      </c>
      <c r="CY13" s="86">
        <f t="shared" si="22"/>
        <v>0</v>
      </c>
      <c r="CZ13" s="86">
        <f t="shared" si="22"/>
        <v>0</v>
      </c>
      <c r="DA13" s="86">
        <f t="shared" si="22"/>
        <v>0</v>
      </c>
      <c r="DB13" s="86">
        <f t="shared" si="22"/>
        <v>0</v>
      </c>
      <c r="DC13" s="86">
        <f t="shared" si="22"/>
        <v>0</v>
      </c>
      <c r="DD13" s="86">
        <f t="shared" si="22"/>
        <v>0</v>
      </c>
      <c r="DE13" s="86">
        <f t="shared" si="3"/>
        <v>-12566412</v>
      </c>
    </row>
    <row r="14" spans="2:109">
      <c r="B14" t="s">
        <v>348</v>
      </c>
      <c r="C14" s="86">
        <f>Carátula!$G$45</f>
        <v>25417500</v>
      </c>
      <c r="E14" s="91">
        <f>(C14*(1-C26))*(SUM(C10:C11)+C10*C13)</f>
        <v>13613613</v>
      </c>
      <c r="G14" s="83" t="s">
        <v>239</v>
      </c>
      <c r="H14" s="93">
        <f t="shared" ref="H14" si="23">SUM(H9:H12)</f>
        <v>0</v>
      </c>
      <c r="I14" s="93">
        <f>SUM(I9:I12)</f>
        <v>207911.90691916668</v>
      </c>
      <c r="J14" s="93">
        <f t="shared" ref="J14:BU14" si="24">SUM(J9:J12)</f>
        <v>209086.18731146445</v>
      </c>
      <c r="K14" s="93">
        <f t="shared" si="24"/>
        <v>210263.40340474318</v>
      </c>
      <c r="L14" s="93">
        <f t="shared" si="24"/>
        <v>211443.56253825495</v>
      </c>
      <c r="M14" s="93">
        <f t="shared" si="24"/>
        <v>212626.67206960055</v>
      </c>
      <c r="N14" s="93">
        <f t="shared" si="24"/>
        <v>213812.73937477462</v>
      </c>
      <c r="O14" s="93">
        <f t="shared" si="24"/>
        <v>215001.77184821153</v>
      </c>
      <c r="P14" s="93">
        <f t="shared" si="24"/>
        <v>216193.77690283197</v>
      </c>
      <c r="Q14" s="93">
        <f t="shared" si="24"/>
        <v>217388.76197008905</v>
      </c>
      <c r="R14" s="93">
        <f t="shared" si="24"/>
        <v>218586.73450001434</v>
      </c>
      <c r="S14" s="93">
        <f t="shared" si="24"/>
        <v>219787.70196126436</v>
      </c>
      <c r="T14" s="93">
        <f t="shared" si="24"/>
        <v>220991.67184116732</v>
      </c>
      <c r="U14" s="93">
        <f t="shared" si="24"/>
        <v>222198.65164577035</v>
      </c>
      <c r="V14" s="93">
        <f t="shared" si="24"/>
        <v>223408.64889988478</v>
      </c>
      <c r="W14" s="93">
        <f t="shared" si="24"/>
        <v>224621.67114713439</v>
      </c>
      <c r="X14" s="93">
        <f t="shared" si="24"/>
        <v>225837.72595000226</v>
      </c>
      <c r="Y14" s="93">
        <f t="shared" si="24"/>
        <v>227056.82088987727</v>
      </c>
      <c r="Z14" s="93">
        <f t="shared" si="24"/>
        <v>228278.9635671018</v>
      </c>
      <c r="AA14" s="93">
        <f t="shared" si="24"/>
        <v>229504.16160101973</v>
      </c>
      <c r="AB14" s="93">
        <f t="shared" si="24"/>
        <v>230732.42263002228</v>
      </c>
      <c r="AC14" s="93">
        <f t="shared" si="24"/>
        <v>231963.75431159721</v>
      </c>
      <c r="AD14" s="93">
        <f t="shared" si="24"/>
        <v>233198.16432237613</v>
      </c>
      <c r="AE14" s="93">
        <f t="shared" si="24"/>
        <v>234435.66035818192</v>
      </c>
      <c r="AF14" s="93">
        <f t="shared" si="24"/>
        <v>235676.25013407751</v>
      </c>
      <c r="AG14" s="93">
        <f t="shared" si="24"/>
        <v>236919.9413844127</v>
      </c>
      <c r="AH14" s="93">
        <f t="shared" si="24"/>
        <v>238166.74186287378</v>
      </c>
      <c r="AI14" s="93">
        <f t="shared" si="24"/>
        <v>239416.65934253077</v>
      </c>
      <c r="AJ14" s="93">
        <f t="shared" si="24"/>
        <v>240669.70161588717</v>
      </c>
      <c r="AK14" s="93">
        <f t="shared" si="24"/>
        <v>241925.87649492681</v>
      </c>
      <c r="AL14" s="93">
        <f t="shared" si="24"/>
        <v>243185.19181116432</v>
      </c>
      <c r="AM14" s="93">
        <f t="shared" si="24"/>
        <v>244447.65541569202</v>
      </c>
      <c r="AN14" s="93">
        <f t="shared" si="24"/>
        <v>245713.27517923125</v>
      </c>
      <c r="AO14" s="93">
        <f t="shared" si="24"/>
        <v>246982.0589921794</v>
      </c>
      <c r="AP14" s="93">
        <f t="shared" si="24"/>
        <v>248254.01476465969</v>
      </c>
      <c r="AQ14" s="93">
        <f t="shared" si="24"/>
        <v>249529.15042657126</v>
      </c>
      <c r="AR14" s="93">
        <f t="shared" si="24"/>
        <v>250807.47392763768</v>
      </c>
      <c r="AS14" s="93">
        <f t="shared" si="24"/>
        <v>252088.99323745683</v>
      </c>
      <c r="AT14" s="93">
        <f t="shared" si="24"/>
        <v>253373.71634555043</v>
      </c>
      <c r="AU14" s="93">
        <f t="shared" si="24"/>
        <v>254661.65126141428</v>
      </c>
      <c r="AV14" s="93">
        <f t="shared" si="24"/>
        <v>255952.8060145679</v>
      </c>
      <c r="AW14" s="93">
        <f t="shared" si="24"/>
        <v>257247.18865460437</v>
      </c>
      <c r="AX14" s="93">
        <f t="shared" si="24"/>
        <v>258544.80725124071</v>
      </c>
      <c r="AY14" s="93">
        <f t="shared" si="24"/>
        <v>259845.66989436874</v>
      </c>
      <c r="AZ14" s="93">
        <f t="shared" si="24"/>
        <v>261149.78469410469</v>
      </c>
      <c r="BA14" s="93">
        <f t="shared" si="24"/>
        <v>262457.15978083992</v>
      </c>
      <c r="BB14" s="93">
        <f t="shared" si="24"/>
        <v>263767.80330529215</v>
      </c>
      <c r="BC14" s="93">
        <f t="shared" si="24"/>
        <v>265081.72343855503</v>
      </c>
      <c r="BD14" s="93">
        <f t="shared" si="24"/>
        <v>266398.92837215157</v>
      </c>
      <c r="BE14" s="93">
        <f t="shared" si="24"/>
        <v>0</v>
      </c>
      <c r="BF14" s="93">
        <f t="shared" si="24"/>
        <v>0</v>
      </c>
      <c r="BG14" s="93">
        <f t="shared" si="24"/>
        <v>0</v>
      </c>
      <c r="BH14" s="93">
        <f t="shared" si="24"/>
        <v>0</v>
      </c>
      <c r="BI14" s="93">
        <f t="shared" si="24"/>
        <v>0</v>
      </c>
      <c r="BJ14" s="93">
        <f t="shared" si="24"/>
        <v>0</v>
      </c>
      <c r="BK14" s="93">
        <f t="shared" si="24"/>
        <v>0</v>
      </c>
      <c r="BL14" s="93">
        <f t="shared" si="24"/>
        <v>0</v>
      </c>
      <c r="BM14" s="93">
        <f t="shared" si="24"/>
        <v>0</v>
      </c>
      <c r="BN14" s="93">
        <f t="shared" si="24"/>
        <v>0</v>
      </c>
      <c r="BO14" s="93">
        <f t="shared" si="24"/>
        <v>0</v>
      </c>
      <c r="BP14" s="93">
        <f t="shared" si="24"/>
        <v>0</v>
      </c>
      <c r="BQ14" s="93">
        <f t="shared" si="24"/>
        <v>0</v>
      </c>
      <c r="BR14" s="93">
        <f t="shared" si="24"/>
        <v>0</v>
      </c>
      <c r="BS14" s="93">
        <f t="shared" si="24"/>
        <v>0</v>
      </c>
      <c r="BT14" s="93">
        <f t="shared" si="24"/>
        <v>0</v>
      </c>
      <c r="BU14" s="93">
        <f t="shared" si="24"/>
        <v>0</v>
      </c>
      <c r="BV14" s="93">
        <f t="shared" ref="BV14:DD14" si="25">SUM(BV9:BV12)</f>
        <v>0</v>
      </c>
      <c r="BW14" s="93">
        <f t="shared" si="25"/>
        <v>0</v>
      </c>
      <c r="BX14" s="93">
        <f t="shared" si="25"/>
        <v>0</v>
      </c>
      <c r="BY14" s="93">
        <f t="shared" si="25"/>
        <v>0</v>
      </c>
      <c r="BZ14" s="93">
        <f t="shared" si="25"/>
        <v>0</v>
      </c>
      <c r="CA14" s="93">
        <f t="shared" si="25"/>
        <v>0</v>
      </c>
      <c r="CB14" s="93">
        <f t="shared" si="25"/>
        <v>0</v>
      </c>
      <c r="CC14" s="93">
        <f t="shared" si="25"/>
        <v>0</v>
      </c>
      <c r="CD14" s="93">
        <f t="shared" si="25"/>
        <v>0</v>
      </c>
      <c r="CE14" s="93">
        <f t="shared" si="25"/>
        <v>0</v>
      </c>
      <c r="CF14" s="93">
        <f t="shared" si="25"/>
        <v>0</v>
      </c>
      <c r="CG14" s="93">
        <f t="shared" si="25"/>
        <v>0</v>
      </c>
      <c r="CH14" s="93">
        <f t="shared" si="25"/>
        <v>0</v>
      </c>
      <c r="CI14" s="93">
        <f t="shared" si="25"/>
        <v>0</v>
      </c>
      <c r="CJ14" s="93">
        <f t="shared" si="25"/>
        <v>0</v>
      </c>
      <c r="CK14" s="93">
        <f t="shared" si="25"/>
        <v>0</v>
      </c>
      <c r="CL14" s="93">
        <f t="shared" si="25"/>
        <v>0</v>
      </c>
      <c r="CM14" s="93">
        <f t="shared" si="25"/>
        <v>0</v>
      </c>
      <c r="CN14" s="93">
        <f t="shared" si="25"/>
        <v>0</v>
      </c>
      <c r="CO14" s="93">
        <f t="shared" si="25"/>
        <v>0</v>
      </c>
      <c r="CP14" s="93">
        <f t="shared" si="25"/>
        <v>0</v>
      </c>
      <c r="CQ14" s="93">
        <f t="shared" si="25"/>
        <v>0</v>
      </c>
      <c r="CR14" s="93">
        <f t="shared" si="25"/>
        <v>0</v>
      </c>
      <c r="CS14" s="93">
        <f t="shared" si="25"/>
        <v>0</v>
      </c>
      <c r="CT14" s="93">
        <f t="shared" si="25"/>
        <v>0</v>
      </c>
      <c r="CU14" s="93">
        <f t="shared" si="25"/>
        <v>0</v>
      </c>
      <c r="CV14" s="93">
        <f t="shared" si="25"/>
        <v>0</v>
      </c>
      <c r="CW14" s="93">
        <f t="shared" si="25"/>
        <v>0</v>
      </c>
      <c r="CX14" s="93">
        <f t="shared" si="25"/>
        <v>0</v>
      </c>
      <c r="CY14" s="93">
        <f t="shared" si="25"/>
        <v>0</v>
      </c>
      <c r="CZ14" s="93">
        <f t="shared" si="25"/>
        <v>0</v>
      </c>
      <c r="DA14" s="93">
        <f t="shared" si="25"/>
        <v>0</v>
      </c>
      <c r="DB14" s="93">
        <f t="shared" si="25"/>
        <v>0</v>
      </c>
      <c r="DC14" s="93">
        <f t="shared" si="25"/>
        <v>0</v>
      </c>
      <c r="DD14" s="93">
        <f t="shared" si="25"/>
        <v>0</v>
      </c>
      <c r="DE14" s="93">
        <f t="shared" si="3"/>
        <v>11356595.759566542</v>
      </c>
    </row>
    <row r="15" spans="2:109">
      <c r="B15" t="s">
        <v>502</v>
      </c>
      <c r="C15" s="86">
        <f>Carátula!$G$51</f>
        <v>0</v>
      </c>
      <c r="E15" s="91"/>
      <c r="G15" t="s">
        <v>244</v>
      </c>
      <c r="H15" s="86">
        <f t="shared" ref="H15:AN15" si="26">IF(H64&gt;0,-$C$34*H14,0)</f>
        <v>0</v>
      </c>
      <c r="I15" s="86">
        <f t="shared" si="26"/>
        <v>-56136.214868175004</v>
      </c>
      <c r="J15" s="86">
        <f t="shared" si="26"/>
        <v>-56453.270574095404</v>
      </c>
      <c r="K15" s="86">
        <f t="shared" si="26"/>
        <v>-56771.118919280663</v>
      </c>
      <c r="L15" s="86">
        <f t="shared" si="26"/>
        <v>-57089.761885328837</v>
      </c>
      <c r="M15" s="86">
        <f t="shared" si="26"/>
        <v>-57409.201458792151</v>
      </c>
      <c r="N15" s="86">
        <f t="shared" si="26"/>
        <v>-57729.439631189154</v>
      </c>
      <c r="O15" s="86">
        <f t="shared" si="26"/>
        <v>-58050.47839901712</v>
      </c>
      <c r="P15" s="86">
        <f t="shared" si="26"/>
        <v>-58372.319763764637</v>
      </c>
      <c r="Q15" s="86">
        <f t="shared" si="26"/>
        <v>-58694.96573192405</v>
      </c>
      <c r="R15" s="86">
        <f t="shared" si="26"/>
        <v>-59018.418315003873</v>
      </c>
      <c r="S15" s="86">
        <f t="shared" si="26"/>
        <v>-59342.679529541383</v>
      </c>
      <c r="T15" s="86">
        <f t="shared" si="26"/>
        <v>-59667.751397115178</v>
      </c>
      <c r="U15" s="86">
        <f t="shared" si="26"/>
        <v>-59993.635944358</v>
      </c>
      <c r="V15" s="86">
        <f t="shared" si="26"/>
        <v>-60320.335202968898</v>
      </c>
      <c r="W15" s="86">
        <f t="shared" si="26"/>
        <v>-60647.851209726286</v>
      </c>
      <c r="X15" s="86">
        <f t="shared" si="26"/>
        <v>-60976.186006500619</v>
      </c>
      <c r="Y15" s="86">
        <f t="shared" si="26"/>
        <v>-61305.341640266866</v>
      </c>
      <c r="Z15" s="86">
        <f t="shared" si="26"/>
        <v>-61635.320163117489</v>
      </c>
      <c r="AA15" s="86">
        <f t="shared" si="26"/>
        <v>-61966.123632275332</v>
      </c>
      <c r="AB15" s="86">
        <f t="shared" si="26"/>
        <v>-62297.75411010602</v>
      </c>
      <c r="AC15" s="86">
        <f t="shared" si="26"/>
        <v>-62630.213664131254</v>
      </c>
      <c r="AD15" s="86">
        <f t="shared" si="26"/>
        <v>-62963.504367041562</v>
      </c>
      <c r="AE15" s="86">
        <f t="shared" si="26"/>
        <v>-63297.628296709125</v>
      </c>
      <c r="AF15" s="86">
        <f t="shared" si="26"/>
        <v>-63632.587536200932</v>
      </c>
      <c r="AG15" s="86">
        <f t="shared" si="26"/>
        <v>-63968.384173791434</v>
      </c>
      <c r="AH15" s="86">
        <f t="shared" si="26"/>
        <v>-64305.020302975921</v>
      </c>
      <c r="AI15" s="86">
        <f t="shared" si="26"/>
        <v>-64642.498022483313</v>
      </c>
      <c r="AJ15" s="86">
        <f t="shared" si="26"/>
        <v>-64980.819436289537</v>
      </c>
      <c r="AK15" s="86">
        <f t="shared" si="26"/>
        <v>-65319.986653630243</v>
      </c>
      <c r="AL15" s="86">
        <f t="shared" si="26"/>
        <v>-65660.001789014364</v>
      </c>
      <c r="AM15" s="86">
        <f t="shared" si="26"/>
        <v>-66000.866962236847</v>
      </c>
      <c r="AN15" s="86">
        <f t="shared" si="26"/>
        <v>-66342.584298392438</v>
      </c>
      <c r="AO15" s="86">
        <f t="shared" ref="AO15:BT15" si="27">IF(AO64&gt;0,-$C$34*AO14,0)</f>
        <v>-66685.155927888438</v>
      </c>
      <c r="AP15" s="86">
        <f t="shared" si="27"/>
        <v>-67028.583986458121</v>
      </c>
      <c r="AQ15" s="86">
        <f t="shared" si="27"/>
        <v>-67372.870615174237</v>
      </c>
      <c r="AR15" s="86">
        <f t="shared" si="27"/>
        <v>-67718.017960462181</v>
      </c>
      <c r="AS15" s="86">
        <f t="shared" si="27"/>
        <v>-68064.028174113351</v>
      </c>
      <c r="AT15" s="86">
        <f t="shared" si="27"/>
        <v>-68410.903413298627</v>
      </c>
      <c r="AU15" s="86">
        <f t="shared" si="27"/>
        <v>-68758.645840581856</v>
      </c>
      <c r="AV15" s="86">
        <f t="shared" si="27"/>
        <v>-69107.257623933343</v>
      </c>
      <c r="AW15" s="86">
        <f t="shared" si="27"/>
        <v>-69456.740936743183</v>
      </c>
      <c r="AX15" s="86">
        <f t="shared" si="27"/>
        <v>-69807.097957834994</v>
      </c>
      <c r="AY15" s="86">
        <f t="shared" si="27"/>
        <v>-70158.330871479557</v>
      </c>
      <c r="AZ15" s="86">
        <f t="shared" si="27"/>
        <v>-70510.44186740827</v>
      </c>
      <c r="BA15" s="86">
        <f t="shared" si="27"/>
        <v>-70863.43314082679</v>
      </c>
      <c r="BB15" s="86">
        <f t="shared" si="27"/>
        <v>-71217.306892428882</v>
      </c>
      <c r="BC15" s="86">
        <f t="shared" si="27"/>
        <v>-71572.065328409866</v>
      </c>
      <c r="BD15" s="86">
        <f t="shared" si="27"/>
        <v>-71927.710660480923</v>
      </c>
      <c r="BE15" s="86">
        <f t="shared" si="27"/>
        <v>0</v>
      </c>
      <c r="BF15" s="86">
        <f t="shared" si="27"/>
        <v>0</v>
      </c>
      <c r="BG15" s="86">
        <f t="shared" si="27"/>
        <v>0</v>
      </c>
      <c r="BH15" s="86">
        <f t="shared" si="27"/>
        <v>0</v>
      </c>
      <c r="BI15" s="86">
        <f t="shared" si="27"/>
        <v>0</v>
      </c>
      <c r="BJ15" s="86">
        <f t="shared" si="27"/>
        <v>0</v>
      </c>
      <c r="BK15" s="86">
        <f t="shared" si="27"/>
        <v>0</v>
      </c>
      <c r="BL15" s="86">
        <f t="shared" si="27"/>
        <v>0</v>
      </c>
      <c r="BM15" s="86">
        <f t="shared" si="27"/>
        <v>0</v>
      </c>
      <c r="BN15" s="86">
        <f t="shared" si="27"/>
        <v>0</v>
      </c>
      <c r="BO15" s="86">
        <f t="shared" si="27"/>
        <v>0</v>
      </c>
      <c r="BP15" s="86">
        <f t="shared" si="27"/>
        <v>0</v>
      </c>
      <c r="BQ15" s="86">
        <f t="shared" si="27"/>
        <v>0</v>
      </c>
      <c r="BR15" s="86">
        <f t="shared" si="27"/>
        <v>0</v>
      </c>
      <c r="BS15" s="86">
        <f t="shared" si="27"/>
        <v>0</v>
      </c>
      <c r="BT15" s="86">
        <f t="shared" si="27"/>
        <v>0</v>
      </c>
      <c r="BU15" s="86">
        <f t="shared" ref="BU15:CZ15" si="28">IF(BU64&gt;0,-$C$34*BU14,0)</f>
        <v>0</v>
      </c>
      <c r="BV15" s="86">
        <f t="shared" si="28"/>
        <v>0</v>
      </c>
      <c r="BW15" s="86">
        <f t="shared" si="28"/>
        <v>0</v>
      </c>
      <c r="BX15" s="86">
        <f t="shared" si="28"/>
        <v>0</v>
      </c>
      <c r="BY15" s="86">
        <f t="shared" si="28"/>
        <v>0</v>
      </c>
      <c r="BZ15" s="86">
        <f t="shared" si="28"/>
        <v>0</v>
      </c>
      <c r="CA15" s="86">
        <f t="shared" si="28"/>
        <v>0</v>
      </c>
      <c r="CB15" s="86">
        <f t="shared" si="28"/>
        <v>0</v>
      </c>
      <c r="CC15" s="86">
        <f t="shared" si="28"/>
        <v>0</v>
      </c>
      <c r="CD15" s="86">
        <f t="shared" si="28"/>
        <v>0</v>
      </c>
      <c r="CE15" s="86">
        <f t="shared" si="28"/>
        <v>0</v>
      </c>
      <c r="CF15" s="86">
        <f t="shared" si="28"/>
        <v>0</v>
      </c>
      <c r="CG15" s="86">
        <f t="shared" si="28"/>
        <v>0</v>
      </c>
      <c r="CH15" s="86">
        <f t="shared" si="28"/>
        <v>0</v>
      </c>
      <c r="CI15" s="86">
        <f t="shared" si="28"/>
        <v>0</v>
      </c>
      <c r="CJ15" s="86">
        <f t="shared" si="28"/>
        <v>0</v>
      </c>
      <c r="CK15" s="86">
        <f t="shared" si="28"/>
        <v>0</v>
      </c>
      <c r="CL15" s="86">
        <f t="shared" si="28"/>
        <v>0</v>
      </c>
      <c r="CM15" s="86">
        <f t="shared" si="28"/>
        <v>0</v>
      </c>
      <c r="CN15" s="86">
        <f t="shared" si="28"/>
        <v>0</v>
      </c>
      <c r="CO15" s="86">
        <f t="shared" si="28"/>
        <v>0</v>
      </c>
      <c r="CP15" s="86">
        <f t="shared" si="28"/>
        <v>0</v>
      </c>
      <c r="CQ15" s="86">
        <f t="shared" si="28"/>
        <v>0</v>
      </c>
      <c r="CR15" s="86">
        <f t="shared" si="28"/>
        <v>0</v>
      </c>
      <c r="CS15" s="86">
        <f t="shared" si="28"/>
        <v>0</v>
      </c>
      <c r="CT15" s="86">
        <f t="shared" si="28"/>
        <v>0</v>
      </c>
      <c r="CU15" s="86">
        <f t="shared" si="28"/>
        <v>0</v>
      </c>
      <c r="CV15" s="86">
        <f t="shared" si="28"/>
        <v>0</v>
      </c>
      <c r="CW15" s="86">
        <f t="shared" si="28"/>
        <v>0</v>
      </c>
      <c r="CX15" s="86">
        <f t="shared" si="28"/>
        <v>0</v>
      </c>
      <c r="CY15" s="86">
        <f t="shared" si="28"/>
        <v>0</v>
      </c>
      <c r="CZ15" s="86">
        <f t="shared" si="28"/>
        <v>0</v>
      </c>
      <c r="DA15" s="86">
        <f t="shared" ref="DA15:DD15" si="29">IF(DA64&gt;0,-$C$34*DA14,0)</f>
        <v>0</v>
      </c>
      <c r="DB15" s="86">
        <f t="shared" si="29"/>
        <v>0</v>
      </c>
      <c r="DC15" s="86">
        <f t="shared" si="29"/>
        <v>0</v>
      </c>
      <c r="DD15" s="86">
        <f t="shared" si="29"/>
        <v>0</v>
      </c>
      <c r="DE15" s="86">
        <f t="shared" si="3"/>
        <v>-3066280.8550829669</v>
      </c>
    </row>
    <row r="16" spans="2:109">
      <c r="B16" t="s">
        <v>501</v>
      </c>
      <c r="C16" s="86">
        <f>Carátula!$G$52</f>
        <v>0</v>
      </c>
      <c r="E16" s="91">
        <f>(C14-C14*(1-C26)+C16)*(SUM(C10:C11)+C10*C13)</f>
        <v>12566412</v>
      </c>
      <c r="G16" s="83" t="s">
        <v>243</v>
      </c>
      <c r="H16" s="93">
        <f>SUM(H14:H15)</f>
        <v>0</v>
      </c>
      <c r="I16" s="93">
        <f>SUM(I14:I15)</f>
        <v>151775.69205099167</v>
      </c>
      <c r="J16" s="93">
        <f t="shared" ref="J16:BU16" si="30">SUM(J14:J15)</f>
        <v>152632.91673736906</v>
      </c>
      <c r="K16" s="93">
        <f t="shared" si="30"/>
        <v>153492.28448546253</v>
      </c>
      <c r="L16" s="93">
        <f t="shared" si="30"/>
        <v>154353.80065292612</v>
      </c>
      <c r="M16" s="93">
        <f t="shared" si="30"/>
        <v>155217.47061080841</v>
      </c>
      <c r="N16" s="93">
        <f t="shared" si="30"/>
        <v>156083.29974358546</v>
      </c>
      <c r="O16" s="93">
        <f t="shared" si="30"/>
        <v>156951.2934491944</v>
      </c>
      <c r="P16" s="93">
        <f t="shared" si="30"/>
        <v>157821.45713906735</v>
      </c>
      <c r="Q16" s="93">
        <f t="shared" si="30"/>
        <v>158693.796238165</v>
      </c>
      <c r="R16" s="93">
        <f t="shared" si="30"/>
        <v>159568.31618501048</v>
      </c>
      <c r="S16" s="93">
        <f t="shared" si="30"/>
        <v>160445.02243172299</v>
      </c>
      <c r="T16" s="93">
        <f t="shared" si="30"/>
        <v>161323.92044405214</v>
      </c>
      <c r="U16" s="93">
        <f t="shared" si="30"/>
        <v>162205.01570141234</v>
      </c>
      <c r="V16" s="93">
        <f t="shared" si="30"/>
        <v>163088.31369691587</v>
      </c>
      <c r="W16" s="93">
        <f t="shared" si="30"/>
        <v>163973.81993740809</v>
      </c>
      <c r="X16" s="93">
        <f t="shared" si="30"/>
        <v>164861.53994350164</v>
      </c>
      <c r="Y16" s="93">
        <f t="shared" si="30"/>
        <v>165751.47924961039</v>
      </c>
      <c r="Z16" s="93">
        <f t="shared" si="30"/>
        <v>166643.64340398432</v>
      </c>
      <c r="AA16" s="93">
        <f t="shared" si="30"/>
        <v>167538.03796874441</v>
      </c>
      <c r="AB16" s="93">
        <f t="shared" si="30"/>
        <v>168434.66851991625</v>
      </c>
      <c r="AC16" s="93">
        <f t="shared" si="30"/>
        <v>169333.54064746597</v>
      </c>
      <c r="AD16" s="93">
        <f t="shared" si="30"/>
        <v>170234.65995533456</v>
      </c>
      <c r="AE16" s="93">
        <f t="shared" si="30"/>
        <v>171138.0320614728</v>
      </c>
      <c r="AF16" s="93">
        <f t="shared" si="30"/>
        <v>172043.66259787657</v>
      </c>
      <c r="AG16" s="93">
        <f t="shared" si="30"/>
        <v>172951.55721062125</v>
      </c>
      <c r="AH16" s="93">
        <f t="shared" si="30"/>
        <v>173861.72155989785</v>
      </c>
      <c r="AI16" s="93">
        <f t="shared" si="30"/>
        <v>174774.16132004745</v>
      </c>
      <c r="AJ16" s="93">
        <f t="shared" si="30"/>
        <v>175688.88217959763</v>
      </c>
      <c r="AK16" s="93">
        <f t="shared" si="30"/>
        <v>176605.88984129656</v>
      </c>
      <c r="AL16" s="93">
        <f t="shared" si="30"/>
        <v>177525.19002214994</v>
      </c>
      <c r="AM16" s="93">
        <f t="shared" si="30"/>
        <v>178446.78845345517</v>
      </c>
      <c r="AN16" s="93">
        <f t="shared" si="30"/>
        <v>179370.69088083881</v>
      </c>
      <c r="AO16" s="93">
        <f t="shared" si="30"/>
        <v>180296.90306429096</v>
      </c>
      <c r="AP16" s="93">
        <f t="shared" si="30"/>
        <v>181225.43077820155</v>
      </c>
      <c r="AQ16" s="93">
        <f t="shared" si="30"/>
        <v>182156.27981139702</v>
      </c>
      <c r="AR16" s="93">
        <f t="shared" si="30"/>
        <v>183089.45596717548</v>
      </c>
      <c r="AS16" s="93">
        <f t="shared" si="30"/>
        <v>184024.96506334346</v>
      </c>
      <c r="AT16" s="93">
        <f t="shared" si="30"/>
        <v>184962.81293225181</v>
      </c>
      <c r="AU16" s="93">
        <f t="shared" si="30"/>
        <v>185903.00542083243</v>
      </c>
      <c r="AV16" s="93">
        <f t="shared" si="30"/>
        <v>186845.54839063456</v>
      </c>
      <c r="AW16" s="93">
        <f t="shared" si="30"/>
        <v>187790.44771786119</v>
      </c>
      <c r="AX16" s="93">
        <f t="shared" si="30"/>
        <v>188737.7092934057</v>
      </c>
      <c r="AY16" s="93">
        <f t="shared" si="30"/>
        <v>189687.33902288918</v>
      </c>
      <c r="AZ16" s="93">
        <f t="shared" si="30"/>
        <v>190639.3428266964</v>
      </c>
      <c r="BA16" s="93">
        <f t="shared" si="30"/>
        <v>191593.72664001313</v>
      </c>
      <c r="BB16" s="93">
        <f t="shared" si="30"/>
        <v>192550.49641286326</v>
      </c>
      <c r="BC16" s="93">
        <f t="shared" si="30"/>
        <v>193509.65811014516</v>
      </c>
      <c r="BD16" s="93">
        <f t="shared" si="30"/>
        <v>194471.21771167064</v>
      </c>
      <c r="BE16" s="93">
        <f t="shared" si="30"/>
        <v>0</v>
      </c>
      <c r="BF16" s="93">
        <f t="shared" si="30"/>
        <v>0</v>
      </c>
      <c r="BG16" s="93">
        <f t="shared" si="30"/>
        <v>0</v>
      </c>
      <c r="BH16" s="93">
        <f t="shared" si="30"/>
        <v>0</v>
      </c>
      <c r="BI16" s="93">
        <f t="shared" si="30"/>
        <v>0</v>
      </c>
      <c r="BJ16" s="93">
        <f t="shared" si="30"/>
        <v>0</v>
      </c>
      <c r="BK16" s="93">
        <f t="shared" si="30"/>
        <v>0</v>
      </c>
      <c r="BL16" s="93">
        <f t="shared" si="30"/>
        <v>0</v>
      </c>
      <c r="BM16" s="93">
        <f t="shared" si="30"/>
        <v>0</v>
      </c>
      <c r="BN16" s="93">
        <f t="shared" si="30"/>
        <v>0</v>
      </c>
      <c r="BO16" s="93">
        <f t="shared" si="30"/>
        <v>0</v>
      </c>
      <c r="BP16" s="93">
        <f t="shared" si="30"/>
        <v>0</v>
      </c>
      <c r="BQ16" s="93">
        <f t="shared" si="30"/>
        <v>0</v>
      </c>
      <c r="BR16" s="93">
        <f t="shared" si="30"/>
        <v>0</v>
      </c>
      <c r="BS16" s="93">
        <f t="shared" si="30"/>
        <v>0</v>
      </c>
      <c r="BT16" s="93">
        <f t="shared" si="30"/>
        <v>0</v>
      </c>
      <c r="BU16" s="93">
        <f t="shared" si="30"/>
        <v>0</v>
      </c>
      <c r="BV16" s="93">
        <f t="shared" ref="BV16:DD16" si="31">SUM(BV14:BV15)</f>
        <v>0</v>
      </c>
      <c r="BW16" s="93">
        <f t="shared" si="31"/>
        <v>0</v>
      </c>
      <c r="BX16" s="93">
        <f t="shared" si="31"/>
        <v>0</v>
      </c>
      <c r="BY16" s="93">
        <f t="shared" si="31"/>
        <v>0</v>
      </c>
      <c r="BZ16" s="93">
        <f t="shared" si="31"/>
        <v>0</v>
      </c>
      <c r="CA16" s="93">
        <f t="shared" si="31"/>
        <v>0</v>
      </c>
      <c r="CB16" s="93">
        <f t="shared" si="31"/>
        <v>0</v>
      </c>
      <c r="CC16" s="93">
        <f t="shared" si="31"/>
        <v>0</v>
      </c>
      <c r="CD16" s="93">
        <f t="shared" si="31"/>
        <v>0</v>
      </c>
      <c r="CE16" s="93">
        <f t="shared" si="31"/>
        <v>0</v>
      </c>
      <c r="CF16" s="93">
        <f t="shared" si="31"/>
        <v>0</v>
      </c>
      <c r="CG16" s="93">
        <f t="shared" si="31"/>
        <v>0</v>
      </c>
      <c r="CH16" s="93">
        <f t="shared" si="31"/>
        <v>0</v>
      </c>
      <c r="CI16" s="93">
        <f t="shared" si="31"/>
        <v>0</v>
      </c>
      <c r="CJ16" s="93">
        <f t="shared" si="31"/>
        <v>0</v>
      </c>
      <c r="CK16" s="93">
        <f t="shared" si="31"/>
        <v>0</v>
      </c>
      <c r="CL16" s="93">
        <f t="shared" si="31"/>
        <v>0</v>
      </c>
      <c r="CM16" s="93">
        <f t="shared" si="31"/>
        <v>0</v>
      </c>
      <c r="CN16" s="93">
        <f t="shared" si="31"/>
        <v>0</v>
      </c>
      <c r="CO16" s="93">
        <f t="shared" si="31"/>
        <v>0</v>
      </c>
      <c r="CP16" s="93">
        <f t="shared" si="31"/>
        <v>0</v>
      </c>
      <c r="CQ16" s="93">
        <f t="shared" si="31"/>
        <v>0</v>
      </c>
      <c r="CR16" s="93">
        <f t="shared" si="31"/>
        <v>0</v>
      </c>
      <c r="CS16" s="93">
        <f t="shared" si="31"/>
        <v>0</v>
      </c>
      <c r="CT16" s="93">
        <f t="shared" si="31"/>
        <v>0</v>
      </c>
      <c r="CU16" s="93">
        <f t="shared" si="31"/>
        <v>0</v>
      </c>
      <c r="CV16" s="93">
        <f t="shared" si="31"/>
        <v>0</v>
      </c>
      <c r="CW16" s="93">
        <f t="shared" si="31"/>
        <v>0</v>
      </c>
      <c r="CX16" s="93">
        <f t="shared" si="31"/>
        <v>0</v>
      </c>
      <c r="CY16" s="93">
        <f t="shared" si="31"/>
        <v>0</v>
      </c>
      <c r="CZ16" s="93">
        <f t="shared" si="31"/>
        <v>0</v>
      </c>
      <c r="DA16" s="93">
        <f t="shared" si="31"/>
        <v>0</v>
      </c>
      <c r="DB16" s="93">
        <f t="shared" si="31"/>
        <v>0</v>
      </c>
      <c r="DC16" s="93">
        <f t="shared" si="31"/>
        <v>0</v>
      </c>
      <c r="DD16" s="93">
        <f t="shared" si="31"/>
        <v>0</v>
      </c>
      <c r="DE16" s="93">
        <f t="shared" si="3"/>
        <v>8290314.9044835744</v>
      </c>
    </row>
    <row r="17" spans="2:109">
      <c r="B17" t="s">
        <v>365</v>
      </c>
      <c r="C17" s="86">
        <f>Carátula!$G$67</f>
        <v>55000</v>
      </c>
      <c r="E17" s="91">
        <f>(C17)*(SUM(C10:C11)+C10*C13)</f>
        <v>56650</v>
      </c>
      <c r="G17" t="s">
        <v>178</v>
      </c>
      <c r="H17" s="86"/>
      <c r="I17" s="86">
        <f>-I13</f>
        <v>261800.25</v>
      </c>
      <c r="J17" s="86">
        <f t="shared" ref="J17:BU17" si="32">-J13</f>
        <v>261800.25</v>
      </c>
      <c r="K17" s="86">
        <f t="shared" si="32"/>
        <v>261800.25</v>
      </c>
      <c r="L17" s="86">
        <f t="shared" si="32"/>
        <v>261800.25</v>
      </c>
      <c r="M17" s="86">
        <f>-M13</f>
        <v>261800.25</v>
      </c>
      <c r="N17" s="86">
        <f t="shared" si="32"/>
        <v>261800.25</v>
      </c>
      <c r="O17" s="86">
        <f t="shared" si="32"/>
        <v>261800.25</v>
      </c>
      <c r="P17" s="86">
        <f t="shared" si="32"/>
        <v>261800.25</v>
      </c>
      <c r="Q17" s="86">
        <f t="shared" si="32"/>
        <v>261800.25</v>
      </c>
      <c r="R17" s="86">
        <f t="shared" si="32"/>
        <v>261800.25</v>
      </c>
      <c r="S17" s="86">
        <f t="shared" si="32"/>
        <v>261800.25</v>
      </c>
      <c r="T17" s="86">
        <f t="shared" si="32"/>
        <v>261800.25</v>
      </c>
      <c r="U17" s="86">
        <f t="shared" si="32"/>
        <v>261800.25</v>
      </c>
      <c r="V17" s="86">
        <f t="shared" si="32"/>
        <v>261800.25</v>
      </c>
      <c r="W17" s="86">
        <f t="shared" si="32"/>
        <v>261800.25</v>
      </c>
      <c r="X17" s="86">
        <f t="shared" si="32"/>
        <v>261800.25</v>
      </c>
      <c r="Y17" s="86">
        <f t="shared" si="32"/>
        <v>261800.25</v>
      </c>
      <c r="Z17" s="86">
        <f t="shared" si="32"/>
        <v>261800.25</v>
      </c>
      <c r="AA17" s="86">
        <f t="shared" si="32"/>
        <v>261800.25</v>
      </c>
      <c r="AB17" s="86">
        <f t="shared" si="32"/>
        <v>261800.25</v>
      </c>
      <c r="AC17" s="86">
        <f t="shared" si="32"/>
        <v>261800.25</v>
      </c>
      <c r="AD17" s="86">
        <f t="shared" si="32"/>
        <v>261800.25</v>
      </c>
      <c r="AE17" s="86">
        <f t="shared" si="32"/>
        <v>261800.25</v>
      </c>
      <c r="AF17" s="86">
        <f t="shared" si="32"/>
        <v>261800.25</v>
      </c>
      <c r="AG17" s="86">
        <f t="shared" si="32"/>
        <v>261800.25</v>
      </c>
      <c r="AH17" s="86">
        <f t="shared" si="32"/>
        <v>261800.25</v>
      </c>
      <c r="AI17" s="86">
        <f t="shared" si="32"/>
        <v>261800.25</v>
      </c>
      <c r="AJ17" s="86">
        <f t="shared" si="32"/>
        <v>261800.25</v>
      </c>
      <c r="AK17" s="86">
        <f t="shared" si="32"/>
        <v>261800.25</v>
      </c>
      <c r="AL17" s="86">
        <f t="shared" si="32"/>
        <v>261800.25</v>
      </c>
      <c r="AM17" s="86">
        <f t="shared" si="32"/>
        <v>261800.25</v>
      </c>
      <c r="AN17" s="86">
        <f t="shared" si="32"/>
        <v>261800.25</v>
      </c>
      <c r="AO17" s="86">
        <f t="shared" si="32"/>
        <v>261800.25</v>
      </c>
      <c r="AP17" s="86">
        <f t="shared" si="32"/>
        <v>261800.25</v>
      </c>
      <c r="AQ17" s="86">
        <f t="shared" si="32"/>
        <v>261800.25</v>
      </c>
      <c r="AR17" s="86">
        <f t="shared" si="32"/>
        <v>261800.25</v>
      </c>
      <c r="AS17" s="86">
        <f t="shared" si="32"/>
        <v>261800.25</v>
      </c>
      <c r="AT17" s="86">
        <f t="shared" si="32"/>
        <v>261800.25</v>
      </c>
      <c r="AU17" s="86">
        <f t="shared" si="32"/>
        <v>261800.25</v>
      </c>
      <c r="AV17" s="86">
        <f t="shared" si="32"/>
        <v>261800.25</v>
      </c>
      <c r="AW17" s="86">
        <f t="shared" si="32"/>
        <v>261800.25</v>
      </c>
      <c r="AX17" s="86">
        <f t="shared" si="32"/>
        <v>261800.25</v>
      </c>
      <c r="AY17" s="86">
        <f t="shared" si="32"/>
        <v>261800.25</v>
      </c>
      <c r="AZ17" s="86">
        <f t="shared" si="32"/>
        <v>261800.25</v>
      </c>
      <c r="BA17" s="86">
        <f t="shared" si="32"/>
        <v>261800.25</v>
      </c>
      <c r="BB17" s="86">
        <f t="shared" si="32"/>
        <v>261800.25</v>
      </c>
      <c r="BC17" s="86">
        <f t="shared" si="32"/>
        <v>261800.25</v>
      </c>
      <c r="BD17" s="86">
        <f t="shared" si="32"/>
        <v>261800.25</v>
      </c>
      <c r="BE17" s="86">
        <f t="shared" si="32"/>
        <v>0</v>
      </c>
      <c r="BF17" s="86">
        <f t="shared" si="32"/>
        <v>0</v>
      </c>
      <c r="BG17" s="86">
        <f t="shared" si="32"/>
        <v>0</v>
      </c>
      <c r="BH17" s="86">
        <f t="shared" si="32"/>
        <v>0</v>
      </c>
      <c r="BI17" s="86">
        <f t="shared" si="32"/>
        <v>0</v>
      </c>
      <c r="BJ17" s="86">
        <f t="shared" si="32"/>
        <v>0</v>
      </c>
      <c r="BK17" s="86">
        <f t="shared" si="32"/>
        <v>0</v>
      </c>
      <c r="BL17" s="86">
        <f t="shared" si="32"/>
        <v>0</v>
      </c>
      <c r="BM17" s="86">
        <f t="shared" si="32"/>
        <v>0</v>
      </c>
      <c r="BN17" s="86">
        <f t="shared" si="32"/>
        <v>0</v>
      </c>
      <c r="BO17" s="86">
        <f t="shared" si="32"/>
        <v>0</v>
      </c>
      <c r="BP17" s="86">
        <f t="shared" si="32"/>
        <v>0</v>
      </c>
      <c r="BQ17" s="86">
        <f t="shared" si="32"/>
        <v>0</v>
      </c>
      <c r="BR17" s="86">
        <f t="shared" si="32"/>
        <v>0</v>
      </c>
      <c r="BS17" s="86">
        <f t="shared" si="32"/>
        <v>0</v>
      </c>
      <c r="BT17" s="86">
        <f t="shared" si="32"/>
        <v>0</v>
      </c>
      <c r="BU17" s="86">
        <f t="shared" si="32"/>
        <v>0</v>
      </c>
      <c r="BV17" s="86">
        <f t="shared" ref="BV17:DD17" si="33">-BV13</f>
        <v>0</v>
      </c>
      <c r="BW17" s="86">
        <f t="shared" si="33"/>
        <v>0</v>
      </c>
      <c r="BX17" s="86">
        <f t="shared" si="33"/>
        <v>0</v>
      </c>
      <c r="BY17" s="86">
        <f t="shared" si="33"/>
        <v>0</v>
      </c>
      <c r="BZ17" s="86">
        <f t="shared" si="33"/>
        <v>0</v>
      </c>
      <c r="CA17" s="86">
        <f t="shared" si="33"/>
        <v>0</v>
      </c>
      <c r="CB17" s="86">
        <f t="shared" si="33"/>
        <v>0</v>
      </c>
      <c r="CC17" s="86">
        <f t="shared" si="33"/>
        <v>0</v>
      </c>
      <c r="CD17" s="86">
        <f t="shared" si="33"/>
        <v>0</v>
      </c>
      <c r="CE17" s="86">
        <f t="shared" si="33"/>
        <v>0</v>
      </c>
      <c r="CF17" s="86">
        <f t="shared" si="33"/>
        <v>0</v>
      </c>
      <c r="CG17" s="86">
        <f t="shared" si="33"/>
        <v>0</v>
      </c>
      <c r="CH17" s="86">
        <f t="shared" si="33"/>
        <v>0</v>
      </c>
      <c r="CI17" s="86">
        <f t="shared" si="33"/>
        <v>0</v>
      </c>
      <c r="CJ17" s="86">
        <f t="shared" si="33"/>
        <v>0</v>
      </c>
      <c r="CK17" s="86">
        <f t="shared" si="33"/>
        <v>0</v>
      </c>
      <c r="CL17" s="86">
        <f t="shared" si="33"/>
        <v>0</v>
      </c>
      <c r="CM17" s="86">
        <f t="shared" si="33"/>
        <v>0</v>
      </c>
      <c r="CN17" s="86">
        <f t="shared" si="33"/>
        <v>0</v>
      </c>
      <c r="CO17" s="86">
        <f t="shared" si="33"/>
        <v>0</v>
      </c>
      <c r="CP17" s="86">
        <f t="shared" si="33"/>
        <v>0</v>
      </c>
      <c r="CQ17" s="86">
        <f t="shared" si="33"/>
        <v>0</v>
      </c>
      <c r="CR17" s="86">
        <f t="shared" si="33"/>
        <v>0</v>
      </c>
      <c r="CS17" s="86">
        <f t="shared" si="33"/>
        <v>0</v>
      </c>
      <c r="CT17" s="86">
        <f t="shared" si="33"/>
        <v>0</v>
      </c>
      <c r="CU17" s="86">
        <f t="shared" si="33"/>
        <v>0</v>
      </c>
      <c r="CV17" s="86">
        <f t="shared" si="33"/>
        <v>0</v>
      </c>
      <c r="CW17" s="86">
        <f t="shared" si="33"/>
        <v>0</v>
      </c>
      <c r="CX17" s="86">
        <f t="shared" si="33"/>
        <v>0</v>
      </c>
      <c r="CY17" s="86">
        <f t="shared" si="33"/>
        <v>0</v>
      </c>
      <c r="CZ17" s="86">
        <f t="shared" si="33"/>
        <v>0</v>
      </c>
      <c r="DA17" s="86">
        <f t="shared" si="33"/>
        <v>0</v>
      </c>
      <c r="DB17" s="86">
        <f t="shared" si="33"/>
        <v>0</v>
      </c>
      <c r="DC17" s="86">
        <f t="shared" si="33"/>
        <v>0</v>
      </c>
      <c r="DD17" s="86">
        <f t="shared" si="33"/>
        <v>0</v>
      </c>
      <c r="DE17" s="86">
        <f t="shared" si="3"/>
        <v>12566412</v>
      </c>
    </row>
    <row r="18" spans="2:109">
      <c r="B18" t="s">
        <v>265</v>
      </c>
      <c r="C18" s="86">
        <f>SUM(C14:C17)</f>
        <v>25472500</v>
      </c>
      <c r="E18" s="91">
        <f>E16+E14-SUM(I17:DD19)</f>
        <v>0</v>
      </c>
      <c r="G18" s="513" t="s">
        <v>505</v>
      </c>
      <c r="H18" s="512"/>
      <c r="I18" s="512">
        <f>IF(I$2=($C$5+$C$33),1,0)*((SUM($C$10:$C$11)+$C$10*$C$13)*($C$29))</f>
        <v>0</v>
      </c>
      <c r="J18" s="512">
        <f t="shared" ref="J18:BU18" si="34">IF(J$2=($C$5+$C$33),1,0)*((SUM($C$10:$C$11)+$C$10*$C$13)*($C$29))</f>
        <v>0</v>
      </c>
      <c r="K18" s="512">
        <f t="shared" si="34"/>
        <v>0</v>
      </c>
      <c r="L18" s="512">
        <f t="shared" si="34"/>
        <v>0</v>
      </c>
      <c r="M18" s="512">
        <f t="shared" si="34"/>
        <v>0</v>
      </c>
      <c r="N18" s="512">
        <f t="shared" si="34"/>
        <v>0</v>
      </c>
      <c r="O18" s="512">
        <f t="shared" si="34"/>
        <v>0</v>
      </c>
      <c r="P18" s="512">
        <f t="shared" si="34"/>
        <v>0</v>
      </c>
      <c r="Q18" s="512">
        <f t="shared" si="34"/>
        <v>0</v>
      </c>
      <c r="R18" s="512">
        <f t="shared" si="34"/>
        <v>0</v>
      </c>
      <c r="S18" s="512">
        <f t="shared" si="34"/>
        <v>0</v>
      </c>
      <c r="T18" s="512">
        <f t="shared" si="34"/>
        <v>0</v>
      </c>
      <c r="U18" s="512">
        <f t="shared" si="34"/>
        <v>0</v>
      </c>
      <c r="V18" s="512">
        <f t="shared" si="34"/>
        <v>0</v>
      </c>
      <c r="W18" s="512">
        <f t="shared" si="34"/>
        <v>0</v>
      </c>
      <c r="X18" s="512">
        <f t="shared" si="34"/>
        <v>0</v>
      </c>
      <c r="Y18" s="512">
        <f t="shared" si="34"/>
        <v>0</v>
      </c>
      <c r="Z18" s="512">
        <f t="shared" si="34"/>
        <v>0</v>
      </c>
      <c r="AA18" s="512">
        <f t="shared" si="34"/>
        <v>0</v>
      </c>
      <c r="AB18" s="512">
        <f t="shared" si="34"/>
        <v>0</v>
      </c>
      <c r="AC18" s="512">
        <f t="shared" si="34"/>
        <v>0</v>
      </c>
      <c r="AD18" s="512">
        <f t="shared" si="34"/>
        <v>0</v>
      </c>
      <c r="AE18" s="512">
        <f t="shared" si="34"/>
        <v>0</v>
      </c>
      <c r="AF18" s="512">
        <f t="shared" si="34"/>
        <v>0</v>
      </c>
      <c r="AG18" s="512">
        <f t="shared" si="34"/>
        <v>0</v>
      </c>
      <c r="AH18" s="512">
        <f t="shared" si="34"/>
        <v>0</v>
      </c>
      <c r="AI18" s="512">
        <f t="shared" si="34"/>
        <v>0</v>
      </c>
      <c r="AJ18" s="512">
        <f t="shared" si="34"/>
        <v>0</v>
      </c>
      <c r="AK18" s="512">
        <f t="shared" si="34"/>
        <v>0</v>
      </c>
      <c r="AL18" s="512">
        <f t="shared" si="34"/>
        <v>0</v>
      </c>
      <c r="AM18" s="512">
        <f t="shared" si="34"/>
        <v>0</v>
      </c>
      <c r="AN18" s="512">
        <f t="shared" si="34"/>
        <v>0</v>
      </c>
      <c r="AO18" s="512">
        <f t="shared" si="34"/>
        <v>0</v>
      </c>
      <c r="AP18" s="512">
        <f t="shared" si="34"/>
        <v>0</v>
      </c>
      <c r="AQ18" s="512">
        <f t="shared" si="34"/>
        <v>0</v>
      </c>
      <c r="AR18" s="512">
        <f t="shared" si="34"/>
        <v>0</v>
      </c>
      <c r="AS18" s="512">
        <f t="shared" si="34"/>
        <v>0</v>
      </c>
      <c r="AT18" s="512">
        <f t="shared" si="34"/>
        <v>0</v>
      </c>
      <c r="AU18" s="512">
        <f t="shared" si="34"/>
        <v>0</v>
      </c>
      <c r="AV18" s="512">
        <f t="shared" si="34"/>
        <v>0</v>
      </c>
      <c r="AW18" s="512">
        <f t="shared" si="34"/>
        <v>0</v>
      </c>
      <c r="AX18" s="512">
        <f t="shared" si="34"/>
        <v>0</v>
      </c>
      <c r="AY18" s="512">
        <f t="shared" si="34"/>
        <v>0</v>
      </c>
      <c r="AZ18" s="512">
        <f t="shared" si="34"/>
        <v>0</v>
      </c>
      <c r="BA18" s="512">
        <f t="shared" si="34"/>
        <v>0</v>
      </c>
      <c r="BB18" s="512">
        <f t="shared" si="34"/>
        <v>0</v>
      </c>
      <c r="BC18" s="512">
        <f t="shared" si="34"/>
        <v>0</v>
      </c>
      <c r="BD18" s="512">
        <f t="shared" si="34"/>
        <v>0</v>
      </c>
      <c r="BE18" s="512">
        <f t="shared" si="34"/>
        <v>0</v>
      </c>
      <c r="BF18" s="512">
        <f t="shared" si="34"/>
        <v>0</v>
      </c>
      <c r="BG18" s="512">
        <f t="shared" si="34"/>
        <v>0</v>
      </c>
      <c r="BH18" s="512">
        <f t="shared" si="34"/>
        <v>0</v>
      </c>
      <c r="BI18" s="512">
        <f t="shared" si="34"/>
        <v>0</v>
      </c>
      <c r="BJ18" s="512">
        <f t="shared" si="34"/>
        <v>0</v>
      </c>
      <c r="BK18" s="512">
        <f t="shared" si="34"/>
        <v>0</v>
      </c>
      <c r="BL18" s="512">
        <f t="shared" si="34"/>
        <v>0</v>
      </c>
      <c r="BM18" s="512">
        <f t="shared" si="34"/>
        <v>0</v>
      </c>
      <c r="BN18" s="512">
        <f t="shared" si="34"/>
        <v>0</v>
      </c>
      <c r="BO18" s="512">
        <f t="shared" si="34"/>
        <v>0</v>
      </c>
      <c r="BP18" s="512">
        <f t="shared" si="34"/>
        <v>0</v>
      </c>
      <c r="BQ18" s="512">
        <f t="shared" si="34"/>
        <v>0</v>
      </c>
      <c r="BR18" s="512">
        <f t="shared" si="34"/>
        <v>0</v>
      </c>
      <c r="BS18" s="512">
        <f t="shared" si="34"/>
        <v>0</v>
      </c>
      <c r="BT18" s="512">
        <f t="shared" si="34"/>
        <v>0</v>
      </c>
      <c r="BU18" s="512">
        <f t="shared" si="34"/>
        <v>0</v>
      </c>
      <c r="BV18" s="512">
        <f t="shared" ref="BV18:DD18" si="35">IF(BV$2=($C$5+$C$33),1,0)*((SUM($C$10:$C$11)+$C$10*$C$13)*($C$29))</f>
        <v>0</v>
      </c>
      <c r="BW18" s="512">
        <f t="shared" si="35"/>
        <v>0</v>
      </c>
      <c r="BX18" s="512">
        <f t="shared" si="35"/>
        <v>0</v>
      </c>
      <c r="BY18" s="512">
        <f t="shared" si="35"/>
        <v>0</v>
      </c>
      <c r="BZ18" s="512">
        <f t="shared" si="35"/>
        <v>0</v>
      </c>
      <c r="CA18" s="512">
        <f t="shared" si="35"/>
        <v>0</v>
      </c>
      <c r="CB18" s="512">
        <f t="shared" si="35"/>
        <v>0</v>
      </c>
      <c r="CC18" s="512">
        <f t="shared" si="35"/>
        <v>0</v>
      </c>
      <c r="CD18" s="512">
        <f t="shared" si="35"/>
        <v>0</v>
      </c>
      <c r="CE18" s="512">
        <f t="shared" si="35"/>
        <v>0</v>
      </c>
      <c r="CF18" s="512">
        <f t="shared" si="35"/>
        <v>0</v>
      </c>
      <c r="CG18" s="512">
        <f t="shared" si="35"/>
        <v>0</v>
      </c>
      <c r="CH18" s="512">
        <f t="shared" si="35"/>
        <v>0</v>
      </c>
      <c r="CI18" s="512">
        <f t="shared" si="35"/>
        <v>0</v>
      </c>
      <c r="CJ18" s="512">
        <f t="shared" si="35"/>
        <v>0</v>
      </c>
      <c r="CK18" s="512">
        <f t="shared" si="35"/>
        <v>0</v>
      </c>
      <c r="CL18" s="512">
        <f t="shared" si="35"/>
        <v>0</v>
      </c>
      <c r="CM18" s="512">
        <f t="shared" si="35"/>
        <v>0</v>
      </c>
      <c r="CN18" s="512">
        <f t="shared" si="35"/>
        <v>0</v>
      </c>
      <c r="CO18" s="512">
        <f t="shared" si="35"/>
        <v>0</v>
      </c>
      <c r="CP18" s="512">
        <f t="shared" si="35"/>
        <v>0</v>
      </c>
      <c r="CQ18" s="512">
        <f t="shared" si="35"/>
        <v>0</v>
      </c>
      <c r="CR18" s="512">
        <f t="shared" si="35"/>
        <v>0</v>
      </c>
      <c r="CS18" s="512">
        <f t="shared" si="35"/>
        <v>0</v>
      </c>
      <c r="CT18" s="512">
        <f t="shared" si="35"/>
        <v>0</v>
      </c>
      <c r="CU18" s="512">
        <f t="shared" si="35"/>
        <v>0</v>
      </c>
      <c r="CV18" s="512">
        <f t="shared" si="35"/>
        <v>0</v>
      </c>
      <c r="CW18" s="512">
        <f t="shared" si="35"/>
        <v>0</v>
      </c>
      <c r="CX18" s="512">
        <f t="shared" si="35"/>
        <v>0</v>
      </c>
      <c r="CY18" s="512">
        <f t="shared" si="35"/>
        <v>0</v>
      </c>
      <c r="CZ18" s="512">
        <f t="shared" si="35"/>
        <v>0</v>
      </c>
      <c r="DA18" s="512">
        <f t="shared" si="35"/>
        <v>0</v>
      </c>
      <c r="DB18" s="512">
        <f t="shared" si="35"/>
        <v>0</v>
      </c>
      <c r="DC18" s="512">
        <f t="shared" si="35"/>
        <v>0</v>
      </c>
      <c r="DD18" s="512">
        <f t="shared" si="35"/>
        <v>0</v>
      </c>
      <c r="DE18" s="512">
        <f t="shared" si="3"/>
        <v>0</v>
      </c>
    </row>
    <row r="19" spans="2:109">
      <c r="B19" t="s">
        <v>268</v>
      </c>
      <c r="C19" s="86">
        <f>C18*SUM(C10:C12)</f>
        <v>26236675</v>
      </c>
      <c r="E19" s="95">
        <f>C15*SUM(C10:C12)+E18</f>
        <v>0</v>
      </c>
      <c r="G19" s="513" t="s">
        <v>504</v>
      </c>
      <c r="H19" s="512">
        <f>-$C$19</f>
        <v>-26236675</v>
      </c>
      <c r="I19" s="512">
        <f t="shared" ref="I19:AN19" si="36">IF(I$2=($C$5+$C$33),1,0)*((SUM($C$10:$C$11)+$C$10*$C$13)*($C$27))</f>
        <v>0</v>
      </c>
      <c r="J19" s="512">
        <f t="shared" si="36"/>
        <v>0</v>
      </c>
      <c r="K19" s="512">
        <f t="shared" si="36"/>
        <v>0</v>
      </c>
      <c r="L19" s="512">
        <f t="shared" si="36"/>
        <v>0</v>
      </c>
      <c r="M19" s="512">
        <f t="shared" si="36"/>
        <v>0</v>
      </c>
      <c r="N19" s="512">
        <f t="shared" si="36"/>
        <v>0</v>
      </c>
      <c r="O19" s="512">
        <f t="shared" si="36"/>
        <v>0</v>
      </c>
      <c r="P19" s="512">
        <f t="shared" si="36"/>
        <v>0</v>
      </c>
      <c r="Q19" s="512">
        <f t="shared" si="36"/>
        <v>0</v>
      </c>
      <c r="R19" s="512">
        <f t="shared" si="36"/>
        <v>0</v>
      </c>
      <c r="S19" s="512">
        <f t="shared" si="36"/>
        <v>0</v>
      </c>
      <c r="T19" s="512">
        <f t="shared" si="36"/>
        <v>0</v>
      </c>
      <c r="U19" s="512">
        <f t="shared" si="36"/>
        <v>0</v>
      </c>
      <c r="V19" s="512">
        <f t="shared" si="36"/>
        <v>0</v>
      </c>
      <c r="W19" s="512">
        <f t="shared" si="36"/>
        <v>0</v>
      </c>
      <c r="X19" s="512">
        <f t="shared" si="36"/>
        <v>0</v>
      </c>
      <c r="Y19" s="512">
        <f t="shared" si="36"/>
        <v>0</v>
      </c>
      <c r="Z19" s="512">
        <f t="shared" si="36"/>
        <v>0</v>
      </c>
      <c r="AA19" s="512">
        <f t="shared" si="36"/>
        <v>0</v>
      </c>
      <c r="AB19" s="512">
        <f t="shared" si="36"/>
        <v>0</v>
      </c>
      <c r="AC19" s="512">
        <f t="shared" si="36"/>
        <v>0</v>
      </c>
      <c r="AD19" s="512">
        <f t="shared" si="36"/>
        <v>0</v>
      </c>
      <c r="AE19" s="512">
        <f t="shared" si="36"/>
        <v>0</v>
      </c>
      <c r="AF19" s="512">
        <f t="shared" si="36"/>
        <v>0</v>
      </c>
      <c r="AG19" s="512">
        <f t="shared" si="36"/>
        <v>0</v>
      </c>
      <c r="AH19" s="512">
        <f t="shared" si="36"/>
        <v>0</v>
      </c>
      <c r="AI19" s="512">
        <f t="shared" si="36"/>
        <v>0</v>
      </c>
      <c r="AJ19" s="512">
        <f t="shared" si="36"/>
        <v>0</v>
      </c>
      <c r="AK19" s="512">
        <f t="shared" si="36"/>
        <v>0</v>
      </c>
      <c r="AL19" s="512">
        <f t="shared" si="36"/>
        <v>0</v>
      </c>
      <c r="AM19" s="512">
        <f t="shared" si="36"/>
        <v>0</v>
      </c>
      <c r="AN19" s="512">
        <f t="shared" si="36"/>
        <v>0</v>
      </c>
      <c r="AO19" s="512">
        <f t="shared" ref="AO19:BT19" si="37">IF(AO$2=($C$5+$C$33),1,0)*((SUM($C$10:$C$11)+$C$10*$C$13)*($C$27))</f>
        <v>0</v>
      </c>
      <c r="AP19" s="512">
        <f t="shared" si="37"/>
        <v>0</v>
      </c>
      <c r="AQ19" s="512">
        <f t="shared" si="37"/>
        <v>0</v>
      </c>
      <c r="AR19" s="512">
        <f t="shared" si="37"/>
        <v>0</v>
      </c>
      <c r="AS19" s="512">
        <f t="shared" si="37"/>
        <v>0</v>
      </c>
      <c r="AT19" s="512">
        <f t="shared" si="37"/>
        <v>0</v>
      </c>
      <c r="AU19" s="512">
        <f t="shared" si="37"/>
        <v>0</v>
      </c>
      <c r="AV19" s="512">
        <f t="shared" si="37"/>
        <v>0</v>
      </c>
      <c r="AW19" s="512">
        <f t="shared" si="37"/>
        <v>0</v>
      </c>
      <c r="AX19" s="512">
        <f t="shared" si="37"/>
        <v>0</v>
      </c>
      <c r="AY19" s="512">
        <f t="shared" si="37"/>
        <v>0</v>
      </c>
      <c r="AZ19" s="512">
        <f t="shared" si="37"/>
        <v>0</v>
      </c>
      <c r="BA19" s="512">
        <f t="shared" si="37"/>
        <v>0</v>
      </c>
      <c r="BB19" s="512">
        <f t="shared" si="37"/>
        <v>0</v>
      </c>
      <c r="BC19" s="512">
        <f t="shared" si="37"/>
        <v>0</v>
      </c>
      <c r="BD19" s="512">
        <f t="shared" si="37"/>
        <v>0</v>
      </c>
      <c r="BE19" s="512">
        <f t="shared" si="37"/>
        <v>13613613</v>
      </c>
      <c r="BF19" s="512">
        <f t="shared" si="37"/>
        <v>0</v>
      </c>
      <c r="BG19" s="512">
        <f t="shared" si="37"/>
        <v>0</v>
      </c>
      <c r="BH19" s="512">
        <f t="shared" si="37"/>
        <v>0</v>
      </c>
      <c r="BI19" s="512">
        <f t="shared" si="37"/>
        <v>0</v>
      </c>
      <c r="BJ19" s="512">
        <f t="shared" si="37"/>
        <v>0</v>
      </c>
      <c r="BK19" s="512">
        <f t="shared" si="37"/>
        <v>0</v>
      </c>
      <c r="BL19" s="512">
        <f t="shared" si="37"/>
        <v>0</v>
      </c>
      <c r="BM19" s="512">
        <f t="shared" si="37"/>
        <v>0</v>
      </c>
      <c r="BN19" s="512">
        <f t="shared" si="37"/>
        <v>0</v>
      </c>
      <c r="BO19" s="512">
        <f t="shared" si="37"/>
        <v>0</v>
      </c>
      <c r="BP19" s="512">
        <f t="shared" si="37"/>
        <v>0</v>
      </c>
      <c r="BQ19" s="512">
        <f t="shared" si="37"/>
        <v>0</v>
      </c>
      <c r="BR19" s="512">
        <f t="shared" si="37"/>
        <v>0</v>
      </c>
      <c r="BS19" s="512">
        <f t="shared" si="37"/>
        <v>0</v>
      </c>
      <c r="BT19" s="512">
        <f t="shared" si="37"/>
        <v>0</v>
      </c>
      <c r="BU19" s="512">
        <f t="shared" ref="BU19:DD19" si="38">IF(BU$2=($C$5+$C$33),1,0)*((SUM($C$10:$C$11)+$C$10*$C$13)*($C$27))</f>
        <v>0</v>
      </c>
      <c r="BV19" s="512">
        <f t="shared" si="38"/>
        <v>0</v>
      </c>
      <c r="BW19" s="512">
        <f t="shared" si="38"/>
        <v>0</v>
      </c>
      <c r="BX19" s="512">
        <f t="shared" si="38"/>
        <v>0</v>
      </c>
      <c r="BY19" s="512">
        <f t="shared" si="38"/>
        <v>0</v>
      </c>
      <c r="BZ19" s="512">
        <f t="shared" si="38"/>
        <v>0</v>
      </c>
      <c r="CA19" s="512">
        <f t="shared" si="38"/>
        <v>0</v>
      </c>
      <c r="CB19" s="512">
        <f t="shared" si="38"/>
        <v>0</v>
      </c>
      <c r="CC19" s="512">
        <f t="shared" si="38"/>
        <v>0</v>
      </c>
      <c r="CD19" s="512">
        <f t="shared" si="38"/>
        <v>0</v>
      </c>
      <c r="CE19" s="512">
        <f t="shared" si="38"/>
        <v>0</v>
      </c>
      <c r="CF19" s="512">
        <f t="shared" si="38"/>
        <v>0</v>
      </c>
      <c r="CG19" s="512">
        <f t="shared" si="38"/>
        <v>0</v>
      </c>
      <c r="CH19" s="512">
        <f t="shared" si="38"/>
        <v>0</v>
      </c>
      <c r="CI19" s="512">
        <f t="shared" si="38"/>
        <v>0</v>
      </c>
      <c r="CJ19" s="512">
        <f t="shared" si="38"/>
        <v>0</v>
      </c>
      <c r="CK19" s="512">
        <f t="shared" si="38"/>
        <v>0</v>
      </c>
      <c r="CL19" s="512">
        <f t="shared" si="38"/>
        <v>0</v>
      </c>
      <c r="CM19" s="512">
        <f t="shared" si="38"/>
        <v>0</v>
      </c>
      <c r="CN19" s="512">
        <f t="shared" si="38"/>
        <v>0</v>
      </c>
      <c r="CO19" s="512">
        <f t="shared" si="38"/>
        <v>0</v>
      </c>
      <c r="CP19" s="512">
        <f t="shared" si="38"/>
        <v>0</v>
      </c>
      <c r="CQ19" s="512">
        <f t="shared" si="38"/>
        <v>0</v>
      </c>
      <c r="CR19" s="512">
        <f t="shared" si="38"/>
        <v>0</v>
      </c>
      <c r="CS19" s="512">
        <f t="shared" si="38"/>
        <v>0</v>
      </c>
      <c r="CT19" s="512">
        <f t="shared" si="38"/>
        <v>0</v>
      </c>
      <c r="CU19" s="512">
        <f t="shared" si="38"/>
        <v>0</v>
      </c>
      <c r="CV19" s="512">
        <f t="shared" si="38"/>
        <v>0</v>
      </c>
      <c r="CW19" s="512">
        <f t="shared" si="38"/>
        <v>0</v>
      </c>
      <c r="CX19" s="512">
        <f t="shared" si="38"/>
        <v>0</v>
      </c>
      <c r="CY19" s="512">
        <f t="shared" si="38"/>
        <v>0</v>
      </c>
      <c r="CZ19" s="512">
        <f t="shared" si="38"/>
        <v>0</v>
      </c>
      <c r="DA19" s="512">
        <f t="shared" si="38"/>
        <v>0</v>
      </c>
      <c r="DB19" s="512">
        <f t="shared" si="38"/>
        <v>0</v>
      </c>
      <c r="DC19" s="512">
        <f t="shared" si="38"/>
        <v>0</v>
      </c>
      <c r="DD19" s="512">
        <f t="shared" si="38"/>
        <v>0</v>
      </c>
      <c r="DE19" s="512">
        <f t="shared" si="3"/>
        <v>-12623062</v>
      </c>
    </row>
    <row r="20" spans="2:109">
      <c r="B20" s="96" t="s">
        <v>266</v>
      </c>
      <c r="C20" s="97">
        <f>SUM(C21:C23)</f>
        <v>240039.50458333333</v>
      </c>
      <c r="E20" s="95"/>
      <c r="G20" t="s">
        <v>494</v>
      </c>
      <c r="H20" s="86">
        <f t="shared" ref="H20:AM20" si="39">SUM(H18:H19)</f>
        <v>-26236675</v>
      </c>
      <c r="I20" s="86">
        <f t="shared" si="39"/>
        <v>0</v>
      </c>
      <c r="J20" s="86">
        <f t="shared" si="39"/>
        <v>0</v>
      </c>
      <c r="K20" s="86">
        <f t="shared" si="39"/>
        <v>0</v>
      </c>
      <c r="L20" s="86">
        <f t="shared" si="39"/>
        <v>0</v>
      </c>
      <c r="M20" s="86">
        <f t="shared" si="39"/>
        <v>0</v>
      </c>
      <c r="N20" s="86">
        <f t="shared" si="39"/>
        <v>0</v>
      </c>
      <c r="O20" s="86">
        <f t="shared" si="39"/>
        <v>0</v>
      </c>
      <c r="P20" s="86">
        <f t="shared" si="39"/>
        <v>0</v>
      </c>
      <c r="Q20" s="86">
        <f t="shared" si="39"/>
        <v>0</v>
      </c>
      <c r="R20" s="86">
        <f t="shared" si="39"/>
        <v>0</v>
      </c>
      <c r="S20" s="86">
        <f t="shared" si="39"/>
        <v>0</v>
      </c>
      <c r="T20" s="86">
        <f t="shared" si="39"/>
        <v>0</v>
      </c>
      <c r="U20" s="86">
        <f t="shared" si="39"/>
        <v>0</v>
      </c>
      <c r="V20" s="86">
        <f t="shared" si="39"/>
        <v>0</v>
      </c>
      <c r="W20" s="86">
        <f t="shared" si="39"/>
        <v>0</v>
      </c>
      <c r="X20" s="86">
        <f t="shared" si="39"/>
        <v>0</v>
      </c>
      <c r="Y20" s="86">
        <f t="shared" si="39"/>
        <v>0</v>
      </c>
      <c r="Z20" s="86">
        <f t="shared" si="39"/>
        <v>0</v>
      </c>
      <c r="AA20" s="86">
        <f t="shared" si="39"/>
        <v>0</v>
      </c>
      <c r="AB20" s="86">
        <f t="shared" si="39"/>
        <v>0</v>
      </c>
      <c r="AC20" s="86">
        <f t="shared" si="39"/>
        <v>0</v>
      </c>
      <c r="AD20" s="86">
        <f t="shared" si="39"/>
        <v>0</v>
      </c>
      <c r="AE20" s="86">
        <f t="shared" si="39"/>
        <v>0</v>
      </c>
      <c r="AF20" s="86">
        <f t="shared" si="39"/>
        <v>0</v>
      </c>
      <c r="AG20" s="86">
        <f t="shared" si="39"/>
        <v>0</v>
      </c>
      <c r="AH20" s="86">
        <f t="shared" si="39"/>
        <v>0</v>
      </c>
      <c r="AI20" s="86">
        <f t="shared" si="39"/>
        <v>0</v>
      </c>
      <c r="AJ20" s="86">
        <f t="shared" si="39"/>
        <v>0</v>
      </c>
      <c r="AK20" s="86">
        <f t="shared" si="39"/>
        <v>0</v>
      </c>
      <c r="AL20" s="86">
        <f t="shared" si="39"/>
        <v>0</v>
      </c>
      <c r="AM20" s="86">
        <f t="shared" si="39"/>
        <v>0</v>
      </c>
      <c r="AN20" s="86">
        <f t="shared" ref="AN20:BS20" si="40">SUM(AN18:AN19)</f>
        <v>0</v>
      </c>
      <c r="AO20" s="86">
        <f t="shared" si="40"/>
        <v>0</v>
      </c>
      <c r="AP20" s="86">
        <f t="shared" si="40"/>
        <v>0</v>
      </c>
      <c r="AQ20" s="86">
        <f t="shared" si="40"/>
        <v>0</v>
      </c>
      <c r="AR20" s="86">
        <f t="shared" si="40"/>
        <v>0</v>
      </c>
      <c r="AS20" s="86">
        <f t="shared" si="40"/>
        <v>0</v>
      </c>
      <c r="AT20" s="86">
        <f t="shared" si="40"/>
        <v>0</v>
      </c>
      <c r="AU20" s="86">
        <f t="shared" si="40"/>
        <v>0</v>
      </c>
      <c r="AV20" s="86">
        <f t="shared" si="40"/>
        <v>0</v>
      </c>
      <c r="AW20" s="86">
        <f t="shared" si="40"/>
        <v>0</v>
      </c>
      <c r="AX20" s="86">
        <f t="shared" si="40"/>
        <v>0</v>
      </c>
      <c r="AY20" s="86">
        <f t="shared" si="40"/>
        <v>0</v>
      </c>
      <c r="AZ20" s="86">
        <f t="shared" si="40"/>
        <v>0</v>
      </c>
      <c r="BA20" s="86">
        <f t="shared" si="40"/>
        <v>0</v>
      </c>
      <c r="BB20" s="86">
        <f t="shared" si="40"/>
        <v>0</v>
      </c>
      <c r="BC20" s="86">
        <f t="shared" si="40"/>
        <v>0</v>
      </c>
      <c r="BD20" s="86">
        <f t="shared" si="40"/>
        <v>0</v>
      </c>
      <c r="BE20" s="86">
        <f t="shared" si="40"/>
        <v>13613613</v>
      </c>
      <c r="BF20" s="86">
        <f t="shared" si="40"/>
        <v>0</v>
      </c>
      <c r="BG20" s="86">
        <f t="shared" si="40"/>
        <v>0</v>
      </c>
      <c r="BH20" s="86">
        <f t="shared" si="40"/>
        <v>0</v>
      </c>
      <c r="BI20" s="86">
        <f t="shared" si="40"/>
        <v>0</v>
      </c>
      <c r="BJ20" s="86">
        <f t="shared" si="40"/>
        <v>0</v>
      </c>
      <c r="BK20" s="86">
        <f t="shared" si="40"/>
        <v>0</v>
      </c>
      <c r="BL20" s="86">
        <f t="shared" si="40"/>
        <v>0</v>
      </c>
      <c r="BM20" s="86">
        <f t="shared" si="40"/>
        <v>0</v>
      </c>
      <c r="BN20" s="86">
        <f t="shared" si="40"/>
        <v>0</v>
      </c>
      <c r="BO20" s="86">
        <f t="shared" si="40"/>
        <v>0</v>
      </c>
      <c r="BP20" s="86">
        <f t="shared" si="40"/>
        <v>0</v>
      </c>
      <c r="BQ20" s="86">
        <f t="shared" si="40"/>
        <v>0</v>
      </c>
      <c r="BR20" s="86">
        <f t="shared" si="40"/>
        <v>0</v>
      </c>
      <c r="BS20" s="86">
        <f t="shared" si="40"/>
        <v>0</v>
      </c>
      <c r="BT20" s="86">
        <f t="shared" ref="BT20:CY20" si="41">SUM(BT18:BT19)</f>
        <v>0</v>
      </c>
      <c r="BU20" s="86">
        <f t="shared" si="41"/>
        <v>0</v>
      </c>
      <c r="BV20" s="86">
        <f t="shared" si="41"/>
        <v>0</v>
      </c>
      <c r="BW20" s="86">
        <f t="shared" si="41"/>
        <v>0</v>
      </c>
      <c r="BX20" s="86">
        <f t="shared" si="41"/>
        <v>0</v>
      </c>
      <c r="BY20" s="86">
        <f t="shared" si="41"/>
        <v>0</v>
      </c>
      <c r="BZ20" s="86">
        <f t="shared" si="41"/>
        <v>0</v>
      </c>
      <c r="CA20" s="86">
        <f t="shared" si="41"/>
        <v>0</v>
      </c>
      <c r="CB20" s="86">
        <f t="shared" si="41"/>
        <v>0</v>
      </c>
      <c r="CC20" s="86">
        <f t="shared" si="41"/>
        <v>0</v>
      </c>
      <c r="CD20" s="86">
        <f t="shared" si="41"/>
        <v>0</v>
      </c>
      <c r="CE20" s="86">
        <f t="shared" si="41"/>
        <v>0</v>
      </c>
      <c r="CF20" s="86">
        <f t="shared" si="41"/>
        <v>0</v>
      </c>
      <c r="CG20" s="86">
        <f t="shared" si="41"/>
        <v>0</v>
      </c>
      <c r="CH20" s="86">
        <f t="shared" si="41"/>
        <v>0</v>
      </c>
      <c r="CI20" s="86">
        <f t="shared" si="41"/>
        <v>0</v>
      </c>
      <c r="CJ20" s="86">
        <f t="shared" si="41"/>
        <v>0</v>
      </c>
      <c r="CK20" s="86">
        <f t="shared" si="41"/>
        <v>0</v>
      </c>
      <c r="CL20" s="86">
        <f t="shared" si="41"/>
        <v>0</v>
      </c>
      <c r="CM20" s="86">
        <f t="shared" si="41"/>
        <v>0</v>
      </c>
      <c r="CN20" s="86">
        <f t="shared" si="41"/>
        <v>0</v>
      </c>
      <c r="CO20" s="86">
        <f t="shared" si="41"/>
        <v>0</v>
      </c>
      <c r="CP20" s="86">
        <f t="shared" si="41"/>
        <v>0</v>
      </c>
      <c r="CQ20" s="86">
        <f t="shared" si="41"/>
        <v>0</v>
      </c>
      <c r="CR20" s="86">
        <f t="shared" si="41"/>
        <v>0</v>
      </c>
      <c r="CS20" s="86">
        <f t="shared" si="41"/>
        <v>0</v>
      </c>
      <c r="CT20" s="86">
        <f t="shared" si="41"/>
        <v>0</v>
      </c>
      <c r="CU20" s="86">
        <f t="shared" si="41"/>
        <v>0</v>
      </c>
      <c r="CV20" s="86">
        <f t="shared" si="41"/>
        <v>0</v>
      </c>
      <c r="CW20" s="86">
        <f t="shared" si="41"/>
        <v>0</v>
      </c>
      <c r="CX20" s="86">
        <f t="shared" si="41"/>
        <v>0</v>
      </c>
      <c r="CY20" s="86">
        <f t="shared" si="41"/>
        <v>0</v>
      </c>
      <c r="CZ20" s="86">
        <f t="shared" ref="CZ20:DD20" si="42">SUM(CZ18:CZ19)</f>
        <v>0</v>
      </c>
      <c r="DA20" s="86">
        <f t="shared" si="42"/>
        <v>0</v>
      </c>
      <c r="DB20" s="86">
        <f t="shared" si="42"/>
        <v>0</v>
      </c>
      <c r="DC20" s="86">
        <f t="shared" si="42"/>
        <v>0</v>
      </c>
      <c r="DD20" s="86">
        <f t="shared" si="42"/>
        <v>0</v>
      </c>
      <c r="DE20" s="86">
        <f t="shared" si="3"/>
        <v>-12623062</v>
      </c>
    </row>
    <row r="21" spans="2:109">
      <c r="B21" s="140" t="s">
        <v>155</v>
      </c>
      <c r="C21" s="141">
        <f>SUM('Tablas&amp;Gastos'!F8)*$C$24</f>
        <v>84000</v>
      </c>
      <c r="E21" s="95"/>
      <c r="G21" t="s">
        <v>236</v>
      </c>
      <c r="H21" s="601"/>
      <c r="I21" s="311">
        <f t="shared" ref="I21:AN21" si="43">IF(I$2&lt;=$C$5+$C$8,1,0)*IF(I$2&lt;=$C$8,0,1)*($C$6*$C$7*$C$10)*((1+$C$37/12)^(I$2-1))-I5</f>
        <v>-760608.93599999999</v>
      </c>
      <c r="J21" s="311">
        <f t="shared" si="43"/>
        <v>0</v>
      </c>
      <c r="K21" s="311">
        <f t="shared" si="43"/>
        <v>0</v>
      </c>
      <c r="L21" s="311">
        <f t="shared" si="43"/>
        <v>0</v>
      </c>
      <c r="M21" s="311">
        <f t="shared" si="43"/>
        <v>0</v>
      </c>
      <c r="N21" s="311">
        <f t="shared" si="43"/>
        <v>0</v>
      </c>
      <c r="O21" s="311">
        <f t="shared" si="43"/>
        <v>0</v>
      </c>
      <c r="P21" s="311">
        <f t="shared" si="43"/>
        <v>0</v>
      </c>
      <c r="Q21" s="311">
        <f t="shared" si="43"/>
        <v>0</v>
      </c>
      <c r="R21" s="311">
        <f t="shared" si="43"/>
        <v>0</v>
      </c>
      <c r="S21" s="311">
        <f t="shared" si="43"/>
        <v>0</v>
      </c>
      <c r="T21" s="311">
        <f t="shared" si="43"/>
        <v>0</v>
      </c>
      <c r="U21" s="311">
        <f t="shared" si="43"/>
        <v>0</v>
      </c>
      <c r="V21" s="311">
        <f t="shared" si="43"/>
        <v>0</v>
      </c>
      <c r="W21" s="311">
        <f t="shared" si="43"/>
        <v>0</v>
      </c>
      <c r="X21" s="311">
        <f t="shared" si="43"/>
        <v>0</v>
      </c>
      <c r="Y21" s="311">
        <f t="shared" si="43"/>
        <v>0</v>
      </c>
      <c r="Z21" s="311">
        <f t="shared" si="43"/>
        <v>0</v>
      </c>
      <c r="AA21" s="311">
        <f t="shared" si="43"/>
        <v>0</v>
      </c>
      <c r="AB21" s="311">
        <f t="shared" si="43"/>
        <v>0</v>
      </c>
      <c r="AC21" s="311">
        <f t="shared" si="43"/>
        <v>0</v>
      </c>
      <c r="AD21" s="311">
        <f t="shared" si="43"/>
        <v>0</v>
      </c>
      <c r="AE21" s="311">
        <f t="shared" si="43"/>
        <v>0</v>
      </c>
      <c r="AF21" s="311">
        <f t="shared" si="43"/>
        <v>0</v>
      </c>
      <c r="AG21" s="311">
        <f t="shared" si="43"/>
        <v>0</v>
      </c>
      <c r="AH21" s="311">
        <f t="shared" si="43"/>
        <v>0</v>
      </c>
      <c r="AI21" s="311">
        <f t="shared" si="43"/>
        <v>0</v>
      </c>
      <c r="AJ21" s="311">
        <f t="shared" si="43"/>
        <v>0</v>
      </c>
      <c r="AK21" s="311">
        <f t="shared" si="43"/>
        <v>0</v>
      </c>
      <c r="AL21" s="311">
        <f t="shared" si="43"/>
        <v>0</v>
      </c>
      <c r="AM21" s="311">
        <f t="shared" si="43"/>
        <v>0</v>
      </c>
      <c r="AN21" s="311">
        <f t="shared" si="43"/>
        <v>0</v>
      </c>
      <c r="AO21" s="311">
        <f t="shared" ref="AO21:BT21" si="44">IF(AO$2&lt;=$C$5+$C$8,1,0)*IF(AO$2&lt;=$C$8,0,1)*($C$6*$C$7*$C$10)*((1+$C$37/12)^(AO$2-1))-AO5</f>
        <v>0</v>
      </c>
      <c r="AP21" s="311">
        <f t="shared" si="44"/>
        <v>0</v>
      </c>
      <c r="AQ21" s="311">
        <f t="shared" si="44"/>
        <v>0</v>
      </c>
      <c r="AR21" s="311">
        <f t="shared" si="44"/>
        <v>0</v>
      </c>
      <c r="AS21" s="311">
        <f t="shared" si="44"/>
        <v>0</v>
      </c>
      <c r="AT21" s="311">
        <f t="shared" si="44"/>
        <v>0</v>
      </c>
      <c r="AU21" s="311">
        <f t="shared" si="44"/>
        <v>0</v>
      </c>
      <c r="AV21" s="311">
        <f t="shared" si="44"/>
        <v>0</v>
      </c>
      <c r="AW21" s="311">
        <f t="shared" si="44"/>
        <v>0</v>
      </c>
      <c r="AX21" s="311">
        <f t="shared" si="44"/>
        <v>0</v>
      </c>
      <c r="AY21" s="311">
        <f t="shared" si="44"/>
        <v>0</v>
      </c>
      <c r="AZ21" s="311">
        <f t="shared" si="44"/>
        <v>0</v>
      </c>
      <c r="BA21" s="311">
        <f t="shared" si="44"/>
        <v>0</v>
      </c>
      <c r="BB21" s="311">
        <f t="shared" si="44"/>
        <v>0</v>
      </c>
      <c r="BC21" s="311">
        <f t="shared" si="44"/>
        <v>0</v>
      </c>
      <c r="BD21" s="311">
        <f t="shared" si="44"/>
        <v>0</v>
      </c>
      <c r="BE21" s="311">
        <f t="shared" si="44"/>
        <v>857455.76660616801</v>
      </c>
      <c r="BF21" s="311">
        <f t="shared" si="44"/>
        <v>0</v>
      </c>
      <c r="BG21" s="311">
        <f t="shared" si="44"/>
        <v>0</v>
      </c>
      <c r="BH21" s="311">
        <f t="shared" si="44"/>
        <v>0</v>
      </c>
      <c r="BI21" s="311">
        <f t="shared" si="44"/>
        <v>0</v>
      </c>
      <c r="BJ21" s="311">
        <f t="shared" si="44"/>
        <v>0</v>
      </c>
      <c r="BK21" s="311">
        <f t="shared" si="44"/>
        <v>0</v>
      </c>
      <c r="BL21" s="311">
        <f t="shared" si="44"/>
        <v>0</v>
      </c>
      <c r="BM21" s="311">
        <f t="shared" si="44"/>
        <v>0</v>
      </c>
      <c r="BN21" s="311">
        <f t="shared" si="44"/>
        <v>0</v>
      </c>
      <c r="BO21" s="311">
        <f t="shared" si="44"/>
        <v>0</v>
      </c>
      <c r="BP21" s="311">
        <f t="shared" si="44"/>
        <v>0</v>
      </c>
      <c r="BQ21" s="311">
        <f t="shared" si="44"/>
        <v>0</v>
      </c>
      <c r="BR21" s="311">
        <f t="shared" si="44"/>
        <v>0</v>
      </c>
      <c r="BS21" s="311">
        <f t="shared" si="44"/>
        <v>0</v>
      </c>
      <c r="BT21" s="311">
        <f t="shared" si="44"/>
        <v>0</v>
      </c>
      <c r="BU21" s="311">
        <f t="shared" ref="BU21:DD21" si="45">IF(BU$2&lt;=$C$5+$C$8,1,0)*IF(BU$2&lt;=$C$8,0,1)*($C$6*$C$7*$C$10)*((1+$C$37/12)^(BU$2-1))-BU5</f>
        <v>0</v>
      </c>
      <c r="BV21" s="311">
        <f t="shared" si="45"/>
        <v>0</v>
      </c>
      <c r="BW21" s="311">
        <f t="shared" si="45"/>
        <v>0</v>
      </c>
      <c r="BX21" s="311">
        <f t="shared" si="45"/>
        <v>0</v>
      </c>
      <c r="BY21" s="311">
        <f t="shared" si="45"/>
        <v>0</v>
      </c>
      <c r="BZ21" s="311">
        <f t="shared" si="45"/>
        <v>0</v>
      </c>
      <c r="CA21" s="311">
        <f t="shared" si="45"/>
        <v>0</v>
      </c>
      <c r="CB21" s="311">
        <f t="shared" si="45"/>
        <v>0</v>
      </c>
      <c r="CC21" s="311">
        <f t="shared" si="45"/>
        <v>0</v>
      </c>
      <c r="CD21" s="311">
        <f t="shared" si="45"/>
        <v>0</v>
      </c>
      <c r="CE21" s="311">
        <f t="shared" si="45"/>
        <v>0</v>
      </c>
      <c r="CF21" s="311">
        <f t="shared" si="45"/>
        <v>0</v>
      </c>
      <c r="CG21" s="311">
        <f t="shared" si="45"/>
        <v>0</v>
      </c>
      <c r="CH21" s="311">
        <f t="shared" si="45"/>
        <v>0</v>
      </c>
      <c r="CI21" s="311">
        <f t="shared" si="45"/>
        <v>0</v>
      </c>
      <c r="CJ21" s="311">
        <f t="shared" si="45"/>
        <v>0</v>
      </c>
      <c r="CK21" s="311">
        <f t="shared" si="45"/>
        <v>0</v>
      </c>
      <c r="CL21" s="311">
        <f t="shared" si="45"/>
        <v>0</v>
      </c>
      <c r="CM21" s="311">
        <f t="shared" si="45"/>
        <v>0</v>
      </c>
      <c r="CN21" s="311">
        <f t="shared" si="45"/>
        <v>0</v>
      </c>
      <c r="CO21" s="311">
        <f t="shared" si="45"/>
        <v>0</v>
      </c>
      <c r="CP21" s="311">
        <f t="shared" si="45"/>
        <v>0</v>
      </c>
      <c r="CQ21" s="311">
        <f t="shared" si="45"/>
        <v>0</v>
      </c>
      <c r="CR21" s="311">
        <f t="shared" si="45"/>
        <v>0</v>
      </c>
      <c r="CS21" s="311">
        <f t="shared" si="45"/>
        <v>0</v>
      </c>
      <c r="CT21" s="311">
        <f t="shared" si="45"/>
        <v>0</v>
      </c>
      <c r="CU21" s="311">
        <f t="shared" si="45"/>
        <v>0</v>
      </c>
      <c r="CV21" s="311">
        <f t="shared" si="45"/>
        <v>0</v>
      </c>
      <c r="CW21" s="311">
        <f t="shared" si="45"/>
        <v>0</v>
      </c>
      <c r="CX21" s="311">
        <f t="shared" si="45"/>
        <v>0</v>
      </c>
      <c r="CY21" s="311">
        <f t="shared" si="45"/>
        <v>0</v>
      </c>
      <c r="CZ21" s="311">
        <f t="shared" si="45"/>
        <v>0</v>
      </c>
      <c r="DA21" s="311">
        <f t="shared" si="45"/>
        <v>0</v>
      </c>
      <c r="DB21" s="311">
        <f t="shared" si="45"/>
        <v>0</v>
      </c>
      <c r="DC21" s="311">
        <f t="shared" si="45"/>
        <v>0</v>
      </c>
      <c r="DD21" s="311">
        <f t="shared" si="45"/>
        <v>0</v>
      </c>
      <c r="DE21" s="86">
        <f t="shared" si="3"/>
        <v>96846.83060616802</v>
      </c>
    </row>
    <row r="22" spans="2:109" ht="15" thickBot="1">
      <c r="B22" t="s">
        <v>158</v>
      </c>
      <c r="C22" s="86">
        <f>SUM('Tablas&amp;Gastos'!F14)</f>
        <v>56806.484999999993</v>
      </c>
      <c r="E22" s="95"/>
      <c r="G22" s="98" t="s">
        <v>417</v>
      </c>
      <c r="H22" s="99">
        <f>SUM(H16:H17,H20:H21)</f>
        <v>-26236675</v>
      </c>
      <c r="I22" s="99">
        <f t="shared" ref="I22:BT22" si="46">SUM(I16:I17,I20:I21)</f>
        <v>-347032.99394900829</v>
      </c>
      <c r="J22" s="99">
        <f t="shared" si="46"/>
        <v>414433.16673736903</v>
      </c>
      <c r="K22" s="99">
        <f t="shared" si="46"/>
        <v>415292.53448546253</v>
      </c>
      <c r="L22" s="99">
        <f t="shared" si="46"/>
        <v>416154.05065292609</v>
      </c>
      <c r="M22" s="99">
        <f t="shared" si="46"/>
        <v>417017.72061080841</v>
      </c>
      <c r="N22" s="99">
        <f t="shared" si="46"/>
        <v>417883.54974358546</v>
      </c>
      <c r="O22" s="99">
        <f t="shared" si="46"/>
        <v>418751.5434491944</v>
      </c>
      <c r="P22" s="99">
        <f t="shared" si="46"/>
        <v>419621.70713906735</v>
      </c>
      <c r="Q22" s="99">
        <f t="shared" si="46"/>
        <v>420494.046238165</v>
      </c>
      <c r="R22" s="99">
        <f t="shared" si="46"/>
        <v>421368.56618501048</v>
      </c>
      <c r="S22" s="99">
        <f t="shared" si="46"/>
        <v>422245.27243172296</v>
      </c>
      <c r="T22" s="99">
        <f t="shared" si="46"/>
        <v>423124.17044405214</v>
      </c>
      <c r="U22" s="99">
        <f t="shared" si="46"/>
        <v>424005.26570141234</v>
      </c>
      <c r="V22" s="99">
        <f t="shared" si="46"/>
        <v>424888.56369691587</v>
      </c>
      <c r="W22" s="99">
        <f t="shared" si="46"/>
        <v>425774.06993740809</v>
      </c>
      <c r="X22" s="99">
        <f t="shared" si="46"/>
        <v>426661.78994350164</v>
      </c>
      <c r="Y22" s="99">
        <f t="shared" si="46"/>
        <v>427551.72924961039</v>
      </c>
      <c r="Z22" s="99">
        <f t="shared" si="46"/>
        <v>428443.89340398432</v>
      </c>
      <c r="AA22" s="99">
        <f t="shared" si="46"/>
        <v>429338.28796874441</v>
      </c>
      <c r="AB22" s="99">
        <f t="shared" si="46"/>
        <v>430234.91851991625</v>
      </c>
      <c r="AC22" s="99">
        <f t="shared" si="46"/>
        <v>431133.79064746597</v>
      </c>
      <c r="AD22" s="99">
        <f t="shared" si="46"/>
        <v>432034.90995533456</v>
      </c>
      <c r="AE22" s="99">
        <f t="shared" si="46"/>
        <v>432938.28206147277</v>
      </c>
      <c r="AF22" s="99">
        <f t="shared" si="46"/>
        <v>433843.91259787657</v>
      </c>
      <c r="AG22" s="99">
        <f t="shared" si="46"/>
        <v>434751.80721062125</v>
      </c>
      <c r="AH22" s="99">
        <f t="shared" si="46"/>
        <v>435661.97155989788</v>
      </c>
      <c r="AI22" s="99">
        <f t="shared" si="46"/>
        <v>436574.41132004745</v>
      </c>
      <c r="AJ22" s="99">
        <f t="shared" si="46"/>
        <v>437489.13217959763</v>
      </c>
      <c r="AK22" s="99">
        <f t="shared" si="46"/>
        <v>438406.13984129659</v>
      </c>
      <c r="AL22" s="99">
        <f t="shared" si="46"/>
        <v>439325.44002214994</v>
      </c>
      <c r="AM22" s="99">
        <f t="shared" si="46"/>
        <v>440247.0384534552</v>
      </c>
      <c r="AN22" s="99">
        <f t="shared" si="46"/>
        <v>441170.94088083878</v>
      </c>
      <c r="AO22" s="99">
        <f t="shared" si="46"/>
        <v>442097.15306429099</v>
      </c>
      <c r="AP22" s="99">
        <f t="shared" si="46"/>
        <v>443025.68077820155</v>
      </c>
      <c r="AQ22" s="99">
        <f t="shared" si="46"/>
        <v>443956.52981139702</v>
      </c>
      <c r="AR22" s="99">
        <f t="shared" si="46"/>
        <v>444889.70596717548</v>
      </c>
      <c r="AS22" s="99">
        <f t="shared" si="46"/>
        <v>445825.21506334346</v>
      </c>
      <c r="AT22" s="99">
        <f t="shared" si="46"/>
        <v>446763.06293225184</v>
      </c>
      <c r="AU22" s="99">
        <f t="shared" si="46"/>
        <v>447703.25542083243</v>
      </c>
      <c r="AV22" s="99">
        <f t="shared" si="46"/>
        <v>448645.79839063459</v>
      </c>
      <c r="AW22" s="99">
        <f t="shared" si="46"/>
        <v>449590.69771786116</v>
      </c>
      <c r="AX22" s="99">
        <f t="shared" si="46"/>
        <v>450537.9592934057</v>
      </c>
      <c r="AY22" s="99">
        <f t="shared" si="46"/>
        <v>451487.58902288915</v>
      </c>
      <c r="AZ22" s="99">
        <f t="shared" si="46"/>
        <v>452439.5928266964</v>
      </c>
      <c r="BA22" s="99">
        <f t="shared" si="46"/>
        <v>453393.97664001316</v>
      </c>
      <c r="BB22" s="99">
        <f t="shared" si="46"/>
        <v>454350.74641286326</v>
      </c>
      <c r="BC22" s="99">
        <f t="shared" si="46"/>
        <v>455309.90811014513</v>
      </c>
      <c r="BD22" s="99">
        <f t="shared" si="46"/>
        <v>456271.46771167067</v>
      </c>
      <c r="BE22" s="99">
        <f t="shared" si="46"/>
        <v>14471068.766606169</v>
      </c>
      <c r="BF22" s="99">
        <f t="shared" si="46"/>
        <v>0</v>
      </c>
      <c r="BG22" s="99">
        <f t="shared" si="46"/>
        <v>0</v>
      </c>
      <c r="BH22" s="99">
        <f t="shared" si="46"/>
        <v>0</v>
      </c>
      <c r="BI22" s="99">
        <f t="shared" si="46"/>
        <v>0</v>
      </c>
      <c r="BJ22" s="99">
        <f t="shared" si="46"/>
        <v>0</v>
      </c>
      <c r="BK22" s="99">
        <f t="shared" si="46"/>
        <v>0</v>
      </c>
      <c r="BL22" s="99">
        <f t="shared" si="46"/>
        <v>0</v>
      </c>
      <c r="BM22" s="99">
        <f t="shared" si="46"/>
        <v>0</v>
      </c>
      <c r="BN22" s="99">
        <f t="shared" si="46"/>
        <v>0</v>
      </c>
      <c r="BO22" s="99">
        <f t="shared" si="46"/>
        <v>0</v>
      </c>
      <c r="BP22" s="99">
        <f t="shared" si="46"/>
        <v>0</v>
      </c>
      <c r="BQ22" s="99">
        <f t="shared" si="46"/>
        <v>0</v>
      </c>
      <c r="BR22" s="99">
        <f t="shared" si="46"/>
        <v>0</v>
      </c>
      <c r="BS22" s="99">
        <f t="shared" si="46"/>
        <v>0</v>
      </c>
      <c r="BT22" s="99">
        <f t="shared" si="46"/>
        <v>0</v>
      </c>
      <c r="BU22" s="99">
        <f t="shared" ref="BU22:DD22" si="47">SUM(BU16:BU17,BU20:BU21)</f>
        <v>0</v>
      </c>
      <c r="BV22" s="99">
        <f t="shared" si="47"/>
        <v>0</v>
      </c>
      <c r="BW22" s="99">
        <f t="shared" si="47"/>
        <v>0</v>
      </c>
      <c r="BX22" s="99">
        <f t="shared" si="47"/>
        <v>0</v>
      </c>
      <c r="BY22" s="99">
        <f t="shared" si="47"/>
        <v>0</v>
      </c>
      <c r="BZ22" s="99">
        <f t="shared" si="47"/>
        <v>0</v>
      </c>
      <c r="CA22" s="99">
        <f t="shared" si="47"/>
        <v>0</v>
      </c>
      <c r="CB22" s="99">
        <f t="shared" si="47"/>
        <v>0</v>
      </c>
      <c r="CC22" s="99">
        <f t="shared" si="47"/>
        <v>0</v>
      </c>
      <c r="CD22" s="99">
        <f t="shared" si="47"/>
        <v>0</v>
      </c>
      <c r="CE22" s="99">
        <f t="shared" si="47"/>
        <v>0</v>
      </c>
      <c r="CF22" s="99">
        <f t="shared" si="47"/>
        <v>0</v>
      </c>
      <c r="CG22" s="99">
        <f t="shared" si="47"/>
        <v>0</v>
      </c>
      <c r="CH22" s="99">
        <f t="shared" si="47"/>
        <v>0</v>
      </c>
      <c r="CI22" s="99">
        <f t="shared" si="47"/>
        <v>0</v>
      </c>
      <c r="CJ22" s="99">
        <f t="shared" si="47"/>
        <v>0</v>
      </c>
      <c r="CK22" s="99">
        <f t="shared" si="47"/>
        <v>0</v>
      </c>
      <c r="CL22" s="99">
        <f t="shared" si="47"/>
        <v>0</v>
      </c>
      <c r="CM22" s="99">
        <f t="shared" si="47"/>
        <v>0</v>
      </c>
      <c r="CN22" s="99">
        <f t="shared" si="47"/>
        <v>0</v>
      </c>
      <c r="CO22" s="99">
        <f t="shared" si="47"/>
        <v>0</v>
      </c>
      <c r="CP22" s="99">
        <f t="shared" si="47"/>
        <v>0</v>
      </c>
      <c r="CQ22" s="99">
        <f t="shared" si="47"/>
        <v>0</v>
      </c>
      <c r="CR22" s="99">
        <f t="shared" si="47"/>
        <v>0</v>
      </c>
      <c r="CS22" s="99">
        <f t="shared" si="47"/>
        <v>0</v>
      </c>
      <c r="CT22" s="99">
        <f t="shared" si="47"/>
        <v>0</v>
      </c>
      <c r="CU22" s="99">
        <f t="shared" si="47"/>
        <v>0</v>
      </c>
      <c r="CV22" s="99">
        <f t="shared" si="47"/>
        <v>0</v>
      </c>
      <c r="CW22" s="99">
        <f t="shared" si="47"/>
        <v>0</v>
      </c>
      <c r="CX22" s="99">
        <f t="shared" si="47"/>
        <v>0</v>
      </c>
      <c r="CY22" s="99">
        <f t="shared" si="47"/>
        <v>0</v>
      </c>
      <c r="CZ22" s="99">
        <f t="shared" si="47"/>
        <v>0</v>
      </c>
      <c r="DA22" s="99">
        <f t="shared" si="47"/>
        <v>0</v>
      </c>
      <c r="DB22" s="99">
        <f t="shared" si="47"/>
        <v>0</v>
      </c>
      <c r="DC22" s="99">
        <f t="shared" si="47"/>
        <v>0</v>
      </c>
      <c r="DD22" s="99">
        <f t="shared" si="47"/>
        <v>0</v>
      </c>
      <c r="DE22" s="99">
        <f t="shared" ref="DE22" si="48">SUM(H22:DD22)</f>
        <v>8330511.7350897416</v>
      </c>
    </row>
    <row r="23" spans="2:109">
      <c r="B23" s="107" t="s">
        <v>161</v>
      </c>
      <c r="C23" s="142">
        <f>SUM('Tablas&amp;Gastos'!F9:F13,'Tablas&amp;Gastos'!F15:F22)</f>
        <v>99233.019583333342</v>
      </c>
      <c r="E23" s="95"/>
      <c r="G23" s="102" t="s">
        <v>242</v>
      </c>
      <c r="H23" s="103">
        <f>IRR(H22:DD22,0)</f>
        <v>8.0111664048319042E-3</v>
      </c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139"/>
      <c r="AN23" s="139"/>
      <c r="AO23" s="139"/>
      <c r="AP23" s="139"/>
      <c r="AQ23" s="139"/>
      <c r="AR23" s="139"/>
      <c r="AS23" s="139"/>
      <c r="AT23" s="139"/>
      <c r="AU23" s="139"/>
      <c r="AV23" s="139"/>
      <c r="AW23" s="139"/>
      <c r="AX23" s="139"/>
      <c r="AY23" s="139"/>
      <c r="AZ23" s="139"/>
      <c r="BA23" s="139"/>
      <c r="BB23" s="139"/>
      <c r="BC23" s="139"/>
      <c r="BD23" s="139"/>
      <c r="BE23" s="139"/>
      <c r="BF23" s="139"/>
      <c r="BG23" s="139"/>
      <c r="BH23" s="139"/>
      <c r="BI23" s="139"/>
      <c r="BJ23" s="139"/>
      <c r="BK23" s="139"/>
      <c r="BL23" s="139"/>
      <c r="BM23" s="139"/>
      <c r="BN23" s="139"/>
      <c r="BO23" s="139"/>
      <c r="BP23" s="139"/>
      <c r="BQ23" s="139"/>
      <c r="BR23" s="139"/>
      <c r="BS23" s="139"/>
      <c r="BT23" s="139"/>
      <c r="BU23" s="139"/>
      <c r="BV23" s="139"/>
      <c r="BW23" s="139"/>
      <c r="BX23" s="139"/>
      <c r="BY23" s="139"/>
      <c r="BZ23" s="139"/>
      <c r="CA23" s="139"/>
      <c r="CB23" s="139"/>
      <c r="CC23" s="139"/>
      <c r="CD23" s="139"/>
      <c r="CE23" s="139"/>
      <c r="CF23" s="139"/>
      <c r="CG23" s="139"/>
      <c r="CH23" s="139"/>
      <c r="CI23" s="139"/>
      <c r="CJ23" s="139"/>
      <c r="CK23" s="139"/>
      <c r="CL23" s="139"/>
      <c r="CM23" s="139"/>
      <c r="CN23" s="139"/>
      <c r="CO23" s="139"/>
      <c r="CP23" s="139"/>
      <c r="CQ23" s="139"/>
      <c r="CR23" s="139"/>
      <c r="CS23" s="139"/>
      <c r="CT23" s="139"/>
      <c r="CU23" s="139"/>
      <c r="CV23" s="139"/>
      <c r="CW23" s="139"/>
      <c r="CX23" s="139"/>
      <c r="CY23" s="139"/>
      <c r="CZ23" s="139"/>
      <c r="DA23" s="139"/>
      <c r="DB23" s="139"/>
      <c r="DC23" s="139"/>
      <c r="DD23" s="139"/>
      <c r="DE23" s="104"/>
    </row>
    <row r="24" spans="2:109">
      <c r="B24" t="s">
        <v>432</v>
      </c>
      <c r="C24" s="92">
        <f>Carátula!$K$71</f>
        <v>1</v>
      </c>
      <c r="E24" s="91"/>
      <c r="G24" s="105" t="s">
        <v>241</v>
      </c>
      <c r="H24" s="106">
        <f>((1+H23)^12)-1</f>
        <v>0.10048497438213722</v>
      </c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04"/>
      <c r="BW24" s="104"/>
      <c r="BX24" s="104"/>
      <c r="BY24" s="104"/>
      <c r="BZ24" s="104"/>
      <c r="CA24" s="104"/>
      <c r="CB24" s="104"/>
      <c r="CC24" s="104"/>
      <c r="CD24" s="104"/>
      <c r="CE24" s="104"/>
      <c r="CF24" s="104"/>
      <c r="CG24" s="104"/>
      <c r="CH24" s="104"/>
      <c r="CI24" s="104"/>
      <c r="CJ24" s="104"/>
      <c r="CK24" s="104"/>
      <c r="CL24" s="104"/>
      <c r="CM24" s="104"/>
      <c r="CN24" s="104"/>
      <c r="CO24" s="104"/>
      <c r="CP24" s="104"/>
      <c r="CQ24" s="104"/>
      <c r="CR24" s="104"/>
      <c r="CS24" s="104"/>
      <c r="CT24" s="104"/>
      <c r="CU24" s="104"/>
      <c r="CV24" s="104"/>
      <c r="CW24" s="104"/>
      <c r="CX24" s="104"/>
      <c r="CY24" s="104"/>
      <c r="CZ24" s="104"/>
      <c r="DA24" s="104"/>
      <c r="DB24" s="104"/>
      <c r="DC24" s="104"/>
      <c r="DD24" s="104"/>
      <c r="DE24" s="104"/>
    </row>
    <row r="25" spans="2:109">
      <c r="B25" s="100" t="s">
        <v>267</v>
      </c>
      <c r="C25" s="101">
        <f>Carátula!$G$92</f>
        <v>35000</v>
      </c>
      <c r="E25" s="91"/>
      <c r="G25" s="130" t="s">
        <v>430</v>
      </c>
      <c r="H25" s="131">
        <f>SUM(H16:H17,H20:H21)</f>
        <v>-26236675</v>
      </c>
      <c r="I25" s="131">
        <f>SUM(I16:I17,I20:I21)+IF(I$2=($C$5+$C$33),1,0)*(SUM($C$10)*($C$27)*($C$32))</f>
        <v>-347032.99394900829</v>
      </c>
      <c r="J25" s="131">
        <f t="shared" ref="J25:BU25" si="49">SUM(J16:J17,J20:J21)+IF(J$2=($C$5+$C$33),1,0)*(SUM($C$10)*($C$27)*($C$32))</f>
        <v>414433.16673736903</v>
      </c>
      <c r="K25" s="131">
        <f t="shared" si="49"/>
        <v>415292.53448546253</v>
      </c>
      <c r="L25" s="131">
        <f t="shared" si="49"/>
        <v>416154.05065292609</v>
      </c>
      <c r="M25" s="131">
        <f t="shared" si="49"/>
        <v>417017.72061080841</v>
      </c>
      <c r="N25" s="131">
        <f t="shared" si="49"/>
        <v>417883.54974358546</v>
      </c>
      <c r="O25" s="131">
        <f t="shared" si="49"/>
        <v>418751.5434491944</v>
      </c>
      <c r="P25" s="131">
        <f t="shared" si="49"/>
        <v>419621.70713906735</v>
      </c>
      <c r="Q25" s="131">
        <f t="shared" si="49"/>
        <v>420494.046238165</v>
      </c>
      <c r="R25" s="131">
        <f t="shared" si="49"/>
        <v>421368.56618501048</v>
      </c>
      <c r="S25" s="131">
        <f t="shared" si="49"/>
        <v>422245.27243172296</v>
      </c>
      <c r="T25" s="131">
        <f t="shared" si="49"/>
        <v>423124.17044405214</v>
      </c>
      <c r="U25" s="131">
        <f t="shared" si="49"/>
        <v>424005.26570141234</v>
      </c>
      <c r="V25" s="131">
        <f t="shared" si="49"/>
        <v>424888.56369691587</v>
      </c>
      <c r="W25" s="131">
        <f t="shared" si="49"/>
        <v>425774.06993740809</v>
      </c>
      <c r="X25" s="131">
        <f t="shared" si="49"/>
        <v>426661.78994350164</v>
      </c>
      <c r="Y25" s="131">
        <f t="shared" si="49"/>
        <v>427551.72924961039</v>
      </c>
      <c r="Z25" s="131">
        <f t="shared" si="49"/>
        <v>428443.89340398432</v>
      </c>
      <c r="AA25" s="131">
        <f t="shared" si="49"/>
        <v>429338.28796874441</v>
      </c>
      <c r="AB25" s="131">
        <f t="shared" si="49"/>
        <v>430234.91851991625</v>
      </c>
      <c r="AC25" s="131">
        <f t="shared" si="49"/>
        <v>431133.79064746597</v>
      </c>
      <c r="AD25" s="131">
        <f t="shared" si="49"/>
        <v>432034.90995533456</v>
      </c>
      <c r="AE25" s="131">
        <f t="shared" si="49"/>
        <v>432938.28206147277</v>
      </c>
      <c r="AF25" s="131">
        <f t="shared" si="49"/>
        <v>433843.91259787657</v>
      </c>
      <c r="AG25" s="131">
        <f t="shared" si="49"/>
        <v>434751.80721062125</v>
      </c>
      <c r="AH25" s="131">
        <f t="shared" si="49"/>
        <v>435661.97155989788</v>
      </c>
      <c r="AI25" s="131">
        <f t="shared" si="49"/>
        <v>436574.41132004745</v>
      </c>
      <c r="AJ25" s="131">
        <f t="shared" si="49"/>
        <v>437489.13217959763</v>
      </c>
      <c r="AK25" s="131">
        <f t="shared" si="49"/>
        <v>438406.13984129659</v>
      </c>
      <c r="AL25" s="131">
        <f t="shared" si="49"/>
        <v>439325.44002214994</v>
      </c>
      <c r="AM25" s="131">
        <f t="shared" si="49"/>
        <v>440247.0384534552</v>
      </c>
      <c r="AN25" s="131">
        <f t="shared" si="49"/>
        <v>441170.94088083878</v>
      </c>
      <c r="AO25" s="131">
        <f t="shared" si="49"/>
        <v>442097.15306429099</v>
      </c>
      <c r="AP25" s="131">
        <f t="shared" si="49"/>
        <v>443025.68077820155</v>
      </c>
      <c r="AQ25" s="131">
        <f t="shared" si="49"/>
        <v>443956.52981139702</v>
      </c>
      <c r="AR25" s="131">
        <f t="shared" si="49"/>
        <v>444889.70596717548</v>
      </c>
      <c r="AS25" s="131">
        <f t="shared" si="49"/>
        <v>445825.21506334346</v>
      </c>
      <c r="AT25" s="131">
        <f t="shared" si="49"/>
        <v>446763.06293225184</v>
      </c>
      <c r="AU25" s="131">
        <f t="shared" si="49"/>
        <v>447703.25542083243</v>
      </c>
      <c r="AV25" s="131">
        <f t="shared" si="49"/>
        <v>448645.79839063459</v>
      </c>
      <c r="AW25" s="131">
        <f t="shared" si="49"/>
        <v>449590.69771786116</v>
      </c>
      <c r="AX25" s="131">
        <f t="shared" si="49"/>
        <v>450537.9592934057</v>
      </c>
      <c r="AY25" s="131">
        <f t="shared" si="49"/>
        <v>451487.58902288915</v>
      </c>
      <c r="AZ25" s="131">
        <f t="shared" si="49"/>
        <v>452439.5928266964</v>
      </c>
      <c r="BA25" s="131">
        <f t="shared" si="49"/>
        <v>453393.97664001316</v>
      </c>
      <c r="BB25" s="131">
        <f t="shared" si="49"/>
        <v>454350.74641286326</v>
      </c>
      <c r="BC25" s="131">
        <f t="shared" si="49"/>
        <v>455309.90811014513</v>
      </c>
      <c r="BD25" s="131">
        <f t="shared" si="49"/>
        <v>456271.46771167067</v>
      </c>
      <c r="BE25" s="131">
        <f t="shared" si="49"/>
        <v>15396265.766606169</v>
      </c>
      <c r="BF25" s="131">
        <f t="shared" si="49"/>
        <v>0</v>
      </c>
      <c r="BG25" s="131">
        <f t="shared" si="49"/>
        <v>0</v>
      </c>
      <c r="BH25" s="131">
        <f t="shared" si="49"/>
        <v>0</v>
      </c>
      <c r="BI25" s="131">
        <f t="shared" si="49"/>
        <v>0</v>
      </c>
      <c r="BJ25" s="131">
        <f t="shared" si="49"/>
        <v>0</v>
      </c>
      <c r="BK25" s="131">
        <f t="shared" si="49"/>
        <v>0</v>
      </c>
      <c r="BL25" s="131">
        <f t="shared" si="49"/>
        <v>0</v>
      </c>
      <c r="BM25" s="131">
        <f t="shared" si="49"/>
        <v>0</v>
      </c>
      <c r="BN25" s="131">
        <f t="shared" si="49"/>
        <v>0</v>
      </c>
      <c r="BO25" s="131">
        <f t="shared" si="49"/>
        <v>0</v>
      </c>
      <c r="BP25" s="131">
        <f t="shared" si="49"/>
        <v>0</v>
      </c>
      <c r="BQ25" s="131">
        <f t="shared" si="49"/>
        <v>0</v>
      </c>
      <c r="BR25" s="131">
        <f t="shared" si="49"/>
        <v>0</v>
      </c>
      <c r="BS25" s="131">
        <f t="shared" si="49"/>
        <v>0</v>
      </c>
      <c r="BT25" s="131">
        <f t="shared" si="49"/>
        <v>0</v>
      </c>
      <c r="BU25" s="131">
        <f t="shared" si="49"/>
        <v>0</v>
      </c>
      <c r="BV25" s="131">
        <f t="shared" ref="BV25:DD25" si="50">SUM(BV16:BV17,BV20:BV21)+IF(BV$2=($C$5+$C$33),1,0)*(SUM($C$10)*($C$27)*($C$32))</f>
        <v>0</v>
      </c>
      <c r="BW25" s="131">
        <f t="shared" si="50"/>
        <v>0</v>
      </c>
      <c r="BX25" s="131">
        <f t="shared" si="50"/>
        <v>0</v>
      </c>
      <c r="BY25" s="131">
        <f t="shared" si="50"/>
        <v>0</v>
      </c>
      <c r="BZ25" s="131">
        <f t="shared" si="50"/>
        <v>0</v>
      </c>
      <c r="CA25" s="131">
        <f t="shared" si="50"/>
        <v>0</v>
      </c>
      <c r="CB25" s="131">
        <f t="shared" si="50"/>
        <v>0</v>
      </c>
      <c r="CC25" s="131">
        <f t="shared" si="50"/>
        <v>0</v>
      </c>
      <c r="CD25" s="131">
        <f t="shared" si="50"/>
        <v>0</v>
      </c>
      <c r="CE25" s="131">
        <f t="shared" si="50"/>
        <v>0</v>
      </c>
      <c r="CF25" s="131">
        <f t="shared" si="50"/>
        <v>0</v>
      </c>
      <c r="CG25" s="131">
        <f t="shared" si="50"/>
        <v>0</v>
      </c>
      <c r="CH25" s="131">
        <f t="shared" si="50"/>
        <v>0</v>
      </c>
      <c r="CI25" s="131">
        <f t="shared" si="50"/>
        <v>0</v>
      </c>
      <c r="CJ25" s="131">
        <f t="shared" si="50"/>
        <v>0</v>
      </c>
      <c r="CK25" s="131">
        <f t="shared" si="50"/>
        <v>0</v>
      </c>
      <c r="CL25" s="131">
        <f t="shared" si="50"/>
        <v>0</v>
      </c>
      <c r="CM25" s="131">
        <f t="shared" si="50"/>
        <v>0</v>
      </c>
      <c r="CN25" s="131">
        <f t="shared" si="50"/>
        <v>0</v>
      </c>
      <c r="CO25" s="131">
        <f t="shared" si="50"/>
        <v>0</v>
      </c>
      <c r="CP25" s="131">
        <f t="shared" si="50"/>
        <v>0</v>
      </c>
      <c r="CQ25" s="131">
        <f t="shared" si="50"/>
        <v>0</v>
      </c>
      <c r="CR25" s="131">
        <f t="shared" si="50"/>
        <v>0</v>
      </c>
      <c r="CS25" s="131">
        <f t="shared" si="50"/>
        <v>0</v>
      </c>
      <c r="CT25" s="131">
        <f t="shared" si="50"/>
        <v>0</v>
      </c>
      <c r="CU25" s="131">
        <f t="shared" si="50"/>
        <v>0</v>
      </c>
      <c r="CV25" s="131">
        <f t="shared" si="50"/>
        <v>0</v>
      </c>
      <c r="CW25" s="131">
        <f t="shared" si="50"/>
        <v>0</v>
      </c>
      <c r="CX25" s="131">
        <f t="shared" si="50"/>
        <v>0</v>
      </c>
      <c r="CY25" s="131">
        <f t="shared" si="50"/>
        <v>0</v>
      </c>
      <c r="CZ25" s="131">
        <f t="shared" si="50"/>
        <v>0</v>
      </c>
      <c r="DA25" s="131">
        <f t="shared" si="50"/>
        <v>0</v>
      </c>
      <c r="DB25" s="131">
        <f t="shared" si="50"/>
        <v>0</v>
      </c>
      <c r="DC25" s="131">
        <f t="shared" si="50"/>
        <v>0</v>
      </c>
      <c r="DD25" s="131">
        <f t="shared" si="50"/>
        <v>0</v>
      </c>
      <c r="DE25" s="131">
        <f t="shared" si="3"/>
        <v>9255708.7350897416</v>
      </c>
    </row>
    <row r="26" spans="2:109" ht="15" thickBot="1">
      <c r="B26" s="96" t="s">
        <v>495</v>
      </c>
      <c r="C26" s="151">
        <f>Carátula!$G$46</f>
        <v>0.48</v>
      </c>
      <c r="E26" s="91"/>
      <c r="G26" s="132" t="s">
        <v>418</v>
      </c>
      <c r="H26" s="133">
        <f>SUM(H16:H17,H20:H21)</f>
        <v>-26236675</v>
      </c>
      <c r="I26" s="133">
        <f>SUM(I16:I17,I20:I21)+IF(I$2=($C$5+$C$33),1,0)*(SUM($C$10)*($C$27)*($C$32))-I15+IF(I69&gt;0,-$C$34*IF(I25-I22=0,I14,I25-I22),0)</f>
        <v>-347032.99394900829</v>
      </c>
      <c r="J26" s="133">
        <f t="shared" ref="J26:BU26" si="51">SUM(J16:J17,J20:J21)+IF(J$2=($C$5+$C$33),1,0)*(SUM($C$10)*($C$27)*($C$32))-J15+IF(J69&gt;0,-$C$34*IF(J25-J22=0,J14,J25-J22),0)</f>
        <v>414433.16673736903</v>
      </c>
      <c r="K26" s="133">
        <f t="shared" si="51"/>
        <v>415292.53448546253</v>
      </c>
      <c r="L26" s="133">
        <f t="shared" si="51"/>
        <v>416154.05065292609</v>
      </c>
      <c r="M26" s="133">
        <f t="shared" si="51"/>
        <v>417017.72061080841</v>
      </c>
      <c r="N26" s="133">
        <f t="shared" si="51"/>
        <v>417883.54974358546</v>
      </c>
      <c r="O26" s="133">
        <f t="shared" si="51"/>
        <v>418751.5434491944</v>
      </c>
      <c r="P26" s="133">
        <f t="shared" si="51"/>
        <v>419621.70713906735</v>
      </c>
      <c r="Q26" s="133">
        <f t="shared" si="51"/>
        <v>420494.046238165</v>
      </c>
      <c r="R26" s="133">
        <f t="shared" si="51"/>
        <v>421368.56618501048</v>
      </c>
      <c r="S26" s="133">
        <f t="shared" si="51"/>
        <v>422245.27243172296</v>
      </c>
      <c r="T26" s="133">
        <f t="shared" si="51"/>
        <v>423124.17044405214</v>
      </c>
      <c r="U26" s="133">
        <f t="shared" si="51"/>
        <v>424005.26570141234</v>
      </c>
      <c r="V26" s="133">
        <f t="shared" si="51"/>
        <v>424888.56369691587</v>
      </c>
      <c r="W26" s="133">
        <f t="shared" si="51"/>
        <v>425774.06993740809</v>
      </c>
      <c r="X26" s="133">
        <f t="shared" si="51"/>
        <v>426661.78994350164</v>
      </c>
      <c r="Y26" s="133">
        <f t="shared" si="51"/>
        <v>427551.72924961039</v>
      </c>
      <c r="Z26" s="133">
        <f t="shared" si="51"/>
        <v>428443.89340398432</v>
      </c>
      <c r="AA26" s="133">
        <f t="shared" si="51"/>
        <v>429338.28796874441</v>
      </c>
      <c r="AB26" s="133">
        <f t="shared" si="51"/>
        <v>430234.91851991625</v>
      </c>
      <c r="AC26" s="133">
        <f t="shared" si="51"/>
        <v>431133.79064746597</v>
      </c>
      <c r="AD26" s="133">
        <f t="shared" si="51"/>
        <v>432034.90995533456</v>
      </c>
      <c r="AE26" s="133">
        <f t="shared" si="51"/>
        <v>432938.28206147277</v>
      </c>
      <c r="AF26" s="133">
        <f t="shared" si="51"/>
        <v>433843.91259787657</v>
      </c>
      <c r="AG26" s="133">
        <f t="shared" si="51"/>
        <v>434751.80721062125</v>
      </c>
      <c r="AH26" s="133">
        <f t="shared" si="51"/>
        <v>435661.97155989788</v>
      </c>
      <c r="AI26" s="133">
        <f t="shared" si="51"/>
        <v>436574.41132004745</v>
      </c>
      <c r="AJ26" s="133">
        <f t="shared" si="51"/>
        <v>437489.13217959763</v>
      </c>
      <c r="AK26" s="133">
        <f t="shared" si="51"/>
        <v>438406.13984129659</v>
      </c>
      <c r="AL26" s="133">
        <f t="shared" si="51"/>
        <v>439325.44002214994</v>
      </c>
      <c r="AM26" s="133">
        <f t="shared" si="51"/>
        <v>440247.0384534552</v>
      </c>
      <c r="AN26" s="133">
        <f t="shared" si="51"/>
        <v>441170.94088083878</v>
      </c>
      <c r="AO26" s="133">
        <f t="shared" si="51"/>
        <v>442097.15306429099</v>
      </c>
      <c r="AP26" s="133">
        <f t="shared" si="51"/>
        <v>443025.68077820155</v>
      </c>
      <c r="AQ26" s="133">
        <f t="shared" si="51"/>
        <v>443956.52981139702</v>
      </c>
      <c r="AR26" s="133">
        <f t="shared" si="51"/>
        <v>444889.70596717548</v>
      </c>
      <c r="AS26" s="133">
        <f t="shared" si="51"/>
        <v>445825.21506334346</v>
      </c>
      <c r="AT26" s="133">
        <f t="shared" si="51"/>
        <v>446763.06293225184</v>
      </c>
      <c r="AU26" s="133">
        <f t="shared" si="51"/>
        <v>447703.25542083243</v>
      </c>
      <c r="AV26" s="133">
        <f t="shared" si="51"/>
        <v>448645.79839063459</v>
      </c>
      <c r="AW26" s="133">
        <f t="shared" si="51"/>
        <v>449590.69771786116</v>
      </c>
      <c r="AX26" s="133">
        <f t="shared" si="51"/>
        <v>450537.9592934057</v>
      </c>
      <c r="AY26" s="133">
        <f t="shared" si="51"/>
        <v>451487.58902288915</v>
      </c>
      <c r="AZ26" s="133">
        <f t="shared" si="51"/>
        <v>452439.5928266964</v>
      </c>
      <c r="BA26" s="133">
        <f t="shared" si="51"/>
        <v>453393.97664001316</v>
      </c>
      <c r="BB26" s="133">
        <f t="shared" si="51"/>
        <v>454350.74641286326</v>
      </c>
      <c r="BC26" s="133">
        <f t="shared" si="51"/>
        <v>455309.90811014513</v>
      </c>
      <c r="BD26" s="133">
        <f t="shared" si="51"/>
        <v>456271.46771167067</v>
      </c>
      <c r="BE26" s="133">
        <f t="shared" si="51"/>
        <v>15146462.576606169</v>
      </c>
      <c r="BF26" s="133">
        <f t="shared" si="51"/>
        <v>0</v>
      </c>
      <c r="BG26" s="133">
        <f t="shared" si="51"/>
        <v>0</v>
      </c>
      <c r="BH26" s="133">
        <f t="shared" si="51"/>
        <v>0</v>
      </c>
      <c r="BI26" s="133">
        <f t="shared" si="51"/>
        <v>0</v>
      </c>
      <c r="BJ26" s="133">
        <f t="shared" si="51"/>
        <v>0</v>
      </c>
      <c r="BK26" s="133">
        <f t="shared" si="51"/>
        <v>0</v>
      </c>
      <c r="BL26" s="133">
        <f t="shared" si="51"/>
        <v>0</v>
      </c>
      <c r="BM26" s="133">
        <f t="shared" si="51"/>
        <v>0</v>
      </c>
      <c r="BN26" s="133">
        <f t="shared" si="51"/>
        <v>0</v>
      </c>
      <c r="BO26" s="133">
        <f t="shared" si="51"/>
        <v>0</v>
      </c>
      <c r="BP26" s="133">
        <f t="shared" si="51"/>
        <v>0</v>
      </c>
      <c r="BQ26" s="133">
        <f t="shared" si="51"/>
        <v>0</v>
      </c>
      <c r="BR26" s="133">
        <f t="shared" si="51"/>
        <v>0</v>
      </c>
      <c r="BS26" s="133">
        <f t="shared" si="51"/>
        <v>0</v>
      </c>
      <c r="BT26" s="133">
        <f t="shared" si="51"/>
        <v>0</v>
      </c>
      <c r="BU26" s="133">
        <f t="shared" si="51"/>
        <v>0</v>
      </c>
      <c r="BV26" s="133">
        <f t="shared" ref="BV26:DD26" si="52">SUM(BV16:BV17,BV20:BV21)+IF(BV$2=($C$5+$C$33),1,0)*(SUM($C$10)*($C$27)*($C$32))-BV15+IF(BV69&gt;0,-$C$34*IF(BV25-BV22=0,BV14,BV25-BV22),0)</f>
        <v>0</v>
      </c>
      <c r="BW26" s="133">
        <f t="shared" si="52"/>
        <v>0</v>
      </c>
      <c r="BX26" s="133">
        <f t="shared" si="52"/>
        <v>0</v>
      </c>
      <c r="BY26" s="133">
        <f t="shared" si="52"/>
        <v>0</v>
      </c>
      <c r="BZ26" s="133">
        <f t="shared" si="52"/>
        <v>0</v>
      </c>
      <c r="CA26" s="133">
        <f t="shared" si="52"/>
        <v>0</v>
      </c>
      <c r="CB26" s="133">
        <f t="shared" si="52"/>
        <v>0</v>
      </c>
      <c r="CC26" s="133">
        <f t="shared" si="52"/>
        <v>0</v>
      </c>
      <c r="CD26" s="133">
        <f t="shared" si="52"/>
        <v>0</v>
      </c>
      <c r="CE26" s="133">
        <f t="shared" si="52"/>
        <v>0</v>
      </c>
      <c r="CF26" s="133">
        <f t="shared" si="52"/>
        <v>0</v>
      </c>
      <c r="CG26" s="133">
        <f t="shared" si="52"/>
        <v>0</v>
      </c>
      <c r="CH26" s="133">
        <f t="shared" si="52"/>
        <v>0</v>
      </c>
      <c r="CI26" s="133">
        <f t="shared" si="52"/>
        <v>0</v>
      </c>
      <c r="CJ26" s="133">
        <f t="shared" si="52"/>
        <v>0</v>
      </c>
      <c r="CK26" s="133">
        <f t="shared" si="52"/>
        <v>0</v>
      </c>
      <c r="CL26" s="133">
        <f t="shared" si="52"/>
        <v>0</v>
      </c>
      <c r="CM26" s="133">
        <f t="shared" si="52"/>
        <v>0</v>
      </c>
      <c r="CN26" s="133">
        <f t="shared" si="52"/>
        <v>0</v>
      </c>
      <c r="CO26" s="133">
        <f t="shared" si="52"/>
        <v>0</v>
      </c>
      <c r="CP26" s="133">
        <f t="shared" si="52"/>
        <v>0</v>
      </c>
      <c r="CQ26" s="133">
        <f t="shared" si="52"/>
        <v>0</v>
      </c>
      <c r="CR26" s="133">
        <f t="shared" si="52"/>
        <v>0</v>
      </c>
      <c r="CS26" s="133">
        <f t="shared" si="52"/>
        <v>0</v>
      </c>
      <c r="CT26" s="133">
        <f t="shared" si="52"/>
        <v>0</v>
      </c>
      <c r="CU26" s="133">
        <f t="shared" si="52"/>
        <v>0</v>
      </c>
      <c r="CV26" s="133">
        <f t="shared" si="52"/>
        <v>0</v>
      </c>
      <c r="CW26" s="133">
        <f t="shared" si="52"/>
        <v>0</v>
      </c>
      <c r="CX26" s="133">
        <f t="shared" si="52"/>
        <v>0</v>
      </c>
      <c r="CY26" s="133">
        <f t="shared" si="52"/>
        <v>0</v>
      </c>
      <c r="CZ26" s="133">
        <f t="shared" si="52"/>
        <v>0</v>
      </c>
      <c r="DA26" s="133">
        <f t="shared" si="52"/>
        <v>0</v>
      </c>
      <c r="DB26" s="133">
        <f t="shared" si="52"/>
        <v>0</v>
      </c>
      <c r="DC26" s="133">
        <f t="shared" si="52"/>
        <v>0</v>
      </c>
      <c r="DD26" s="133">
        <f t="shared" si="52"/>
        <v>0</v>
      </c>
      <c r="DE26" s="133">
        <f t="shared" ref="DE26" si="53">SUM(H26:DD26)</f>
        <v>9005905.5450897422</v>
      </c>
    </row>
    <row r="27" spans="2:109">
      <c r="B27" t="s">
        <v>497</v>
      </c>
      <c r="C27" s="129">
        <f>C14*(1-C26)</f>
        <v>13217100</v>
      </c>
      <c r="E27" s="95">
        <f>Carátula!G47-C27</f>
        <v>0</v>
      </c>
      <c r="G27" s="134" t="s">
        <v>419</v>
      </c>
      <c r="H27" s="135">
        <f>IRR(H26:DD26,0)</f>
        <v>8.5264739198318562E-3</v>
      </c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04"/>
      <c r="BW27" s="104"/>
      <c r="BX27" s="104"/>
      <c r="BY27" s="104"/>
      <c r="BZ27" s="104"/>
      <c r="CA27" s="104"/>
      <c r="CB27" s="104"/>
      <c r="CC27" s="104"/>
      <c r="CD27" s="104"/>
      <c r="CE27" s="104"/>
      <c r="CF27" s="104"/>
      <c r="CG27" s="104"/>
      <c r="CH27" s="104"/>
      <c r="CI27" s="104"/>
      <c r="CJ27" s="104"/>
      <c r="CK27" s="104"/>
      <c r="CL27" s="104"/>
      <c r="CM27" s="104"/>
      <c r="CN27" s="104"/>
      <c r="CO27" s="104"/>
      <c r="CP27" s="104"/>
      <c r="CQ27" s="104"/>
      <c r="CR27" s="104"/>
      <c r="CS27" s="104"/>
      <c r="CT27" s="104"/>
      <c r="CU27" s="104"/>
      <c r="CV27" s="104"/>
      <c r="CW27" s="104"/>
      <c r="CX27" s="104"/>
      <c r="CY27" s="104"/>
      <c r="CZ27" s="104"/>
      <c r="DA27" s="104"/>
      <c r="DB27" s="104"/>
      <c r="DC27" s="104"/>
      <c r="DD27" s="104"/>
      <c r="DE27" s="104"/>
    </row>
    <row r="28" spans="2:109">
      <c r="B28" s="140" t="s">
        <v>496</v>
      </c>
      <c r="C28" s="514">
        <f>Carátula!$G$53</f>
        <v>1</v>
      </c>
      <c r="E28" s="95"/>
      <c r="G28" s="136" t="s">
        <v>420</v>
      </c>
      <c r="H28" s="137">
        <f>((1+H27)^12)-1</f>
        <v>0.10725496320103489</v>
      </c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04"/>
      <c r="BW28" s="104"/>
      <c r="BX28" s="104"/>
      <c r="BY28" s="104"/>
      <c r="BZ28" s="104"/>
      <c r="CA28" s="104"/>
      <c r="CB28" s="104"/>
      <c r="CC28" s="104"/>
      <c r="CD28" s="104"/>
      <c r="CE28" s="104"/>
      <c r="CF28" s="104"/>
      <c r="CG28" s="104"/>
      <c r="CH28" s="104"/>
      <c r="CI28" s="104"/>
      <c r="CJ28" s="104"/>
      <c r="CK28" s="104"/>
      <c r="CL28" s="104"/>
      <c r="CM28" s="104"/>
      <c r="CN28" s="104"/>
      <c r="CO28" s="104"/>
      <c r="CP28" s="104"/>
      <c r="CQ28" s="104"/>
      <c r="CR28" s="104"/>
      <c r="CS28" s="104"/>
      <c r="CT28" s="104"/>
      <c r="CU28" s="104"/>
      <c r="CV28" s="104"/>
      <c r="CW28" s="104"/>
      <c r="CX28" s="104"/>
      <c r="CY28" s="104"/>
      <c r="CZ28" s="104"/>
      <c r="DA28" s="104"/>
      <c r="DB28" s="104"/>
      <c r="DC28" s="104"/>
      <c r="DD28" s="104"/>
      <c r="DE28" s="104"/>
    </row>
    <row r="29" spans="2:109">
      <c r="B29" s="107" t="s">
        <v>498</v>
      </c>
      <c r="C29" s="152">
        <f>C16*(1-C28)</f>
        <v>0</v>
      </c>
      <c r="E29" s="95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86"/>
      <c r="BH29" s="86"/>
      <c r="BI29" s="86"/>
      <c r="BJ29" s="86"/>
      <c r="BK29" s="86"/>
      <c r="BL29" s="86"/>
      <c r="BM29" s="86"/>
      <c r="BN29" s="86"/>
      <c r="BO29" s="86"/>
      <c r="BP29" s="86"/>
      <c r="BQ29" s="86"/>
      <c r="BR29" s="86"/>
      <c r="BS29" s="86"/>
      <c r="BT29" s="86"/>
      <c r="BU29" s="86"/>
      <c r="BV29" s="86"/>
      <c r="BW29" s="86"/>
      <c r="BX29" s="86"/>
      <c r="BY29" s="86"/>
      <c r="BZ29" s="86"/>
      <c r="CA29" s="86"/>
      <c r="CB29" s="86"/>
      <c r="CC29" s="86"/>
      <c r="CD29" s="86"/>
      <c r="CE29" s="86"/>
      <c r="CF29" s="86"/>
      <c r="CG29" s="86"/>
      <c r="CH29" s="86"/>
      <c r="CI29" s="86"/>
      <c r="CJ29" s="86"/>
      <c r="CK29" s="86"/>
      <c r="CL29" s="86"/>
      <c r="CM29" s="86"/>
      <c r="CN29" s="86"/>
      <c r="CO29" s="86"/>
      <c r="CP29" s="86"/>
      <c r="CQ29" s="86"/>
      <c r="CR29" s="86"/>
      <c r="CS29" s="86"/>
      <c r="CT29" s="86"/>
      <c r="CU29" s="86"/>
      <c r="CV29" s="86"/>
      <c r="CW29" s="86"/>
      <c r="CX29" s="86"/>
      <c r="CY29" s="86"/>
      <c r="CZ29" s="86"/>
      <c r="DA29" s="86"/>
      <c r="DB29" s="86"/>
      <c r="DC29" s="86"/>
      <c r="DD29" s="86"/>
      <c r="DE29" s="86"/>
    </row>
    <row r="30" spans="2:109" ht="15" thickBot="1">
      <c r="B30" t="s">
        <v>439</v>
      </c>
      <c r="C30" s="129">
        <f>Carátula!$G$59</f>
        <v>0</v>
      </c>
      <c r="E30" s="91"/>
      <c r="G30" s="87" t="s">
        <v>245</v>
      </c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88"/>
      <c r="CL30" s="88"/>
      <c r="CM30" s="88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</row>
    <row r="31" spans="2:109">
      <c r="B31" t="s">
        <v>426</v>
      </c>
      <c r="C31" s="86">
        <f>C27*(1+C32)</f>
        <v>14142297</v>
      </c>
      <c r="E31" s="95">
        <f>Carátula!G97-C31</f>
        <v>0</v>
      </c>
      <c r="G31" s="83" t="s">
        <v>239</v>
      </c>
      <c r="H31" s="93">
        <f t="shared" ref="H31:AM31" si="54">H14-H8</f>
        <v>0</v>
      </c>
      <c r="I31" s="93">
        <f t="shared" si="54"/>
        <v>243961.90691916668</v>
      </c>
      <c r="J31" s="93">
        <f t="shared" si="54"/>
        <v>245226.31231146445</v>
      </c>
      <c r="K31" s="93">
        <f t="shared" si="54"/>
        <v>246493.87871724318</v>
      </c>
      <c r="L31" s="93">
        <f t="shared" si="54"/>
        <v>247764.61403903618</v>
      </c>
      <c r="M31" s="93">
        <f t="shared" si="54"/>
        <v>249038.52619913375</v>
      </c>
      <c r="N31" s="93">
        <f t="shared" si="54"/>
        <v>250315.62313963164</v>
      </c>
      <c r="O31" s="93">
        <f t="shared" si="54"/>
        <v>251595.91282248069</v>
      </c>
      <c r="P31" s="93">
        <f t="shared" si="54"/>
        <v>252879.40322953681</v>
      </c>
      <c r="Q31" s="93">
        <f t="shared" si="54"/>
        <v>254166.10236261063</v>
      </c>
      <c r="R31" s="93">
        <f t="shared" si="54"/>
        <v>255456.01824351726</v>
      </c>
      <c r="S31" s="93">
        <f t="shared" si="54"/>
        <v>256749.15891412602</v>
      </c>
      <c r="T31" s="93">
        <f t="shared" si="54"/>
        <v>258045.53243641113</v>
      </c>
      <c r="U31" s="93">
        <f t="shared" si="54"/>
        <v>259345.14689250226</v>
      </c>
      <c r="V31" s="93">
        <f t="shared" si="54"/>
        <v>260648.01038473353</v>
      </c>
      <c r="W31" s="93">
        <f t="shared" si="54"/>
        <v>261954.13103569526</v>
      </c>
      <c r="X31" s="93">
        <f t="shared" si="54"/>
        <v>263263.51698828454</v>
      </c>
      <c r="Y31" s="93">
        <f t="shared" si="54"/>
        <v>264576.17640575522</v>
      </c>
      <c r="Z31" s="93">
        <f t="shared" si="54"/>
        <v>265892.11747176945</v>
      </c>
      <c r="AA31" s="93">
        <f t="shared" si="54"/>
        <v>267211.34839044907</v>
      </c>
      <c r="AB31" s="93">
        <f t="shared" si="54"/>
        <v>268533.87738642516</v>
      </c>
      <c r="AC31" s="93">
        <f t="shared" si="54"/>
        <v>269859.71270489111</v>
      </c>
      <c r="AD31" s="93">
        <f t="shared" si="54"/>
        <v>271188.86261165328</v>
      </c>
      <c r="AE31" s="93">
        <f t="shared" si="54"/>
        <v>272521.33539318223</v>
      </c>
      <c r="AF31" s="93">
        <f t="shared" si="54"/>
        <v>273857.13935666531</v>
      </c>
      <c r="AG31" s="93">
        <f t="shared" si="54"/>
        <v>275196.28283005697</v>
      </c>
      <c r="AH31" s="93">
        <f t="shared" si="54"/>
        <v>276538.77416213218</v>
      </c>
      <c r="AI31" s="93">
        <f t="shared" si="54"/>
        <v>277884.62172253733</v>
      </c>
      <c r="AJ31" s="93">
        <f t="shared" si="54"/>
        <v>279233.83390184375</v>
      </c>
      <c r="AK31" s="93">
        <f t="shared" si="54"/>
        <v>280586.41911159828</v>
      </c>
      <c r="AL31" s="93">
        <f t="shared" si="54"/>
        <v>281942.38578437746</v>
      </c>
      <c r="AM31" s="93">
        <f t="shared" si="54"/>
        <v>283301.74237383821</v>
      </c>
      <c r="AN31" s="93">
        <f t="shared" ref="AN31:BS31" si="55">AN14-AN8</f>
        <v>284664.49735477276</v>
      </c>
      <c r="AO31" s="93">
        <f t="shared" si="55"/>
        <v>286030.65922315978</v>
      </c>
      <c r="AP31" s="93">
        <f t="shared" si="55"/>
        <v>287400.23649621755</v>
      </c>
      <c r="AQ31" s="93">
        <f t="shared" si="55"/>
        <v>288773.23771245801</v>
      </c>
      <c r="AR31" s="93">
        <f t="shared" si="55"/>
        <v>290149.67143173912</v>
      </c>
      <c r="AS31" s="93">
        <f t="shared" si="55"/>
        <v>291529.54623531853</v>
      </c>
      <c r="AT31" s="93">
        <f t="shared" si="55"/>
        <v>292912.8707259068</v>
      </c>
      <c r="AU31" s="93">
        <f t="shared" si="55"/>
        <v>294299.65352772153</v>
      </c>
      <c r="AV31" s="93">
        <f t="shared" si="55"/>
        <v>295689.90328654088</v>
      </c>
      <c r="AW31" s="93">
        <f t="shared" si="55"/>
        <v>297083.62866975728</v>
      </c>
      <c r="AX31" s="93">
        <f t="shared" si="55"/>
        <v>298480.83836643153</v>
      </c>
      <c r="AY31" s="93">
        <f t="shared" si="55"/>
        <v>299881.54108734755</v>
      </c>
      <c r="AZ31" s="93">
        <f t="shared" si="55"/>
        <v>301285.74556506588</v>
      </c>
      <c r="BA31" s="93">
        <f t="shared" si="55"/>
        <v>302693.46055397857</v>
      </c>
      <c r="BB31" s="93">
        <f t="shared" si="55"/>
        <v>304104.69483036362</v>
      </c>
      <c r="BC31" s="93">
        <f t="shared" si="55"/>
        <v>305519.45719243918</v>
      </c>
      <c r="BD31" s="93">
        <f t="shared" si="55"/>
        <v>306937.75646042044</v>
      </c>
      <c r="BE31" s="93">
        <f t="shared" si="55"/>
        <v>0</v>
      </c>
      <c r="BF31" s="93">
        <f t="shared" si="55"/>
        <v>0</v>
      </c>
      <c r="BG31" s="93">
        <f t="shared" si="55"/>
        <v>0</v>
      </c>
      <c r="BH31" s="93">
        <f t="shared" si="55"/>
        <v>0</v>
      </c>
      <c r="BI31" s="93">
        <f t="shared" si="55"/>
        <v>0</v>
      </c>
      <c r="BJ31" s="93">
        <f t="shared" si="55"/>
        <v>0</v>
      </c>
      <c r="BK31" s="93">
        <f t="shared" si="55"/>
        <v>0</v>
      </c>
      <c r="BL31" s="93">
        <f t="shared" si="55"/>
        <v>0</v>
      </c>
      <c r="BM31" s="93">
        <f t="shared" si="55"/>
        <v>0</v>
      </c>
      <c r="BN31" s="93">
        <f t="shared" si="55"/>
        <v>0</v>
      </c>
      <c r="BO31" s="93">
        <f t="shared" si="55"/>
        <v>0</v>
      </c>
      <c r="BP31" s="93">
        <f t="shared" si="55"/>
        <v>0</v>
      </c>
      <c r="BQ31" s="93">
        <f t="shared" si="55"/>
        <v>0</v>
      </c>
      <c r="BR31" s="93">
        <f t="shared" si="55"/>
        <v>0</v>
      </c>
      <c r="BS31" s="93">
        <f t="shared" si="55"/>
        <v>0</v>
      </c>
      <c r="BT31" s="93">
        <f t="shared" ref="BT31:DD31" si="56">BT14-BT8</f>
        <v>0</v>
      </c>
      <c r="BU31" s="93">
        <f t="shared" si="56"/>
        <v>0</v>
      </c>
      <c r="BV31" s="93">
        <f t="shared" si="56"/>
        <v>0</v>
      </c>
      <c r="BW31" s="93">
        <f t="shared" si="56"/>
        <v>0</v>
      </c>
      <c r="BX31" s="93">
        <f t="shared" si="56"/>
        <v>0</v>
      </c>
      <c r="BY31" s="93">
        <f t="shared" si="56"/>
        <v>0</v>
      </c>
      <c r="BZ31" s="93">
        <f t="shared" si="56"/>
        <v>0</v>
      </c>
      <c r="CA31" s="93">
        <f t="shared" si="56"/>
        <v>0</v>
      </c>
      <c r="CB31" s="93">
        <f t="shared" si="56"/>
        <v>0</v>
      </c>
      <c r="CC31" s="93">
        <f t="shared" si="56"/>
        <v>0</v>
      </c>
      <c r="CD31" s="93">
        <f t="shared" si="56"/>
        <v>0</v>
      </c>
      <c r="CE31" s="93">
        <f t="shared" si="56"/>
        <v>0</v>
      </c>
      <c r="CF31" s="93">
        <f t="shared" si="56"/>
        <v>0</v>
      </c>
      <c r="CG31" s="93">
        <f t="shared" si="56"/>
        <v>0</v>
      </c>
      <c r="CH31" s="93">
        <f t="shared" si="56"/>
        <v>0</v>
      </c>
      <c r="CI31" s="93">
        <f t="shared" si="56"/>
        <v>0</v>
      </c>
      <c r="CJ31" s="93">
        <f t="shared" si="56"/>
        <v>0</v>
      </c>
      <c r="CK31" s="93">
        <f t="shared" si="56"/>
        <v>0</v>
      </c>
      <c r="CL31" s="93">
        <f t="shared" si="56"/>
        <v>0</v>
      </c>
      <c r="CM31" s="93">
        <f t="shared" si="56"/>
        <v>0</v>
      </c>
      <c r="CN31" s="93">
        <f t="shared" si="56"/>
        <v>0</v>
      </c>
      <c r="CO31" s="93">
        <f t="shared" si="56"/>
        <v>0</v>
      </c>
      <c r="CP31" s="93">
        <f t="shared" si="56"/>
        <v>0</v>
      </c>
      <c r="CQ31" s="93">
        <f t="shared" si="56"/>
        <v>0</v>
      </c>
      <c r="CR31" s="93">
        <f t="shared" si="56"/>
        <v>0</v>
      </c>
      <c r="CS31" s="93">
        <f t="shared" si="56"/>
        <v>0</v>
      </c>
      <c r="CT31" s="93">
        <f t="shared" si="56"/>
        <v>0</v>
      </c>
      <c r="CU31" s="93">
        <f t="shared" si="56"/>
        <v>0</v>
      </c>
      <c r="CV31" s="93">
        <f t="shared" si="56"/>
        <v>0</v>
      </c>
      <c r="CW31" s="93">
        <f t="shared" si="56"/>
        <v>0</v>
      </c>
      <c r="CX31" s="93">
        <f t="shared" si="56"/>
        <v>0</v>
      </c>
      <c r="CY31" s="93">
        <f t="shared" si="56"/>
        <v>0</v>
      </c>
      <c r="CZ31" s="93">
        <f t="shared" si="56"/>
        <v>0</v>
      </c>
      <c r="DA31" s="93">
        <f t="shared" si="56"/>
        <v>0</v>
      </c>
      <c r="DB31" s="93">
        <f t="shared" si="56"/>
        <v>0</v>
      </c>
      <c r="DC31" s="93">
        <f t="shared" si="56"/>
        <v>0</v>
      </c>
      <c r="DD31" s="93">
        <f t="shared" si="56"/>
        <v>0</v>
      </c>
      <c r="DE31" s="93">
        <f t="shared" ref="DE31:DE40" si="57">SUM(H31:DD31)</f>
        <v>13192665.82296239</v>
      </c>
    </row>
    <row r="32" spans="2:109">
      <c r="B32" t="s">
        <v>350</v>
      </c>
      <c r="C32" s="108">
        <f>Carátula!$G$96</f>
        <v>7.0000000000000007E-2</v>
      </c>
      <c r="E32" s="91"/>
      <c r="G32" t="s">
        <v>244</v>
      </c>
      <c r="H32" s="86">
        <f t="shared" ref="H32:AN32" si="58">IF(H65&gt;0,-$C$34*H31,0)</f>
        <v>0</v>
      </c>
      <c r="I32" s="86">
        <f t="shared" si="58"/>
        <v>-65869.714868175011</v>
      </c>
      <c r="J32" s="86">
        <f t="shared" si="58"/>
        <v>-66211.104324095402</v>
      </c>
      <c r="K32" s="86">
        <f t="shared" si="58"/>
        <v>-66553.347253655666</v>
      </c>
      <c r="L32" s="86">
        <f t="shared" si="58"/>
        <v>-66896.445790539772</v>
      </c>
      <c r="M32" s="86">
        <f t="shared" si="58"/>
        <v>-67240.402073766119</v>
      </c>
      <c r="N32" s="86">
        <f t="shared" si="58"/>
        <v>-67585.218247700555</v>
      </c>
      <c r="O32" s="86">
        <f t="shared" si="58"/>
        <v>-67930.896462069795</v>
      </c>
      <c r="P32" s="86">
        <f t="shared" si="58"/>
        <v>-68277.43887197494</v>
      </c>
      <c r="Q32" s="86">
        <f t="shared" si="58"/>
        <v>-68624.847637904881</v>
      </c>
      <c r="R32" s="86">
        <f t="shared" si="58"/>
        <v>-68973.124925749667</v>
      </c>
      <c r="S32" s="86">
        <f t="shared" si="58"/>
        <v>-69322.272906814032</v>
      </c>
      <c r="T32" s="86">
        <f t="shared" si="58"/>
        <v>-69672.293757831008</v>
      </c>
      <c r="U32" s="86">
        <f t="shared" si="58"/>
        <v>-70023.189660975622</v>
      </c>
      <c r="V32" s="86">
        <f t="shared" si="58"/>
        <v>-70374.96280387805</v>
      </c>
      <c r="W32" s="86">
        <f t="shared" si="58"/>
        <v>-70727.615379637718</v>
      </c>
      <c r="X32" s="86">
        <f t="shared" si="58"/>
        <v>-71081.149586836837</v>
      </c>
      <c r="Y32" s="86">
        <f t="shared" si="58"/>
        <v>-71435.567629553916</v>
      </c>
      <c r="Z32" s="86">
        <f t="shared" si="58"/>
        <v>-71790.871717377755</v>
      </c>
      <c r="AA32" s="86">
        <f t="shared" si="58"/>
        <v>-72147.064065421248</v>
      </c>
      <c r="AB32" s="86">
        <f t="shared" si="58"/>
        <v>-72504.146894334801</v>
      </c>
      <c r="AC32" s="86">
        <f t="shared" si="58"/>
        <v>-72862.122430320596</v>
      </c>
      <c r="AD32" s="86">
        <f t="shared" si="58"/>
        <v>-73220.992905146384</v>
      </c>
      <c r="AE32" s="86">
        <f t="shared" si="58"/>
        <v>-73580.760556159206</v>
      </c>
      <c r="AF32" s="86">
        <f t="shared" si="58"/>
        <v>-73941.427626299643</v>
      </c>
      <c r="AG32" s="86">
        <f t="shared" si="58"/>
        <v>-74302.996364115388</v>
      </c>
      <c r="AH32" s="86">
        <f t="shared" si="58"/>
        <v>-74665.469023775688</v>
      </c>
      <c r="AI32" s="86">
        <f t="shared" si="58"/>
        <v>-75028.847865085088</v>
      </c>
      <c r="AJ32" s="86">
        <f t="shared" si="58"/>
        <v>-75393.135153497817</v>
      </c>
      <c r="AK32" s="86">
        <f t="shared" si="58"/>
        <v>-75758.333160131544</v>
      </c>
      <c r="AL32" s="86">
        <f t="shared" si="58"/>
        <v>-76124.444161781925</v>
      </c>
      <c r="AM32" s="86">
        <f t="shared" si="58"/>
        <v>-76491.470440936318</v>
      </c>
      <c r="AN32" s="86">
        <f t="shared" si="58"/>
        <v>-76859.414285788647</v>
      </c>
      <c r="AO32" s="86">
        <f t="shared" ref="AO32:BT32" si="59">IF(AO65&gt;0,-$C$34*AO31,0)</f>
        <v>-77228.277990253147</v>
      </c>
      <c r="AP32" s="86">
        <f t="shared" si="59"/>
        <v>-77598.063853978747</v>
      </c>
      <c r="AQ32" s="86">
        <f t="shared" si="59"/>
        <v>-77968.774182363661</v>
      </c>
      <c r="AR32" s="86">
        <f t="shared" si="59"/>
        <v>-78340.411286569564</v>
      </c>
      <c r="AS32" s="86">
        <f t="shared" si="59"/>
        <v>-78712.977483536015</v>
      </c>
      <c r="AT32" s="86">
        <f t="shared" si="59"/>
        <v>-79086.475095994843</v>
      </c>
      <c r="AU32" s="86">
        <f t="shared" si="59"/>
        <v>-79460.906452484822</v>
      </c>
      <c r="AV32" s="86">
        <f t="shared" si="59"/>
        <v>-79836.273887366042</v>
      </c>
      <c r="AW32" s="86">
        <f t="shared" si="59"/>
        <v>-80212.579740834466</v>
      </c>
      <c r="AX32" s="86">
        <f t="shared" si="59"/>
        <v>-80589.826358936523</v>
      </c>
      <c r="AY32" s="86">
        <f t="shared" si="59"/>
        <v>-80968.01609358385</v>
      </c>
      <c r="AZ32" s="86">
        <f t="shared" si="59"/>
        <v>-81347.1513025678</v>
      </c>
      <c r="BA32" s="86">
        <f t="shared" si="59"/>
        <v>-81727.234349574224</v>
      </c>
      <c r="BB32" s="86">
        <f t="shared" si="59"/>
        <v>-82108.267604198176</v>
      </c>
      <c r="BC32" s="86">
        <f t="shared" si="59"/>
        <v>-82490.253441958586</v>
      </c>
      <c r="BD32" s="86">
        <f t="shared" si="59"/>
        <v>-82873.194244313519</v>
      </c>
      <c r="BE32" s="86">
        <f t="shared" si="59"/>
        <v>0</v>
      </c>
      <c r="BF32" s="86">
        <f t="shared" si="59"/>
        <v>0</v>
      </c>
      <c r="BG32" s="86">
        <f t="shared" si="59"/>
        <v>0</v>
      </c>
      <c r="BH32" s="86">
        <f t="shared" si="59"/>
        <v>0</v>
      </c>
      <c r="BI32" s="86">
        <f t="shared" si="59"/>
        <v>0</v>
      </c>
      <c r="BJ32" s="86">
        <f t="shared" si="59"/>
        <v>0</v>
      </c>
      <c r="BK32" s="86">
        <f t="shared" si="59"/>
        <v>0</v>
      </c>
      <c r="BL32" s="86">
        <f t="shared" si="59"/>
        <v>0</v>
      </c>
      <c r="BM32" s="86">
        <f t="shared" si="59"/>
        <v>0</v>
      </c>
      <c r="BN32" s="86">
        <f t="shared" si="59"/>
        <v>0</v>
      </c>
      <c r="BO32" s="86">
        <f t="shared" si="59"/>
        <v>0</v>
      </c>
      <c r="BP32" s="86">
        <f t="shared" si="59"/>
        <v>0</v>
      </c>
      <c r="BQ32" s="86">
        <f t="shared" si="59"/>
        <v>0</v>
      </c>
      <c r="BR32" s="86">
        <f t="shared" si="59"/>
        <v>0</v>
      </c>
      <c r="BS32" s="86">
        <f t="shared" si="59"/>
        <v>0</v>
      </c>
      <c r="BT32" s="86">
        <f t="shared" si="59"/>
        <v>0</v>
      </c>
      <c r="BU32" s="86">
        <f t="shared" ref="BU32:CZ32" si="60">IF(BU65&gt;0,-$C$34*BU31,0)</f>
        <v>0</v>
      </c>
      <c r="BV32" s="86">
        <f t="shared" si="60"/>
        <v>0</v>
      </c>
      <c r="BW32" s="86">
        <f t="shared" si="60"/>
        <v>0</v>
      </c>
      <c r="BX32" s="86">
        <f t="shared" si="60"/>
        <v>0</v>
      </c>
      <c r="BY32" s="86">
        <f t="shared" si="60"/>
        <v>0</v>
      </c>
      <c r="BZ32" s="86">
        <f t="shared" si="60"/>
        <v>0</v>
      </c>
      <c r="CA32" s="86">
        <f t="shared" si="60"/>
        <v>0</v>
      </c>
      <c r="CB32" s="86">
        <f t="shared" si="60"/>
        <v>0</v>
      </c>
      <c r="CC32" s="86">
        <f t="shared" si="60"/>
        <v>0</v>
      </c>
      <c r="CD32" s="86">
        <f t="shared" si="60"/>
        <v>0</v>
      </c>
      <c r="CE32" s="86">
        <f t="shared" si="60"/>
        <v>0</v>
      </c>
      <c r="CF32" s="86">
        <f t="shared" si="60"/>
        <v>0</v>
      </c>
      <c r="CG32" s="86">
        <f t="shared" si="60"/>
        <v>0</v>
      </c>
      <c r="CH32" s="86">
        <f t="shared" si="60"/>
        <v>0</v>
      </c>
      <c r="CI32" s="86">
        <f t="shared" si="60"/>
        <v>0</v>
      </c>
      <c r="CJ32" s="86">
        <f t="shared" si="60"/>
        <v>0</v>
      </c>
      <c r="CK32" s="86">
        <f t="shared" si="60"/>
        <v>0</v>
      </c>
      <c r="CL32" s="86">
        <f t="shared" si="60"/>
        <v>0</v>
      </c>
      <c r="CM32" s="86">
        <f t="shared" si="60"/>
        <v>0</v>
      </c>
      <c r="CN32" s="86">
        <f t="shared" si="60"/>
        <v>0</v>
      </c>
      <c r="CO32" s="86">
        <f t="shared" si="60"/>
        <v>0</v>
      </c>
      <c r="CP32" s="86">
        <f t="shared" si="60"/>
        <v>0</v>
      </c>
      <c r="CQ32" s="86">
        <f t="shared" si="60"/>
        <v>0</v>
      </c>
      <c r="CR32" s="86">
        <f t="shared" si="60"/>
        <v>0</v>
      </c>
      <c r="CS32" s="86">
        <f t="shared" si="60"/>
        <v>0</v>
      </c>
      <c r="CT32" s="86">
        <f t="shared" si="60"/>
        <v>0</v>
      </c>
      <c r="CU32" s="86">
        <f t="shared" si="60"/>
        <v>0</v>
      </c>
      <c r="CV32" s="86">
        <f t="shared" si="60"/>
        <v>0</v>
      </c>
      <c r="CW32" s="86">
        <f t="shared" si="60"/>
        <v>0</v>
      </c>
      <c r="CX32" s="86">
        <f t="shared" si="60"/>
        <v>0</v>
      </c>
      <c r="CY32" s="86">
        <f t="shared" si="60"/>
        <v>0</v>
      </c>
      <c r="CZ32" s="86">
        <f t="shared" si="60"/>
        <v>0</v>
      </c>
      <c r="DA32" s="86">
        <f t="shared" ref="DA32:DD32" si="61">IF(DA65&gt;0,-$C$34*DA31,0)</f>
        <v>0</v>
      </c>
      <c r="DB32" s="86">
        <f t="shared" si="61"/>
        <v>0</v>
      </c>
      <c r="DC32" s="86">
        <f t="shared" si="61"/>
        <v>0</v>
      </c>
      <c r="DD32" s="86">
        <f t="shared" si="61"/>
        <v>0</v>
      </c>
      <c r="DE32" s="86">
        <f t="shared" si="57"/>
        <v>-3562019.7721998463</v>
      </c>
    </row>
    <row r="33" spans="2:109">
      <c r="B33" s="100" t="s">
        <v>349</v>
      </c>
      <c r="C33" s="153">
        <f>Carátula!$G$58</f>
        <v>1</v>
      </c>
      <c r="E33" s="91"/>
      <c r="G33" s="83" t="s">
        <v>243</v>
      </c>
      <c r="H33" s="93">
        <f t="shared" ref="H33:BT33" si="62">SUM(H31:H32)</f>
        <v>0</v>
      </c>
      <c r="I33" s="93">
        <f t="shared" si="62"/>
        <v>178092.19205099167</v>
      </c>
      <c r="J33" s="93">
        <f t="shared" si="62"/>
        <v>179015.20798736904</v>
      </c>
      <c r="K33" s="93">
        <f t="shared" si="62"/>
        <v>179940.53146358751</v>
      </c>
      <c r="L33" s="93">
        <f t="shared" si="62"/>
        <v>180868.16824849643</v>
      </c>
      <c r="M33" s="93">
        <f t="shared" si="62"/>
        <v>181798.12412536761</v>
      </c>
      <c r="N33" s="93">
        <f t="shared" si="62"/>
        <v>182730.4048919311</v>
      </c>
      <c r="O33" s="93">
        <f t="shared" si="62"/>
        <v>183665.0163604109</v>
      </c>
      <c r="P33" s="93">
        <f t="shared" si="62"/>
        <v>184601.96435756187</v>
      </c>
      <c r="Q33" s="93">
        <f t="shared" si="62"/>
        <v>185541.25472470577</v>
      </c>
      <c r="R33" s="93">
        <f t="shared" si="62"/>
        <v>186482.89331776759</v>
      </c>
      <c r="S33" s="93">
        <f t="shared" si="62"/>
        <v>187426.88600731199</v>
      </c>
      <c r="T33" s="93">
        <f t="shared" si="62"/>
        <v>188373.23867858012</v>
      </c>
      <c r="U33" s="93">
        <f t="shared" si="62"/>
        <v>189321.95723152664</v>
      </c>
      <c r="V33" s="93">
        <f t="shared" si="62"/>
        <v>190273.04758085549</v>
      </c>
      <c r="W33" s="93">
        <f t="shared" si="62"/>
        <v>191226.51565605754</v>
      </c>
      <c r="X33" s="93">
        <f t="shared" si="62"/>
        <v>192182.3674014477</v>
      </c>
      <c r="Y33" s="93">
        <f t="shared" si="62"/>
        <v>193140.60877620132</v>
      </c>
      <c r="Z33" s="93">
        <f t="shared" si="62"/>
        <v>194101.24575439171</v>
      </c>
      <c r="AA33" s="93">
        <f t="shared" si="62"/>
        <v>195064.28432502784</v>
      </c>
      <c r="AB33" s="93">
        <f t="shared" si="62"/>
        <v>196029.73049209034</v>
      </c>
      <c r="AC33" s="93">
        <f t="shared" si="62"/>
        <v>196997.59027457051</v>
      </c>
      <c r="AD33" s="93">
        <f t="shared" si="62"/>
        <v>197967.8697065069</v>
      </c>
      <c r="AE33" s="93">
        <f t="shared" si="62"/>
        <v>198940.57483702304</v>
      </c>
      <c r="AF33" s="93">
        <f t="shared" si="62"/>
        <v>199915.71173036567</v>
      </c>
      <c r="AG33" s="93">
        <f t="shared" si="62"/>
        <v>200893.28646594158</v>
      </c>
      <c r="AH33" s="93">
        <f t="shared" si="62"/>
        <v>201873.30513835649</v>
      </c>
      <c r="AI33" s="93">
        <f t="shared" si="62"/>
        <v>202855.77385745224</v>
      </c>
      <c r="AJ33" s="93">
        <f t="shared" si="62"/>
        <v>203840.69874834595</v>
      </c>
      <c r="AK33" s="93">
        <f t="shared" si="62"/>
        <v>204828.08595146675</v>
      </c>
      <c r="AL33" s="93">
        <f t="shared" si="62"/>
        <v>205817.94162259554</v>
      </c>
      <c r="AM33" s="93">
        <f t="shared" si="62"/>
        <v>206810.27193290187</v>
      </c>
      <c r="AN33" s="93">
        <f t="shared" si="62"/>
        <v>207805.0830689841</v>
      </c>
      <c r="AO33" s="93">
        <f t="shared" si="62"/>
        <v>208802.38123290663</v>
      </c>
      <c r="AP33" s="93">
        <f t="shared" si="62"/>
        <v>209802.17264223879</v>
      </c>
      <c r="AQ33" s="93">
        <f t="shared" si="62"/>
        <v>210804.46353009436</v>
      </c>
      <c r="AR33" s="93">
        <f t="shared" si="62"/>
        <v>211809.26014516957</v>
      </c>
      <c r="AS33" s="93">
        <f t="shared" si="62"/>
        <v>212816.56875178253</v>
      </c>
      <c r="AT33" s="93">
        <f t="shared" si="62"/>
        <v>213826.39562991197</v>
      </c>
      <c r="AU33" s="93">
        <f t="shared" si="62"/>
        <v>214838.74707523669</v>
      </c>
      <c r="AV33" s="93">
        <f t="shared" si="62"/>
        <v>215853.62939917482</v>
      </c>
      <c r="AW33" s="93">
        <f t="shared" si="62"/>
        <v>216871.0489289228</v>
      </c>
      <c r="AX33" s="93">
        <f t="shared" si="62"/>
        <v>217891.01200749501</v>
      </c>
      <c r="AY33" s="93">
        <f t="shared" si="62"/>
        <v>218913.52499376371</v>
      </c>
      <c r="AZ33" s="93">
        <f t="shared" si="62"/>
        <v>219938.59426249808</v>
      </c>
      <c r="BA33" s="93">
        <f t="shared" si="62"/>
        <v>220966.22620440435</v>
      </c>
      <c r="BB33" s="93">
        <f t="shared" si="62"/>
        <v>221996.42722616543</v>
      </c>
      <c r="BC33" s="93">
        <f t="shared" si="62"/>
        <v>223029.20375048061</v>
      </c>
      <c r="BD33" s="93">
        <f t="shared" si="62"/>
        <v>224064.56221610692</v>
      </c>
      <c r="BE33" s="93">
        <f t="shared" si="62"/>
        <v>0</v>
      </c>
      <c r="BF33" s="93">
        <f t="shared" si="62"/>
        <v>0</v>
      </c>
      <c r="BG33" s="93">
        <f t="shared" si="62"/>
        <v>0</v>
      </c>
      <c r="BH33" s="93">
        <f t="shared" si="62"/>
        <v>0</v>
      </c>
      <c r="BI33" s="93">
        <f t="shared" si="62"/>
        <v>0</v>
      </c>
      <c r="BJ33" s="93">
        <f t="shared" si="62"/>
        <v>0</v>
      </c>
      <c r="BK33" s="93">
        <f t="shared" si="62"/>
        <v>0</v>
      </c>
      <c r="BL33" s="93">
        <f t="shared" si="62"/>
        <v>0</v>
      </c>
      <c r="BM33" s="93">
        <f t="shared" si="62"/>
        <v>0</v>
      </c>
      <c r="BN33" s="93">
        <f t="shared" si="62"/>
        <v>0</v>
      </c>
      <c r="BO33" s="93">
        <f t="shared" si="62"/>
        <v>0</v>
      </c>
      <c r="BP33" s="93">
        <f t="shared" si="62"/>
        <v>0</v>
      </c>
      <c r="BQ33" s="93">
        <f t="shared" si="62"/>
        <v>0</v>
      </c>
      <c r="BR33" s="93">
        <f t="shared" si="62"/>
        <v>0</v>
      </c>
      <c r="BS33" s="93">
        <f t="shared" si="62"/>
        <v>0</v>
      </c>
      <c r="BT33" s="93">
        <f t="shared" si="62"/>
        <v>0</v>
      </c>
      <c r="BU33" s="93">
        <f t="shared" ref="BU33:DD33" si="63">SUM(BU31:BU32)</f>
        <v>0</v>
      </c>
      <c r="BV33" s="93">
        <f t="shared" si="63"/>
        <v>0</v>
      </c>
      <c r="BW33" s="93">
        <f t="shared" si="63"/>
        <v>0</v>
      </c>
      <c r="BX33" s="93">
        <f t="shared" si="63"/>
        <v>0</v>
      </c>
      <c r="BY33" s="93">
        <f t="shared" si="63"/>
        <v>0</v>
      </c>
      <c r="BZ33" s="93">
        <f t="shared" si="63"/>
        <v>0</v>
      </c>
      <c r="CA33" s="93">
        <f t="shared" si="63"/>
        <v>0</v>
      </c>
      <c r="CB33" s="93">
        <f t="shared" si="63"/>
        <v>0</v>
      </c>
      <c r="CC33" s="93">
        <f t="shared" si="63"/>
        <v>0</v>
      </c>
      <c r="CD33" s="93">
        <f t="shared" si="63"/>
        <v>0</v>
      </c>
      <c r="CE33" s="93">
        <f t="shared" si="63"/>
        <v>0</v>
      </c>
      <c r="CF33" s="93">
        <f t="shared" si="63"/>
        <v>0</v>
      </c>
      <c r="CG33" s="93">
        <f t="shared" si="63"/>
        <v>0</v>
      </c>
      <c r="CH33" s="93">
        <f t="shared" si="63"/>
        <v>0</v>
      </c>
      <c r="CI33" s="93">
        <f t="shared" si="63"/>
        <v>0</v>
      </c>
      <c r="CJ33" s="93">
        <f t="shared" si="63"/>
        <v>0</v>
      </c>
      <c r="CK33" s="93">
        <f t="shared" si="63"/>
        <v>0</v>
      </c>
      <c r="CL33" s="93">
        <f t="shared" si="63"/>
        <v>0</v>
      </c>
      <c r="CM33" s="93">
        <f t="shared" si="63"/>
        <v>0</v>
      </c>
      <c r="CN33" s="93">
        <f t="shared" si="63"/>
        <v>0</v>
      </c>
      <c r="CO33" s="93">
        <f t="shared" si="63"/>
        <v>0</v>
      </c>
      <c r="CP33" s="93">
        <f t="shared" si="63"/>
        <v>0</v>
      </c>
      <c r="CQ33" s="93">
        <f t="shared" si="63"/>
        <v>0</v>
      </c>
      <c r="CR33" s="93">
        <f t="shared" si="63"/>
        <v>0</v>
      </c>
      <c r="CS33" s="93">
        <f t="shared" si="63"/>
        <v>0</v>
      </c>
      <c r="CT33" s="93">
        <f t="shared" si="63"/>
        <v>0</v>
      </c>
      <c r="CU33" s="93">
        <f t="shared" si="63"/>
        <v>0</v>
      </c>
      <c r="CV33" s="93">
        <f t="shared" si="63"/>
        <v>0</v>
      </c>
      <c r="CW33" s="93">
        <f t="shared" si="63"/>
        <v>0</v>
      </c>
      <c r="CX33" s="93">
        <f t="shared" si="63"/>
        <v>0</v>
      </c>
      <c r="CY33" s="93">
        <f t="shared" si="63"/>
        <v>0</v>
      </c>
      <c r="CZ33" s="93">
        <f t="shared" si="63"/>
        <v>0</v>
      </c>
      <c r="DA33" s="93">
        <f t="shared" si="63"/>
        <v>0</v>
      </c>
      <c r="DB33" s="93">
        <f t="shared" si="63"/>
        <v>0</v>
      </c>
      <c r="DC33" s="93">
        <f t="shared" si="63"/>
        <v>0</v>
      </c>
      <c r="DD33" s="93">
        <f t="shared" si="63"/>
        <v>0</v>
      </c>
      <c r="DE33" s="93">
        <f t="shared" si="57"/>
        <v>9630646.0507625416</v>
      </c>
    </row>
    <row r="34" spans="2:109">
      <c r="B34" s="96" t="s">
        <v>269</v>
      </c>
      <c r="C34" s="154">
        <f>Carátula!$G$91</f>
        <v>0.27</v>
      </c>
      <c r="E34" s="91"/>
      <c r="G34" t="s">
        <v>493</v>
      </c>
      <c r="H34" s="86"/>
      <c r="I34" s="86">
        <f t="shared" ref="I34:AN34" si="64">I17</f>
        <v>261800.25</v>
      </c>
      <c r="J34" s="86">
        <f t="shared" si="64"/>
        <v>261800.25</v>
      </c>
      <c r="K34" s="86">
        <f t="shared" si="64"/>
        <v>261800.25</v>
      </c>
      <c r="L34" s="86">
        <f t="shared" si="64"/>
        <v>261800.25</v>
      </c>
      <c r="M34" s="86">
        <f t="shared" si="64"/>
        <v>261800.25</v>
      </c>
      <c r="N34" s="86">
        <f t="shared" si="64"/>
        <v>261800.25</v>
      </c>
      <c r="O34" s="86">
        <f t="shared" si="64"/>
        <v>261800.25</v>
      </c>
      <c r="P34" s="86">
        <f t="shared" si="64"/>
        <v>261800.25</v>
      </c>
      <c r="Q34" s="86">
        <f t="shared" si="64"/>
        <v>261800.25</v>
      </c>
      <c r="R34" s="86">
        <f t="shared" si="64"/>
        <v>261800.25</v>
      </c>
      <c r="S34" s="86">
        <f t="shared" si="64"/>
        <v>261800.25</v>
      </c>
      <c r="T34" s="86">
        <f t="shared" si="64"/>
        <v>261800.25</v>
      </c>
      <c r="U34" s="86">
        <f t="shared" si="64"/>
        <v>261800.25</v>
      </c>
      <c r="V34" s="86">
        <f t="shared" si="64"/>
        <v>261800.25</v>
      </c>
      <c r="W34" s="86">
        <f t="shared" si="64"/>
        <v>261800.25</v>
      </c>
      <c r="X34" s="86">
        <f t="shared" si="64"/>
        <v>261800.25</v>
      </c>
      <c r="Y34" s="86">
        <f t="shared" si="64"/>
        <v>261800.25</v>
      </c>
      <c r="Z34" s="86">
        <f t="shared" si="64"/>
        <v>261800.25</v>
      </c>
      <c r="AA34" s="86">
        <f t="shared" si="64"/>
        <v>261800.25</v>
      </c>
      <c r="AB34" s="86">
        <f t="shared" si="64"/>
        <v>261800.25</v>
      </c>
      <c r="AC34" s="86">
        <f t="shared" si="64"/>
        <v>261800.25</v>
      </c>
      <c r="AD34" s="86">
        <f t="shared" si="64"/>
        <v>261800.25</v>
      </c>
      <c r="AE34" s="86">
        <f t="shared" si="64"/>
        <v>261800.25</v>
      </c>
      <c r="AF34" s="86">
        <f t="shared" si="64"/>
        <v>261800.25</v>
      </c>
      <c r="AG34" s="86">
        <f t="shared" si="64"/>
        <v>261800.25</v>
      </c>
      <c r="AH34" s="86">
        <f t="shared" si="64"/>
        <v>261800.25</v>
      </c>
      <c r="AI34" s="86">
        <f t="shared" si="64"/>
        <v>261800.25</v>
      </c>
      <c r="AJ34" s="86">
        <f t="shared" si="64"/>
        <v>261800.25</v>
      </c>
      <c r="AK34" s="86">
        <f t="shared" si="64"/>
        <v>261800.25</v>
      </c>
      <c r="AL34" s="86">
        <f t="shared" si="64"/>
        <v>261800.25</v>
      </c>
      <c r="AM34" s="86">
        <f t="shared" si="64"/>
        <v>261800.25</v>
      </c>
      <c r="AN34" s="86">
        <f t="shared" si="64"/>
        <v>261800.25</v>
      </c>
      <c r="AO34" s="86">
        <f t="shared" ref="AO34:BT34" si="65">AO17</f>
        <v>261800.25</v>
      </c>
      <c r="AP34" s="86">
        <f t="shared" si="65"/>
        <v>261800.25</v>
      </c>
      <c r="AQ34" s="86">
        <f t="shared" si="65"/>
        <v>261800.25</v>
      </c>
      <c r="AR34" s="86">
        <f t="shared" si="65"/>
        <v>261800.25</v>
      </c>
      <c r="AS34" s="86">
        <f t="shared" si="65"/>
        <v>261800.25</v>
      </c>
      <c r="AT34" s="86">
        <f t="shared" si="65"/>
        <v>261800.25</v>
      </c>
      <c r="AU34" s="86">
        <f t="shared" si="65"/>
        <v>261800.25</v>
      </c>
      <c r="AV34" s="86">
        <f t="shared" si="65"/>
        <v>261800.25</v>
      </c>
      <c r="AW34" s="86">
        <f t="shared" si="65"/>
        <v>261800.25</v>
      </c>
      <c r="AX34" s="86">
        <f t="shared" si="65"/>
        <v>261800.25</v>
      </c>
      <c r="AY34" s="86">
        <f t="shared" si="65"/>
        <v>261800.25</v>
      </c>
      <c r="AZ34" s="86">
        <f t="shared" si="65"/>
        <v>261800.25</v>
      </c>
      <c r="BA34" s="86">
        <f t="shared" si="65"/>
        <v>261800.25</v>
      </c>
      <c r="BB34" s="86">
        <f t="shared" si="65"/>
        <v>261800.25</v>
      </c>
      <c r="BC34" s="86">
        <f t="shared" si="65"/>
        <v>261800.25</v>
      </c>
      <c r="BD34" s="86">
        <f t="shared" si="65"/>
        <v>261800.25</v>
      </c>
      <c r="BE34" s="86">
        <f t="shared" si="65"/>
        <v>0</v>
      </c>
      <c r="BF34" s="86">
        <f t="shared" si="65"/>
        <v>0</v>
      </c>
      <c r="BG34" s="86">
        <f t="shared" si="65"/>
        <v>0</v>
      </c>
      <c r="BH34" s="86">
        <f t="shared" si="65"/>
        <v>0</v>
      </c>
      <c r="BI34" s="86">
        <f t="shared" si="65"/>
        <v>0</v>
      </c>
      <c r="BJ34" s="86">
        <f t="shared" si="65"/>
        <v>0</v>
      </c>
      <c r="BK34" s="86">
        <f t="shared" si="65"/>
        <v>0</v>
      </c>
      <c r="BL34" s="86">
        <f t="shared" si="65"/>
        <v>0</v>
      </c>
      <c r="BM34" s="86">
        <f t="shared" si="65"/>
        <v>0</v>
      </c>
      <c r="BN34" s="86">
        <f t="shared" si="65"/>
        <v>0</v>
      </c>
      <c r="BO34" s="86">
        <f t="shared" si="65"/>
        <v>0</v>
      </c>
      <c r="BP34" s="86">
        <f t="shared" si="65"/>
        <v>0</v>
      </c>
      <c r="BQ34" s="86">
        <f t="shared" si="65"/>
        <v>0</v>
      </c>
      <c r="BR34" s="86">
        <f t="shared" si="65"/>
        <v>0</v>
      </c>
      <c r="BS34" s="86">
        <f t="shared" si="65"/>
        <v>0</v>
      </c>
      <c r="BT34" s="86">
        <f t="shared" si="65"/>
        <v>0</v>
      </c>
      <c r="BU34" s="86">
        <f t="shared" ref="BU34:DD34" si="66">BU17</f>
        <v>0</v>
      </c>
      <c r="BV34" s="86">
        <f t="shared" si="66"/>
        <v>0</v>
      </c>
      <c r="BW34" s="86">
        <f t="shared" si="66"/>
        <v>0</v>
      </c>
      <c r="BX34" s="86">
        <f t="shared" si="66"/>
        <v>0</v>
      </c>
      <c r="BY34" s="86">
        <f t="shared" si="66"/>
        <v>0</v>
      </c>
      <c r="BZ34" s="86">
        <f t="shared" si="66"/>
        <v>0</v>
      </c>
      <c r="CA34" s="86">
        <f t="shared" si="66"/>
        <v>0</v>
      </c>
      <c r="CB34" s="86">
        <f t="shared" si="66"/>
        <v>0</v>
      </c>
      <c r="CC34" s="86">
        <f t="shared" si="66"/>
        <v>0</v>
      </c>
      <c r="CD34" s="86">
        <f t="shared" si="66"/>
        <v>0</v>
      </c>
      <c r="CE34" s="86">
        <f t="shared" si="66"/>
        <v>0</v>
      </c>
      <c r="CF34" s="86">
        <f t="shared" si="66"/>
        <v>0</v>
      </c>
      <c r="CG34" s="86">
        <f t="shared" si="66"/>
        <v>0</v>
      </c>
      <c r="CH34" s="86">
        <f t="shared" si="66"/>
        <v>0</v>
      </c>
      <c r="CI34" s="86">
        <f t="shared" si="66"/>
        <v>0</v>
      </c>
      <c r="CJ34" s="86">
        <f t="shared" si="66"/>
        <v>0</v>
      </c>
      <c r="CK34" s="86">
        <f t="shared" si="66"/>
        <v>0</v>
      </c>
      <c r="CL34" s="86">
        <f t="shared" si="66"/>
        <v>0</v>
      </c>
      <c r="CM34" s="86">
        <f t="shared" si="66"/>
        <v>0</v>
      </c>
      <c r="CN34" s="86">
        <f t="shared" si="66"/>
        <v>0</v>
      </c>
      <c r="CO34" s="86">
        <f t="shared" si="66"/>
        <v>0</v>
      </c>
      <c r="CP34" s="86">
        <f t="shared" si="66"/>
        <v>0</v>
      </c>
      <c r="CQ34" s="86">
        <f t="shared" si="66"/>
        <v>0</v>
      </c>
      <c r="CR34" s="86">
        <f t="shared" si="66"/>
        <v>0</v>
      </c>
      <c r="CS34" s="86">
        <f t="shared" si="66"/>
        <v>0</v>
      </c>
      <c r="CT34" s="86">
        <f t="shared" si="66"/>
        <v>0</v>
      </c>
      <c r="CU34" s="86">
        <f t="shared" si="66"/>
        <v>0</v>
      </c>
      <c r="CV34" s="86">
        <f t="shared" si="66"/>
        <v>0</v>
      </c>
      <c r="CW34" s="86">
        <f t="shared" si="66"/>
        <v>0</v>
      </c>
      <c r="CX34" s="86">
        <f t="shared" si="66"/>
        <v>0</v>
      </c>
      <c r="CY34" s="86">
        <f t="shared" si="66"/>
        <v>0</v>
      </c>
      <c r="CZ34" s="86">
        <f t="shared" si="66"/>
        <v>0</v>
      </c>
      <c r="DA34" s="86">
        <f t="shared" si="66"/>
        <v>0</v>
      </c>
      <c r="DB34" s="86">
        <f t="shared" si="66"/>
        <v>0</v>
      </c>
      <c r="DC34" s="86">
        <f t="shared" si="66"/>
        <v>0</v>
      </c>
      <c r="DD34" s="86">
        <f t="shared" si="66"/>
        <v>0</v>
      </c>
      <c r="DE34" s="86">
        <f t="shared" si="57"/>
        <v>12566412</v>
      </c>
    </row>
    <row r="35" spans="2:109">
      <c r="B35" t="s">
        <v>271</v>
      </c>
      <c r="C35" s="104">
        <f>Carátula!$K$91</f>
        <v>1</v>
      </c>
      <c r="E35" s="91"/>
      <c r="G35" t="s">
        <v>494</v>
      </c>
      <c r="H35" s="86">
        <f>H20</f>
        <v>-26236675</v>
      </c>
      <c r="I35" s="86">
        <f t="shared" ref="I35:AN35" si="67">I20</f>
        <v>0</v>
      </c>
      <c r="J35" s="86">
        <f t="shared" si="67"/>
        <v>0</v>
      </c>
      <c r="K35" s="86">
        <f t="shared" si="67"/>
        <v>0</v>
      </c>
      <c r="L35" s="86">
        <f t="shared" si="67"/>
        <v>0</v>
      </c>
      <c r="M35" s="86">
        <f t="shared" si="67"/>
        <v>0</v>
      </c>
      <c r="N35" s="86">
        <f t="shared" si="67"/>
        <v>0</v>
      </c>
      <c r="O35" s="86">
        <f t="shared" si="67"/>
        <v>0</v>
      </c>
      <c r="P35" s="86">
        <f t="shared" si="67"/>
        <v>0</v>
      </c>
      <c r="Q35" s="86">
        <f t="shared" si="67"/>
        <v>0</v>
      </c>
      <c r="R35" s="86">
        <f t="shared" si="67"/>
        <v>0</v>
      </c>
      <c r="S35" s="86">
        <f t="shared" si="67"/>
        <v>0</v>
      </c>
      <c r="T35" s="86">
        <f t="shared" si="67"/>
        <v>0</v>
      </c>
      <c r="U35" s="86">
        <f t="shared" si="67"/>
        <v>0</v>
      </c>
      <c r="V35" s="86">
        <f t="shared" si="67"/>
        <v>0</v>
      </c>
      <c r="W35" s="86">
        <f t="shared" si="67"/>
        <v>0</v>
      </c>
      <c r="X35" s="86">
        <f t="shared" si="67"/>
        <v>0</v>
      </c>
      <c r="Y35" s="86">
        <f t="shared" si="67"/>
        <v>0</v>
      </c>
      <c r="Z35" s="86">
        <f t="shared" si="67"/>
        <v>0</v>
      </c>
      <c r="AA35" s="86">
        <f t="shared" si="67"/>
        <v>0</v>
      </c>
      <c r="AB35" s="86">
        <f t="shared" si="67"/>
        <v>0</v>
      </c>
      <c r="AC35" s="86">
        <f t="shared" si="67"/>
        <v>0</v>
      </c>
      <c r="AD35" s="86">
        <f t="shared" si="67"/>
        <v>0</v>
      </c>
      <c r="AE35" s="86">
        <f t="shared" si="67"/>
        <v>0</v>
      </c>
      <c r="AF35" s="86">
        <f t="shared" si="67"/>
        <v>0</v>
      </c>
      <c r="AG35" s="86">
        <f t="shared" si="67"/>
        <v>0</v>
      </c>
      <c r="AH35" s="86">
        <f t="shared" si="67"/>
        <v>0</v>
      </c>
      <c r="AI35" s="86">
        <f t="shared" si="67"/>
        <v>0</v>
      </c>
      <c r="AJ35" s="86">
        <f t="shared" si="67"/>
        <v>0</v>
      </c>
      <c r="AK35" s="86">
        <f t="shared" si="67"/>
        <v>0</v>
      </c>
      <c r="AL35" s="86">
        <f t="shared" si="67"/>
        <v>0</v>
      </c>
      <c r="AM35" s="86">
        <f t="shared" si="67"/>
        <v>0</v>
      </c>
      <c r="AN35" s="86">
        <f t="shared" si="67"/>
        <v>0</v>
      </c>
      <c r="AO35" s="86">
        <f t="shared" ref="AO35:BT35" si="68">AO20</f>
        <v>0</v>
      </c>
      <c r="AP35" s="86">
        <f t="shared" si="68"/>
        <v>0</v>
      </c>
      <c r="AQ35" s="86">
        <f t="shared" si="68"/>
        <v>0</v>
      </c>
      <c r="AR35" s="86">
        <f t="shared" si="68"/>
        <v>0</v>
      </c>
      <c r="AS35" s="86">
        <f t="shared" si="68"/>
        <v>0</v>
      </c>
      <c r="AT35" s="86">
        <f t="shared" si="68"/>
        <v>0</v>
      </c>
      <c r="AU35" s="86">
        <f t="shared" si="68"/>
        <v>0</v>
      </c>
      <c r="AV35" s="86">
        <f t="shared" si="68"/>
        <v>0</v>
      </c>
      <c r="AW35" s="86">
        <f t="shared" si="68"/>
        <v>0</v>
      </c>
      <c r="AX35" s="86">
        <f t="shared" si="68"/>
        <v>0</v>
      </c>
      <c r="AY35" s="86">
        <f t="shared" si="68"/>
        <v>0</v>
      </c>
      <c r="AZ35" s="86">
        <f t="shared" si="68"/>
        <v>0</v>
      </c>
      <c r="BA35" s="86">
        <f t="shared" si="68"/>
        <v>0</v>
      </c>
      <c r="BB35" s="86">
        <f t="shared" si="68"/>
        <v>0</v>
      </c>
      <c r="BC35" s="86">
        <f t="shared" si="68"/>
        <v>0</v>
      </c>
      <c r="BD35" s="86">
        <f t="shared" si="68"/>
        <v>0</v>
      </c>
      <c r="BE35" s="86">
        <f t="shared" si="68"/>
        <v>13613613</v>
      </c>
      <c r="BF35" s="86">
        <f t="shared" si="68"/>
        <v>0</v>
      </c>
      <c r="BG35" s="86">
        <f t="shared" si="68"/>
        <v>0</v>
      </c>
      <c r="BH35" s="86">
        <f t="shared" si="68"/>
        <v>0</v>
      </c>
      <c r="BI35" s="86">
        <f t="shared" si="68"/>
        <v>0</v>
      </c>
      <c r="BJ35" s="86">
        <f t="shared" si="68"/>
        <v>0</v>
      </c>
      <c r="BK35" s="86">
        <f t="shared" si="68"/>
        <v>0</v>
      </c>
      <c r="BL35" s="86">
        <f t="shared" si="68"/>
        <v>0</v>
      </c>
      <c r="BM35" s="86">
        <f t="shared" si="68"/>
        <v>0</v>
      </c>
      <c r="BN35" s="86">
        <f t="shared" si="68"/>
        <v>0</v>
      </c>
      <c r="BO35" s="86">
        <f t="shared" si="68"/>
        <v>0</v>
      </c>
      <c r="BP35" s="86">
        <f t="shared" si="68"/>
        <v>0</v>
      </c>
      <c r="BQ35" s="86">
        <f t="shared" si="68"/>
        <v>0</v>
      </c>
      <c r="BR35" s="86">
        <f t="shared" si="68"/>
        <v>0</v>
      </c>
      <c r="BS35" s="86">
        <f t="shared" si="68"/>
        <v>0</v>
      </c>
      <c r="BT35" s="86">
        <f t="shared" si="68"/>
        <v>0</v>
      </c>
      <c r="BU35" s="86">
        <f t="shared" ref="BU35:DD35" si="69">BU20</f>
        <v>0</v>
      </c>
      <c r="BV35" s="86">
        <f t="shared" si="69"/>
        <v>0</v>
      </c>
      <c r="BW35" s="86">
        <f t="shared" si="69"/>
        <v>0</v>
      </c>
      <c r="BX35" s="86">
        <f t="shared" si="69"/>
        <v>0</v>
      </c>
      <c r="BY35" s="86">
        <f t="shared" si="69"/>
        <v>0</v>
      </c>
      <c r="BZ35" s="86">
        <f t="shared" si="69"/>
        <v>0</v>
      </c>
      <c r="CA35" s="86">
        <f t="shared" si="69"/>
        <v>0</v>
      </c>
      <c r="CB35" s="86">
        <f t="shared" si="69"/>
        <v>0</v>
      </c>
      <c r="CC35" s="86">
        <f t="shared" si="69"/>
        <v>0</v>
      </c>
      <c r="CD35" s="86">
        <f t="shared" si="69"/>
        <v>0</v>
      </c>
      <c r="CE35" s="86">
        <f t="shared" si="69"/>
        <v>0</v>
      </c>
      <c r="CF35" s="86">
        <f t="shared" si="69"/>
        <v>0</v>
      </c>
      <c r="CG35" s="86">
        <f t="shared" si="69"/>
        <v>0</v>
      </c>
      <c r="CH35" s="86">
        <f t="shared" si="69"/>
        <v>0</v>
      </c>
      <c r="CI35" s="86">
        <f t="shared" si="69"/>
        <v>0</v>
      </c>
      <c r="CJ35" s="86">
        <f t="shared" si="69"/>
        <v>0</v>
      </c>
      <c r="CK35" s="86">
        <f t="shared" si="69"/>
        <v>0</v>
      </c>
      <c r="CL35" s="86">
        <f t="shared" si="69"/>
        <v>0</v>
      </c>
      <c r="CM35" s="86">
        <f t="shared" si="69"/>
        <v>0</v>
      </c>
      <c r="CN35" s="86">
        <f t="shared" si="69"/>
        <v>0</v>
      </c>
      <c r="CO35" s="86">
        <f t="shared" si="69"/>
        <v>0</v>
      </c>
      <c r="CP35" s="86">
        <f t="shared" si="69"/>
        <v>0</v>
      </c>
      <c r="CQ35" s="86">
        <f t="shared" si="69"/>
        <v>0</v>
      </c>
      <c r="CR35" s="86">
        <f t="shared" si="69"/>
        <v>0</v>
      </c>
      <c r="CS35" s="86">
        <f t="shared" si="69"/>
        <v>0</v>
      </c>
      <c r="CT35" s="86">
        <f t="shared" si="69"/>
        <v>0</v>
      </c>
      <c r="CU35" s="86">
        <f t="shared" si="69"/>
        <v>0</v>
      </c>
      <c r="CV35" s="86">
        <f t="shared" si="69"/>
        <v>0</v>
      </c>
      <c r="CW35" s="86">
        <f t="shared" si="69"/>
        <v>0</v>
      </c>
      <c r="CX35" s="86">
        <f t="shared" si="69"/>
        <v>0</v>
      </c>
      <c r="CY35" s="86">
        <f t="shared" si="69"/>
        <v>0</v>
      </c>
      <c r="CZ35" s="86">
        <f t="shared" si="69"/>
        <v>0</v>
      </c>
      <c r="DA35" s="86">
        <f t="shared" si="69"/>
        <v>0</v>
      </c>
      <c r="DB35" s="86">
        <f t="shared" si="69"/>
        <v>0</v>
      </c>
      <c r="DC35" s="86">
        <f t="shared" si="69"/>
        <v>0</v>
      </c>
      <c r="DD35" s="86">
        <f t="shared" si="69"/>
        <v>0</v>
      </c>
      <c r="DE35" s="86">
        <f t="shared" si="57"/>
        <v>-12623062</v>
      </c>
    </row>
    <row r="36" spans="2:109">
      <c r="B36" s="100" t="s">
        <v>272</v>
      </c>
      <c r="C36" s="155">
        <f>Carátula!$K$94</f>
        <v>0.125</v>
      </c>
      <c r="E36" s="91"/>
      <c r="G36" t="s">
        <v>236</v>
      </c>
      <c r="H36" s="86"/>
      <c r="I36" s="602">
        <f>I$21</f>
        <v>-760608.93599999999</v>
      </c>
      <c r="J36" s="602">
        <f t="shared" ref="J36:BU36" si="70">J$21</f>
        <v>0</v>
      </c>
      <c r="K36" s="602">
        <f t="shared" si="70"/>
        <v>0</v>
      </c>
      <c r="L36" s="602">
        <f t="shared" si="70"/>
        <v>0</v>
      </c>
      <c r="M36" s="602">
        <f t="shared" si="70"/>
        <v>0</v>
      </c>
      <c r="N36" s="602">
        <f t="shared" si="70"/>
        <v>0</v>
      </c>
      <c r="O36" s="602">
        <f t="shared" si="70"/>
        <v>0</v>
      </c>
      <c r="P36" s="602">
        <f t="shared" si="70"/>
        <v>0</v>
      </c>
      <c r="Q36" s="602">
        <f t="shared" si="70"/>
        <v>0</v>
      </c>
      <c r="R36" s="602">
        <f t="shared" si="70"/>
        <v>0</v>
      </c>
      <c r="S36" s="602">
        <f t="shared" si="70"/>
        <v>0</v>
      </c>
      <c r="T36" s="602">
        <f t="shared" si="70"/>
        <v>0</v>
      </c>
      <c r="U36" s="602">
        <f t="shared" si="70"/>
        <v>0</v>
      </c>
      <c r="V36" s="602">
        <f t="shared" si="70"/>
        <v>0</v>
      </c>
      <c r="W36" s="602">
        <f t="shared" si="70"/>
        <v>0</v>
      </c>
      <c r="X36" s="602">
        <f t="shared" si="70"/>
        <v>0</v>
      </c>
      <c r="Y36" s="602">
        <f t="shared" si="70"/>
        <v>0</v>
      </c>
      <c r="Z36" s="602">
        <f t="shared" si="70"/>
        <v>0</v>
      </c>
      <c r="AA36" s="602">
        <f t="shared" si="70"/>
        <v>0</v>
      </c>
      <c r="AB36" s="602">
        <f t="shared" si="70"/>
        <v>0</v>
      </c>
      <c r="AC36" s="602">
        <f t="shared" si="70"/>
        <v>0</v>
      </c>
      <c r="AD36" s="602">
        <f t="shared" si="70"/>
        <v>0</v>
      </c>
      <c r="AE36" s="602">
        <f t="shared" si="70"/>
        <v>0</v>
      </c>
      <c r="AF36" s="602">
        <f t="shared" si="70"/>
        <v>0</v>
      </c>
      <c r="AG36" s="602">
        <f t="shared" si="70"/>
        <v>0</v>
      </c>
      <c r="AH36" s="602">
        <f t="shared" si="70"/>
        <v>0</v>
      </c>
      <c r="AI36" s="602">
        <f t="shared" si="70"/>
        <v>0</v>
      </c>
      <c r="AJ36" s="602">
        <f t="shared" si="70"/>
        <v>0</v>
      </c>
      <c r="AK36" s="602">
        <f t="shared" si="70"/>
        <v>0</v>
      </c>
      <c r="AL36" s="602">
        <f t="shared" si="70"/>
        <v>0</v>
      </c>
      <c r="AM36" s="602">
        <f t="shared" si="70"/>
        <v>0</v>
      </c>
      <c r="AN36" s="602">
        <f t="shared" si="70"/>
        <v>0</v>
      </c>
      <c r="AO36" s="602">
        <f t="shared" si="70"/>
        <v>0</v>
      </c>
      <c r="AP36" s="602">
        <f t="shared" si="70"/>
        <v>0</v>
      </c>
      <c r="AQ36" s="602">
        <f t="shared" si="70"/>
        <v>0</v>
      </c>
      <c r="AR36" s="602">
        <f t="shared" si="70"/>
        <v>0</v>
      </c>
      <c r="AS36" s="602">
        <f t="shared" si="70"/>
        <v>0</v>
      </c>
      <c r="AT36" s="602">
        <f t="shared" si="70"/>
        <v>0</v>
      </c>
      <c r="AU36" s="602">
        <f t="shared" si="70"/>
        <v>0</v>
      </c>
      <c r="AV36" s="602">
        <f t="shared" si="70"/>
        <v>0</v>
      </c>
      <c r="AW36" s="602">
        <f t="shared" si="70"/>
        <v>0</v>
      </c>
      <c r="AX36" s="602">
        <f t="shared" si="70"/>
        <v>0</v>
      </c>
      <c r="AY36" s="602">
        <f t="shared" si="70"/>
        <v>0</v>
      </c>
      <c r="AZ36" s="602">
        <f t="shared" si="70"/>
        <v>0</v>
      </c>
      <c r="BA36" s="602">
        <f t="shared" si="70"/>
        <v>0</v>
      </c>
      <c r="BB36" s="602">
        <f t="shared" si="70"/>
        <v>0</v>
      </c>
      <c r="BC36" s="602">
        <f t="shared" si="70"/>
        <v>0</v>
      </c>
      <c r="BD36" s="602">
        <f t="shared" si="70"/>
        <v>0</v>
      </c>
      <c r="BE36" s="602">
        <f t="shared" si="70"/>
        <v>857455.76660616801</v>
      </c>
      <c r="BF36" s="602">
        <f t="shared" si="70"/>
        <v>0</v>
      </c>
      <c r="BG36" s="602">
        <f t="shared" si="70"/>
        <v>0</v>
      </c>
      <c r="BH36" s="602">
        <f t="shared" si="70"/>
        <v>0</v>
      </c>
      <c r="BI36" s="602">
        <f t="shared" si="70"/>
        <v>0</v>
      </c>
      <c r="BJ36" s="602">
        <f t="shared" si="70"/>
        <v>0</v>
      </c>
      <c r="BK36" s="602">
        <f t="shared" si="70"/>
        <v>0</v>
      </c>
      <c r="BL36" s="602">
        <f t="shared" si="70"/>
        <v>0</v>
      </c>
      <c r="BM36" s="602">
        <f t="shared" si="70"/>
        <v>0</v>
      </c>
      <c r="BN36" s="602">
        <f t="shared" si="70"/>
        <v>0</v>
      </c>
      <c r="BO36" s="602">
        <f t="shared" si="70"/>
        <v>0</v>
      </c>
      <c r="BP36" s="602">
        <f t="shared" si="70"/>
        <v>0</v>
      </c>
      <c r="BQ36" s="602">
        <f t="shared" si="70"/>
        <v>0</v>
      </c>
      <c r="BR36" s="602">
        <f t="shared" si="70"/>
        <v>0</v>
      </c>
      <c r="BS36" s="602">
        <f t="shared" si="70"/>
        <v>0</v>
      </c>
      <c r="BT36" s="602">
        <f t="shared" si="70"/>
        <v>0</v>
      </c>
      <c r="BU36" s="602">
        <f t="shared" si="70"/>
        <v>0</v>
      </c>
      <c r="BV36" s="602">
        <f t="shared" ref="BV36:DD36" si="71">BV$21</f>
        <v>0</v>
      </c>
      <c r="BW36" s="602">
        <f t="shared" si="71"/>
        <v>0</v>
      </c>
      <c r="BX36" s="602">
        <f t="shared" si="71"/>
        <v>0</v>
      </c>
      <c r="BY36" s="602">
        <f t="shared" si="71"/>
        <v>0</v>
      </c>
      <c r="BZ36" s="602">
        <f t="shared" si="71"/>
        <v>0</v>
      </c>
      <c r="CA36" s="602">
        <f t="shared" si="71"/>
        <v>0</v>
      </c>
      <c r="CB36" s="602">
        <f t="shared" si="71"/>
        <v>0</v>
      </c>
      <c r="CC36" s="602">
        <f t="shared" si="71"/>
        <v>0</v>
      </c>
      <c r="CD36" s="602">
        <f t="shared" si="71"/>
        <v>0</v>
      </c>
      <c r="CE36" s="602">
        <f t="shared" si="71"/>
        <v>0</v>
      </c>
      <c r="CF36" s="602">
        <f t="shared" si="71"/>
        <v>0</v>
      </c>
      <c r="CG36" s="602">
        <f t="shared" si="71"/>
        <v>0</v>
      </c>
      <c r="CH36" s="602">
        <f t="shared" si="71"/>
        <v>0</v>
      </c>
      <c r="CI36" s="602">
        <f t="shared" si="71"/>
        <v>0</v>
      </c>
      <c r="CJ36" s="602">
        <f t="shared" si="71"/>
        <v>0</v>
      </c>
      <c r="CK36" s="602">
        <f t="shared" si="71"/>
        <v>0</v>
      </c>
      <c r="CL36" s="602">
        <f t="shared" si="71"/>
        <v>0</v>
      </c>
      <c r="CM36" s="602">
        <f t="shared" si="71"/>
        <v>0</v>
      </c>
      <c r="CN36" s="602">
        <f t="shared" si="71"/>
        <v>0</v>
      </c>
      <c r="CO36" s="602">
        <f t="shared" si="71"/>
        <v>0</v>
      </c>
      <c r="CP36" s="602">
        <f t="shared" si="71"/>
        <v>0</v>
      </c>
      <c r="CQ36" s="602">
        <f t="shared" si="71"/>
        <v>0</v>
      </c>
      <c r="CR36" s="602">
        <f t="shared" si="71"/>
        <v>0</v>
      </c>
      <c r="CS36" s="602">
        <f t="shared" si="71"/>
        <v>0</v>
      </c>
      <c r="CT36" s="602">
        <f t="shared" si="71"/>
        <v>0</v>
      </c>
      <c r="CU36" s="602">
        <f t="shared" si="71"/>
        <v>0</v>
      </c>
      <c r="CV36" s="602">
        <f t="shared" si="71"/>
        <v>0</v>
      </c>
      <c r="CW36" s="602">
        <f t="shared" si="71"/>
        <v>0</v>
      </c>
      <c r="CX36" s="602">
        <f t="shared" si="71"/>
        <v>0</v>
      </c>
      <c r="CY36" s="602">
        <f t="shared" si="71"/>
        <v>0</v>
      </c>
      <c r="CZ36" s="602">
        <f t="shared" si="71"/>
        <v>0</v>
      </c>
      <c r="DA36" s="602">
        <f t="shared" si="71"/>
        <v>0</v>
      </c>
      <c r="DB36" s="602">
        <f t="shared" si="71"/>
        <v>0</v>
      </c>
      <c r="DC36" s="602">
        <f t="shared" si="71"/>
        <v>0</v>
      </c>
      <c r="DD36" s="602">
        <f t="shared" si="71"/>
        <v>0</v>
      </c>
      <c r="DE36" s="86">
        <f t="shared" ref="DE36" si="72">SUM(H36:DD36)</f>
        <v>96846.83060616802</v>
      </c>
    </row>
    <row r="37" spans="2:109" ht="15" thickBot="1">
      <c r="B37" s="109" t="s">
        <v>342</v>
      </c>
      <c r="C37" s="156">
        <f>Carátula!$K$93</f>
        <v>0.03</v>
      </c>
      <c r="E37" s="91"/>
      <c r="G37" s="98" t="s">
        <v>417</v>
      </c>
      <c r="H37" s="99">
        <f>SUM(H33:H36)</f>
        <v>-26236675</v>
      </c>
      <c r="I37" s="99">
        <f>SUM(I33:I36)</f>
        <v>-320716.49394900829</v>
      </c>
      <c r="J37" s="99">
        <f t="shared" ref="J37:BU37" si="73">SUM(J33:J36)</f>
        <v>440815.45798736904</v>
      </c>
      <c r="K37" s="99">
        <f t="shared" si="73"/>
        <v>441740.78146358754</v>
      </c>
      <c r="L37" s="99">
        <f t="shared" si="73"/>
        <v>442668.41824849643</v>
      </c>
      <c r="M37" s="99">
        <f t="shared" si="73"/>
        <v>443598.37412536761</v>
      </c>
      <c r="N37" s="99">
        <f t="shared" si="73"/>
        <v>444530.6548919311</v>
      </c>
      <c r="O37" s="99">
        <f t="shared" si="73"/>
        <v>445465.2663604109</v>
      </c>
      <c r="P37" s="99">
        <f t="shared" si="73"/>
        <v>446402.2143575619</v>
      </c>
      <c r="Q37" s="99">
        <f t="shared" si="73"/>
        <v>447341.50472470577</v>
      </c>
      <c r="R37" s="99">
        <f t="shared" si="73"/>
        <v>448283.14331776759</v>
      </c>
      <c r="S37" s="99">
        <f t="shared" si="73"/>
        <v>449227.13600731199</v>
      </c>
      <c r="T37" s="99">
        <f t="shared" si="73"/>
        <v>450173.48867858015</v>
      </c>
      <c r="U37" s="99">
        <f t="shared" si="73"/>
        <v>451122.20723152661</v>
      </c>
      <c r="V37" s="99">
        <f t="shared" si="73"/>
        <v>452073.29758085549</v>
      </c>
      <c r="W37" s="99">
        <f t="shared" si="73"/>
        <v>453026.76565605751</v>
      </c>
      <c r="X37" s="99">
        <f t="shared" si="73"/>
        <v>453982.61740144773</v>
      </c>
      <c r="Y37" s="99">
        <f t="shared" si="73"/>
        <v>454940.85877620132</v>
      </c>
      <c r="Z37" s="99">
        <f t="shared" si="73"/>
        <v>455901.49575439171</v>
      </c>
      <c r="AA37" s="99">
        <f t="shared" si="73"/>
        <v>456864.53432502784</v>
      </c>
      <c r="AB37" s="99">
        <f t="shared" si="73"/>
        <v>457829.98049209034</v>
      </c>
      <c r="AC37" s="99">
        <f t="shared" si="73"/>
        <v>458797.84027457051</v>
      </c>
      <c r="AD37" s="99">
        <f t="shared" si="73"/>
        <v>459768.1197065069</v>
      </c>
      <c r="AE37" s="99">
        <f t="shared" si="73"/>
        <v>460740.82483702304</v>
      </c>
      <c r="AF37" s="99">
        <f t="shared" si="73"/>
        <v>461715.96173036564</v>
      </c>
      <c r="AG37" s="99">
        <f t="shared" si="73"/>
        <v>462693.53646594158</v>
      </c>
      <c r="AH37" s="99">
        <f t="shared" si="73"/>
        <v>463673.55513835652</v>
      </c>
      <c r="AI37" s="99">
        <f t="shared" si="73"/>
        <v>464656.02385745221</v>
      </c>
      <c r="AJ37" s="99">
        <f t="shared" si="73"/>
        <v>465640.94874834595</v>
      </c>
      <c r="AK37" s="99">
        <f t="shared" si="73"/>
        <v>466628.33595146675</v>
      </c>
      <c r="AL37" s="99">
        <f t="shared" si="73"/>
        <v>467618.19162259554</v>
      </c>
      <c r="AM37" s="99">
        <f t="shared" si="73"/>
        <v>468610.52193290187</v>
      </c>
      <c r="AN37" s="99">
        <f t="shared" si="73"/>
        <v>469605.3330689841</v>
      </c>
      <c r="AO37" s="99">
        <f t="shared" si="73"/>
        <v>470602.6312329066</v>
      </c>
      <c r="AP37" s="99">
        <f t="shared" si="73"/>
        <v>471602.42264223879</v>
      </c>
      <c r="AQ37" s="99">
        <f t="shared" si="73"/>
        <v>472604.71353009436</v>
      </c>
      <c r="AR37" s="99">
        <f t="shared" si="73"/>
        <v>473609.51014516957</v>
      </c>
      <c r="AS37" s="99">
        <f t="shared" si="73"/>
        <v>474616.81875178253</v>
      </c>
      <c r="AT37" s="99">
        <f t="shared" si="73"/>
        <v>475626.64562991197</v>
      </c>
      <c r="AU37" s="99">
        <f t="shared" si="73"/>
        <v>476638.99707523669</v>
      </c>
      <c r="AV37" s="99">
        <f t="shared" si="73"/>
        <v>477653.87939917482</v>
      </c>
      <c r="AW37" s="99">
        <f t="shared" si="73"/>
        <v>478671.2989289228</v>
      </c>
      <c r="AX37" s="99">
        <f t="shared" si="73"/>
        <v>479691.26200749504</v>
      </c>
      <c r="AY37" s="99">
        <f t="shared" si="73"/>
        <v>480713.77499376371</v>
      </c>
      <c r="AZ37" s="99">
        <f t="shared" si="73"/>
        <v>481738.84426249808</v>
      </c>
      <c r="BA37" s="99">
        <f t="shared" si="73"/>
        <v>482766.47620440437</v>
      </c>
      <c r="BB37" s="99">
        <f t="shared" si="73"/>
        <v>483796.67722616543</v>
      </c>
      <c r="BC37" s="99">
        <f t="shared" si="73"/>
        <v>484829.45375048061</v>
      </c>
      <c r="BD37" s="99">
        <f t="shared" si="73"/>
        <v>485864.81221610692</v>
      </c>
      <c r="BE37" s="99">
        <f t="shared" si="73"/>
        <v>14471068.766606169</v>
      </c>
      <c r="BF37" s="99">
        <f t="shared" si="73"/>
        <v>0</v>
      </c>
      <c r="BG37" s="99">
        <f t="shared" si="73"/>
        <v>0</v>
      </c>
      <c r="BH37" s="99">
        <f t="shared" si="73"/>
        <v>0</v>
      </c>
      <c r="BI37" s="99">
        <f t="shared" si="73"/>
        <v>0</v>
      </c>
      <c r="BJ37" s="99">
        <f t="shared" si="73"/>
        <v>0</v>
      </c>
      <c r="BK37" s="99">
        <f t="shared" si="73"/>
        <v>0</v>
      </c>
      <c r="BL37" s="99">
        <f t="shared" si="73"/>
        <v>0</v>
      </c>
      <c r="BM37" s="99">
        <f t="shared" si="73"/>
        <v>0</v>
      </c>
      <c r="BN37" s="99">
        <f t="shared" si="73"/>
        <v>0</v>
      </c>
      <c r="BO37" s="99">
        <f t="shared" si="73"/>
        <v>0</v>
      </c>
      <c r="BP37" s="99">
        <f t="shared" si="73"/>
        <v>0</v>
      </c>
      <c r="BQ37" s="99">
        <f t="shared" si="73"/>
        <v>0</v>
      </c>
      <c r="BR37" s="99">
        <f t="shared" si="73"/>
        <v>0</v>
      </c>
      <c r="BS37" s="99">
        <f t="shared" si="73"/>
        <v>0</v>
      </c>
      <c r="BT37" s="99">
        <f t="shared" si="73"/>
        <v>0</v>
      </c>
      <c r="BU37" s="99">
        <f t="shared" si="73"/>
        <v>0</v>
      </c>
      <c r="BV37" s="99">
        <f t="shared" ref="BV37:DD37" si="74">SUM(BV33:BV36)</f>
        <v>0</v>
      </c>
      <c r="BW37" s="99">
        <f t="shared" si="74"/>
        <v>0</v>
      </c>
      <c r="BX37" s="99">
        <f t="shared" si="74"/>
        <v>0</v>
      </c>
      <c r="BY37" s="99">
        <f t="shared" si="74"/>
        <v>0</v>
      </c>
      <c r="BZ37" s="99">
        <f t="shared" si="74"/>
        <v>0</v>
      </c>
      <c r="CA37" s="99">
        <f t="shared" si="74"/>
        <v>0</v>
      </c>
      <c r="CB37" s="99">
        <f t="shared" si="74"/>
        <v>0</v>
      </c>
      <c r="CC37" s="99">
        <f t="shared" si="74"/>
        <v>0</v>
      </c>
      <c r="CD37" s="99">
        <f t="shared" si="74"/>
        <v>0</v>
      </c>
      <c r="CE37" s="99">
        <f t="shared" si="74"/>
        <v>0</v>
      </c>
      <c r="CF37" s="99">
        <f t="shared" si="74"/>
        <v>0</v>
      </c>
      <c r="CG37" s="99">
        <f t="shared" si="74"/>
        <v>0</v>
      </c>
      <c r="CH37" s="99">
        <f t="shared" si="74"/>
        <v>0</v>
      </c>
      <c r="CI37" s="99">
        <f t="shared" si="74"/>
        <v>0</v>
      </c>
      <c r="CJ37" s="99">
        <f t="shared" si="74"/>
        <v>0</v>
      </c>
      <c r="CK37" s="99">
        <f t="shared" si="74"/>
        <v>0</v>
      </c>
      <c r="CL37" s="99">
        <f t="shared" si="74"/>
        <v>0</v>
      </c>
      <c r="CM37" s="99">
        <f t="shared" si="74"/>
        <v>0</v>
      </c>
      <c r="CN37" s="99">
        <f t="shared" si="74"/>
        <v>0</v>
      </c>
      <c r="CO37" s="99">
        <f t="shared" si="74"/>
        <v>0</v>
      </c>
      <c r="CP37" s="99">
        <f t="shared" si="74"/>
        <v>0</v>
      </c>
      <c r="CQ37" s="99">
        <f t="shared" si="74"/>
        <v>0</v>
      </c>
      <c r="CR37" s="99">
        <f t="shared" si="74"/>
        <v>0</v>
      </c>
      <c r="CS37" s="99">
        <f t="shared" si="74"/>
        <v>0</v>
      </c>
      <c r="CT37" s="99">
        <f t="shared" si="74"/>
        <v>0</v>
      </c>
      <c r="CU37" s="99">
        <f t="shared" si="74"/>
        <v>0</v>
      </c>
      <c r="CV37" s="99">
        <f t="shared" si="74"/>
        <v>0</v>
      </c>
      <c r="CW37" s="99">
        <f t="shared" si="74"/>
        <v>0</v>
      </c>
      <c r="CX37" s="99">
        <f t="shared" si="74"/>
        <v>0</v>
      </c>
      <c r="CY37" s="99">
        <f t="shared" si="74"/>
        <v>0</v>
      </c>
      <c r="CZ37" s="99">
        <f t="shared" si="74"/>
        <v>0</v>
      </c>
      <c r="DA37" s="99">
        <f t="shared" si="74"/>
        <v>0</v>
      </c>
      <c r="DB37" s="99">
        <f t="shared" si="74"/>
        <v>0</v>
      </c>
      <c r="DC37" s="99">
        <f t="shared" si="74"/>
        <v>0</v>
      </c>
      <c r="DD37" s="99">
        <f t="shared" si="74"/>
        <v>0</v>
      </c>
      <c r="DE37" s="99">
        <f t="shared" ref="DE37" si="75">SUM(H37:DD37)</f>
        <v>9670842.8813687097</v>
      </c>
    </row>
    <row r="38" spans="2:109">
      <c r="G38" s="102" t="s">
        <v>338</v>
      </c>
      <c r="H38" s="103">
        <f>IRR(H37:DD37,0)</f>
        <v>9.2716147143945271E-3</v>
      </c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4"/>
      <c r="AT38" s="104"/>
      <c r="AU38" s="104"/>
      <c r="AV38" s="104"/>
      <c r="AW38" s="104"/>
      <c r="AX38" s="104"/>
      <c r="AY38" s="104"/>
      <c r="AZ38" s="104"/>
      <c r="BA38" s="104"/>
      <c r="BB38" s="104"/>
      <c r="BC38" s="104"/>
      <c r="BD38" s="104"/>
      <c r="BE38" s="104"/>
      <c r="BF38" s="104"/>
      <c r="BG38" s="104"/>
      <c r="BH38" s="104"/>
      <c r="BI38" s="104"/>
      <c r="BJ38" s="104"/>
      <c r="BK38" s="104"/>
      <c r="BL38" s="104"/>
      <c r="BM38" s="104"/>
      <c r="BN38" s="104"/>
      <c r="BO38" s="104"/>
      <c r="BP38" s="104"/>
      <c r="BQ38" s="104"/>
      <c r="BR38" s="104"/>
      <c r="BS38" s="104"/>
      <c r="BT38" s="104"/>
      <c r="BU38" s="104"/>
      <c r="BV38" s="104"/>
      <c r="BW38" s="104"/>
      <c r="BX38" s="104"/>
      <c r="BY38" s="104"/>
      <c r="BZ38" s="104"/>
      <c r="CA38" s="104"/>
      <c r="CB38" s="104"/>
      <c r="CC38" s="104"/>
      <c r="CD38" s="104"/>
      <c r="CE38" s="104"/>
      <c r="CF38" s="104"/>
      <c r="CG38" s="104"/>
      <c r="CH38" s="104"/>
      <c r="CI38" s="104"/>
      <c r="CJ38" s="104"/>
      <c r="CK38" s="104"/>
      <c r="CL38" s="104"/>
      <c r="CM38" s="104"/>
      <c r="CN38" s="104"/>
      <c r="CO38" s="104"/>
      <c r="CP38" s="104"/>
      <c r="CQ38" s="104"/>
      <c r="CR38" s="104"/>
      <c r="CS38" s="104"/>
      <c r="CT38" s="104"/>
      <c r="CU38" s="104"/>
      <c r="CV38" s="104"/>
      <c r="CW38" s="104"/>
      <c r="CX38" s="104"/>
      <c r="CY38" s="104"/>
      <c r="CZ38" s="104"/>
      <c r="DA38" s="104"/>
      <c r="DB38" s="104"/>
      <c r="DC38" s="104"/>
      <c r="DD38" s="104"/>
      <c r="DE38" s="104"/>
    </row>
    <row r="39" spans="2:109">
      <c r="G39" s="105" t="s">
        <v>339</v>
      </c>
      <c r="H39" s="106">
        <f>((1+H38)^12)-1</f>
        <v>0.1171119798370901</v>
      </c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Y39" s="104"/>
      <c r="AZ39" s="104"/>
      <c r="BA39" s="104"/>
      <c r="BB39" s="104"/>
      <c r="BC39" s="104"/>
      <c r="BD39" s="104"/>
      <c r="BE39" s="104"/>
      <c r="BF39" s="104"/>
      <c r="BG39" s="104"/>
      <c r="BH39" s="104"/>
      <c r="BI39" s="104"/>
      <c r="BJ39" s="104"/>
      <c r="BK39" s="104"/>
      <c r="BL39" s="104"/>
      <c r="BM39" s="104"/>
      <c r="BN39" s="104"/>
      <c r="BO39" s="104"/>
      <c r="BP39" s="104"/>
      <c r="BQ39" s="104"/>
      <c r="BR39" s="104"/>
      <c r="BS39" s="104"/>
      <c r="BT39" s="104"/>
      <c r="BU39" s="104"/>
      <c r="BV39" s="104"/>
      <c r="BW39" s="104"/>
      <c r="BX39" s="104"/>
      <c r="BY39" s="104"/>
      <c r="BZ39" s="104"/>
      <c r="CA39" s="104"/>
      <c r="CB39" s="104"/>
      <c r="CC39" s="104"/>
      <c r="CD39" s="104"/>
      <c r="CE39" s="104"/>
      <c r="CF39" s="104"/>
      <c r="CG39" s="104"/>
      <c r="CH39" s="104"/>
      <c r="CI39" s="104"/>
      <c r="CJ39" s="104"/>
      <c r="CK39" s="104"/>
      <c r="CL39" s="104"/>
      <c r="CM39" s="104"/>
      <c r="CN39" s="104"/>
      <c r="CO39" s="104"/>
      <c r="CP39" s="104"/>
      <c r="CQ39" s="104"/>
      <c r="CR39" s="104"/>
      <c r="CS39" s="104"/>
      <c r="CT39" s="104"/>
      <c r="CU39" s="104"/>
      <c r="CV39" s="104"/>
      <c r="CW39" s="104"/>
      <c r="CX39" s="104"/>
      <c r="CY39" s="104"/>
      <c r="CZ39" s="104"/>
      <c r="DA39" s="104"/>
      <c r="DB39" s="104"/>
      <c r="DC39" s="104"/>
      <c r="DD39" s="104"/>
      <c r="DE39" s="104"/>
    </row>
    <row r="40" spans="2:109" ht="15" thickBot="1">
      <c r="B40" s="83" t="s">
        <v>275</v>
      </c>
      <c r="C40" s="162" t="s">
        <v>413</v>
      </c>
      <c r="E40" s="126" t="s">
        <v>414</v>
      </c>
      <c r="G40" s="130" t="s">
        <v>430</v>
      </c>
      <c r="H40" s="131">
        <f t="shared" ref="H40" si="76">SUM(H33:H36)</f>
        <v>-26236675</v>
      </c>
      <c r="I40" s="131">
        <f t="shared" ref="I40:AN40" si="77">SUM(I33:I36)+IF(I$2=($C$5+$C$33),1,0)*(SUM($C$10)*($C$27)*($C$32))</f>
        <v>-320716.49394900829</v>
      </c>
      <c r="J40" s="131">
        <f t="shared" si="77"/>
        <v>440815.45798736904</v>
      </c>
      <c r="K40" s="131">
        <f t="shared" si="77"/>
        <v>441740.78146358754</v>
      </c>
      <c r="L40" s="131">
        <f t="shared" si="77"/>
        <v>442668.41824849643</v>
      </c>
      <c r="M40" s="131">
        <f t="shared" si="77"/>
        <v>443598.37412536761</v>
      </c>
      <c r="N40" s="131">
        <f t="shared" si="77"/>
        <v>444530.6548919311</v>
      </c>
      <c r="O40" s="131">
        <f t="shared" si="77"/>
        <v>445465.2663604109</v>
      </c>
      <c r="P40" s="131">
        <f t="shared" si="77"/>
        <v>446402.2143575619</v>
      </c>
      <c r="Q40" s="131">
        <f t="shared" si="77"/>
        <v>447341.50472470577</v>
      </c>
      <c r="R40" s="131">
        <f t="shared" si="77"/>
        <v>448283.14331776759</v>
      </c>
      <c r="S40" s="131">
        <f t="shared" si="77"/>
        <v>449227.13600731199</v>
      </c>
      <c r="T40" s="131">
        <f t="shared" si="77"/>
        <v>450173.48867858015</v>
      </c>
      <c r="U40" s="131">
        <f t="shared" si="77"/>
        <v>451122.20723152661</v>
      </c>
      <c r="V40" s="131">
        <f t="shared" si="77"/>
        <v>452073.29758085549</v>
      </c>
      <c r="W40" s="131">
        <f t="shared" si="77"/>
        <v>453026.76565605751</v>
      </c>
      <c r="X40" s="131">
        <f t="shared" si="77"/>
        <v>453982.61740144773</v>
      </c>
      <c r="Y40" s="131">
        <f t="shared" si="77"/>
        <v>454940.85877620132</v>
      </c>
      <c r="Z40" s="131">
        <f t="shared" si="77"/>
        <v>455901.49575439171</v>
      </c>
      <c r="AA40" s="131">
        <f t="shared" si="77"/>
        <v>456864.53432502784</v>
      </c>
      <c r="AB40" s="131">
        <f t="shared" si="77"/>
        <v>457829.98049209034</v>
      </c>
      <c r="AC40" s="131">
        <f t="shared" si="77"/>
        <v>458797.84027457051</v>
      </c>
      <c r="AD40" s="131">
        <f t="shared" si="77"/>
        <v>459768.1197065069</v>
      </c>
      <c r="AE40" s="131">
        <f t="shared" si="77"/>
        <v>460740.82483702304</v>
      </c>
      <c r="AF40" s="131">
        <f t="shared" si="77"/>
        <v>461715.96173036564</v>
      </c>
      <c r="AG40" s="131">
        <f t="shared" si="77"/>
        <v>462693.53646594158</v>
      </c>
      <c r="AH40" s="131">
        <f t="shared" si="77"/>
        <v>463673.55513835652</v>
      </c>
      <c r="AI40" s="131">
        <f t="shared" si="77"/>
        <v>464656.02385745221</v>
      </c>
      <c r="AJ40" s="131">
        <f t="shared" si="77"/>
        <v>465640.94874834595</v>
      </c>
      <c r="AK40" s="131">
        <f t="shared" si="77"/>
        <v>466628.33595146675</v>
      </c>
      <c r="AL40" s="131">
        <f t="shared" si="77"/>
        <v>467618.19162259554</v>
      </c>
      <c r="AM40" s="131">
        <f t="shared" si="77"/>
        <v>468610.52193290187</v>
      </c>
      <c r="AN40" s="131">
        <f t="shared" si="77"/>
        <v>469605.3330689841</v>
      </c>
      <c r="AO40" s="131">
        <f t="shared" ref="AO40:BT40" si="78">SUM(AO33:AO36)+IF(AO$2=($C$5+$C$33),1,0)*(SUM($C$10)*($C$27)*($C$32))</f>
        <v>470602.6312329066</v>
      </c>
      <c r="AP40" s="131">
        <f t="shared" si="78"/>
        <v>471602.42264223879</v>
      </c>
      <c r="AQ40" s="131">
        <f t="shared" si="78"/>
        <v>472604.71353009436</v>
      </c>
      <c r="AR40" s="131">
        <f t="shared" si="78"/>
        <v>473609.51014516957</v>
      </c>
      <c r="AS40" s="131">
        <f t="shared" si="78"/>
        <v>474616.81875178253</v>
      </c>
      <c r="AT40" s="131">
        <f t="shared" si="78"/>
        <v>475626.64562991197</v>
      </c>
      <c r="AU40" s="131">
        <f t="shared" si="78"/>
        <v>476638.99707523669</v>
      </c>
      <c r="AV40" s="131">
        <f t="shared" si="78"/>
        <v>477653.87939917482</v>
      </c>
      <c r="AW40" s="131">
        <f t="shared" si="78"/>
        <v>478671.2989289228</v>
      </c>
      <c r="AX40" s="131">
        <f t="shared" si="78"/>
        <v>479691.26200749504</v>
      </c>
      <c r="AY40" s="131">
        <f t="shared" si="78"/>
        <v>480713.77499376371</v>
      </c>
      <c r="AZ40" s="131">
        <f t="shared" si="78"/>
        <v>481738.84426249808</v>
      </c>
      <c r="BA40" s="131">
        <f t="shared" si="78"/>
        <v>482766.47620440437</v>
      </c>
      <c r="BB40" s="131">
        <f t="shared" si="78"/>
        <v>483796.67722616543</v>
      </c>
      <c r="BC40" s="131">
        <f t="shared" si="78"/>
        <v>484829.45375048061</v>
      </c>
      <c r="BD40" s="131">
        <f t="shared" si="78"/>
        <v>485864.81221610692</v>
      </c>
      <c r="BE40" s="131">
        <f t="shared" si="78"/>
        <v>15396265.766606169</v>
      </c>
      <c r="BF40" s="131">
        <f t="shared" si="78"/>
        <v>0</v>
      </c>
      <c r="BG40" s="131">
        <f t="shared" si="78"/>
        <v>0</v>
      </c>
      <c r="BH40" s="131">
        <f t="shared" si="78"/>
        <v>0</v>
      </c>
      <c r="BI40" s="131">
        <f t="shared" si="78"/>
        <v>0</v>
      </c>
      <c r="BJ40" s="131">
        <f t="shared" si="78"/>
        <v>0</v>
      </c>
      <c r="BK40" s="131">
        <f t="shared" si="78"/>
        <v>0</v>
      </c>
      <c r="BL40" s="131">
        <f t="shared" si="78"/>
        <v>0</v>
      </c>
      <c r="BM40" s="131">
        <f t="shared" si="78"/>
        <v>0</v>
      </c>
      <c r="BN40" s="131">
        <f t="shared" si="78"/>
        <v>0</v>
      </c>
      <c r="BO40" s="131">
        <f t="shared" si="78"/>
        <v>0</v>
      </c>
      <c r="BP40" s="131">
        <f t="shared" si="78"/>
        <v>0</v>
      </c>
      <c r="BQ40" s="131">
        <f t="shared" si="78"/>
        <v>0</v>
      </c>
      <c r="BR40" s="131">
        <f t="shared" si="78"/>
        <v>0</v>
      </c>
      <c r="BS40" s="131">
        <f t="shared" si="78"/>
        <v>0</v>
      </c>
      <c r="BT40" s="131">
        <f t="shared" si="78"/>
        <v>0</v>
      </c>
      <c r="BU40" s="131">
        <f t="shared" ref="BU40:DD40" si="79">SUM(BU33:BU36)+IF(BU$2=($C$5+$C$33),1,0)*(SUM($C$10)*($C$27)*($C$32))</f>
        <v>0</v>
      </c>
      <c r="BV40" s="131">
        <f t="shared" si="79"/>
        <v>0</v>
      </c>
      <c r="BW40" s="131">
        <f t="shared" si="79"/>
        <v>0</v>
      </c>
      <c r="BX40" s="131">
        <f t="shared" si="79"/>
        <v>0</v>
      </c>
      <c r="BY40" s="131">
        <f t="shared" si="79"/>
        <v>0</v>
      </c>
      <c r="BZ40" s="131">
        <f t="shared" si="79"/>
        <v>0</v>
      </c>
      <c r="CA40" s="131">
        <f t="shared" si="79"/>
        <v>0</v>
      </c>
      <c r="CB40" s="131">
        <f t="shared" si="79"/>
        <v>0</v>
      </c>
      <c r="CC40" s="131">
        <f t="shared" si="79"/>
        <v>0</v>
      </c>
      <c r="CD40" s="131">
        <f t="shared" si="79"/>
        <v>0</v>
      </c>
      <c r="CE40" s="131">
        <f t="shared" si="79"/>
        <v>0</v>
      </c>
      <c r="CF40" s="131">
        <f t="shared" si="79"/>
        <v>0</v>
      </c>
      <c r="CG40" s="131">
        <f t="shared" si="79"/>
        <v>0</v>
      </c>
      <c r="CH40" s="131">
        <f t="shared" si="79"/>
        <v>0</v>
      </c>
      <c r="CI40" s="131">
        <f t="shared" si="79"/>
        <v>0</v>
      </c>
      <c r="CJ40" s="131">
        <f t="shared" si="79"/>
        <v>0</v>
      </c>
      <c r="CK40" s="131">
        <f t="shared" si="79"/>
        <v>0</v>
      </c>
      <c r="CL40" s="131">
        <f t="shared" si="79"/>
        <v>0</v>
      </c>
      <c r="CM40" s="131">
        <f t="shared" si="79"/>
        <v>0</v>
      </c>
      <c r="CN40" s="131">
        <f t="shared" si="79"/>
        <v>0</v>
      </c>
      <c r="CO40" s="131">
        <f t="shared" si="79"/>
        <v>0</v>
      </c>
      <c r="CP40" s="131">
        <f t="shared" si="79"/>
        <v>0</v>
      </c>
      <c r="CQ40" s="131">
        <f t="shared" si="79"/>
        <v>0</v>
      </c>
      <c r="CR40" s="131">
        <f t="shared" si="79"/>
        <v>0</v>
      </c>
      <c r="CS40" s="131">
        <f t="shared" si="79"/>
        <v>0</v>
      </c>
      <c r="CT40" s="131">
        <f t="shared" si="79"/>
        <v>0</v>
      </c>
      <c r="CU40" s="131">
        <f t="shared" si="79"/>
        <v>0</v>
      </c>
      <c r="CV40" s="131">
        <f t="shared" si="79"/>
        <v>0</v>
      </c>
      <c r="CW40" s="131">
        <f t="shared" si="79"/>
        <v>0</v>
      </c>
      <c r="CX40" s="131">
        <f t="shared" si="79"/>
        <v>0</v>
      </c>
      <c r="CY40" s="131">
        <f t="shared" si="79"/>
        <v>0</v>
      </c>
      <c r="CZ40" s="131">
        <f t="shared" si="79"/>
        <v>0</v>
      </c>
      <c r="DA40" s="131">
        <f t="shared" si="79"/>
        <v>0</v>
      </c>
      <c r="DB40" s="131">
        <f t="shared" si="79"/>
        <v>0</v>
      </c>
      <c r="DC40" s="131">
        <f t="shared" si="79"/>
        <v>0</v>
      </c>
      <c r="DD40" s="131">
        <f t="shared" si="79"/>
        <v>0</v>
      </c>
      <c r="DE40" s="131">
        <f t="shared" si="57"/>
        <v>10596039.88136871</v>
      </c>
    </row>
    <row r="41" spans="2:109" ht="15" thickBot="1">
      <c r="B41" s="89" t="s">
        <v>252</v>
      </c>
      <c r="C41" s="110">
        <f>H24</f>
        <v>0.10048497438213722</v>
      </c>
      <c r="E41" s="110">
        <f>H28</f>
        <v>0.10725496320103489</v>
      </c>
      <c r="G41" s="132" t="s">
        <v>418</v>
      </c>
      <c r="H41" s="133">
        <f>SUM(H33:H36)</f>
        <v>-26236675</v>
      </c>
      <c r="I41" s="133">
        <f t="shared" ref="I41:AN41" si="80">SUM(I33:I36)+IF(I$2=($C$5+$C$33),1,0)*(SUM($C$10)*($C$27)*($C$32))-I32+IF(I70&gt;0,-$C$34*IF(I40-I37=0,I31,I40-I37),0)</f>
        <v>-320716.49394900829</v>
      </c>
      <c r="J41" s="133">
        <f t="shared" si="80"/>
        <v>440815.45798736904</v>
      </c>
      <c r="K41" s="133">
        <f t="shared" si="80"/>
        <v>441740.78146358754</v>
      </c>
      <c r="L41" s="133">
        <f t="shared" si="80"/>
        <v>442668.41824849643</v>
      </c>
      <c r="M41" s="133">
        <f t="shared" si="80"/>
        <v>443598.37412536761</v>
      </c>
      <c r="N41" s="133">
        <f t="shared" si="80"/>
        <v>444530.6548919311</v>
      </c>
      <c r="O41" s="133">
        <f t="shared" si="80"/>
        <v>445465.26636041084</v>
      </c>
      <c r="P41" s="133">
        <f t="shared" si="80"/>
        <v>446402.2143575619</v>
      </c>
      <c r="Q41" s="133">
        <f t="shared" si="80"/>
        <v>447341.50472470577</v>
      </c>
      <c r="R41" s="133">
        <f t="shared" si="80"/>
        <v>448283.14331776759</v>
      </c>
      <c r="S41" s="133">
        <f t="shared" si="80"/>
        <v>449227.13600731199</v>
      </c>
      <c r="T41" s="133">
        <f t="shared" si="80"/>
        <v>450173.48867858015</v>
      </c>
      <c r="U41" s="133">
        <f t="shared" si="80"/>
        <v>451122.20723152661</v>
      </c>
      <c r="V41" s="133">
        <f t="shared" si="80"/>
        <v>452073.29758085549</v>
      </c>
      <c r="W41" s="133">
        <f t="shared" si="80"/>
        <v>453026.76565605751</v>
      </c>
      <c r="X41" s="133">
        <f t="shared" si="80"/>
        <v>453982.61740144773</v>
      </c>
      <c r="Y41" s="133">
        <f t="shared" si="80"/>
        <v>454940.85877620132</v>
      </c>
      <c r="Z41" s="133">
        <f t="shared" si="80"/>
        <v>455901.49575439171</v>
      </c>
      <c r="AA41" s="133">
        <f t="shared" si="80"/>
        <v>456864.53432502784</v>
      </c>
      <c r="AB41" s="133">
        <f t="shared" si="80"/>
        <v>457829.98049209034</v>
      </c>
      <c r="AC41" s="133">
        <f t="shared" si="80"/>
        <v>458797.84027457051</v>
      </c>
      <c r="AD41" s="133">
        <f t="shared" si="80"/>
        <v>459768.1197065069</v>
      </c>
      <c r="AE41" s="133">
        <f t="shared" si="80"/>
        <v>460740.82483702304</v>
      </c>
      <c r="AF41" s="133">
        <f t="shared" si="80"/>
        <v>461715.96173036564</v>
      </c>
      <c r="AG41" s="133">
        <f t="shared" si="80"/>
        <v>462693.53646594158</v>
      </c>
      <c r="AH41" s="133">
        <f t="shared" si="80"/>
        <v>463673.55513835652</v>
      </c>
      <c r="AI41" s="133">
        <f t="shared" si="80"/>
        <v>464656.02385745221</v>
      </c>
      <c r="AJ41" s="133">
        <f t="shared" si="80"/>
        <v>465640.94874834595</v>
      </c>
      <c r="AK41" s="133">
        <f t="shared" si="80"/>
        <v>466628.33595146675</v>
      </c>
      <c r="AL41" s="133">
        <f t="shared" si="80"/>
        <v>467618.19162259554</v>
      </c>
      <c r="AM41" s="133">
        <f t="shared" si="80"/>
        <v>468610.52193290187</v>
      </c>
      <c r="AN41" s="133">
        <f t="shared" si="80"/>
        <v>469605.3330689841</v>
      </c>
      <c r="AO41" s="133">
        <f t="shared" ref="AO41:BT41" si="81">SUM(AO33:AO36)+IF(AO$2=($C$5+$C$33),1,0)*(SUM($C$10)*($C$27)*($C$32))-AO32+IF(AO70&gt;0,-$C$34*IF(AO40-AO37=0,AO31,AO40-AO37),0)</f>
        <v>470602.6312329066</v>
      </c>
      <c r="AP41" s="133">
        <f t="shared" si="81"/>
        <v>471602.42264223879</v>
      </c>
      <c r="AQ41" s="133">
        <f t="shared" si="81"/>
        <v>472604.71353009436</v>
      </c>
      <c r="AR41" s="133">
        <f t="shared" si="81"/>
        <v>473609.51014516957</v>
      </c>
      <c r="AS41" s="133">
        <f t="shared" si="81"/>
        <v>474616.81875178253</v>
      </c>
      <c r="AT41" s="133">
        <f t="shared" si="81"/>
        <v>475626.64562991197</v>
      </c>
      <c r="AU41" s="133">
        <f t="shared" si="81"/>
        <v>476638.99707523669</v>
      </c>
      <c r="AV41" s="133">
        <f t="shared" si="81"/>
        <v>477653.87939917482</v>
      </c>
      <c r="AW41" s="133">
        <f t="shared" si="81"/>
        <v>478671.2989289228</v>
      </c>
      <c r="AX41" s="133">
        <f t="shared" si="81"/>
        <v>479691.26200749504</v>
      </c>
      <c r="AY41" s="133">
        <f t="shared" si="81"/>
        <v>480713.77499376371</v>
      </c>
      <c r="AZ41" s="133">
        <f t="shared" si="81"/>
        <v>481738.84426249808</v>
      </c>
      <c r="BA41" s="133">
        <f t="shared" si="81"/>
        <v>482766.47620440437</v>
      </c>
      <c r="BB41" s="133">
        <f t="shared" si="81"/>
        <v>483796.67722616543</v>
      </c>
      <c r="BC41" s="133">
        <f t="shared" si="81"/>
        <v>484829.45375048066</v>
      </c>
      <c r="BD41" s="133">
        <f t="shared" si="81"/>
        <v>485864.81221610692</v>
      </c>
      <c r="BE41" s="133">
        <f t="shared" si="81"/>
        <v>15146462.576606169</v>
      </c>
      <c r="BF41" s="133">
        <f t="shared" si="81"/>
        <v>0</v>
      </c>
      <c r="BG41" s="133">
        <f t="shared" si="81"/>
        <v>0</v>
      </c>
      <c r="BH41" s="133">
        <f t="shared" si="81"/>
        <v>0</v>
      </c>
      <c r="BI41" s="133">
        <f t="shared" si="81"/>
        <v>0</v>
      </c>
      <c r="BJ41" s="133">
        <f t="shared" si="81"/>
        <v>0</v>
      </c>
      <c r="BK41" s="133">
        <f t="shared" si="81"/>
        <v>0</v>
      </c>
      <c r="BL41" s="133">
        <f t="shared" si="81"/>
        <v>0</v>
      </c>
      <c r="BM41" s="133">
        <f t="shared" si="81"/>
        <v>0</v>
      </c>
      <c r="BN41" s="133">
        <f t="shared" si="81"/>
        <v>0</v>
      </c>
      <c r="BO41" s="133">
        <f t="shared" si="81"/>
        <v>0</v>
      </c>
      <c r="BP41" s="133">
        <f t="shared" si="81"/>
        <v>0</v>
      </c>
      <c r="BQ41" s="133">
        <f t="shared" si="81"/>
        <v>0</v>
      </c>
      <c r="BR41" s="133">
        <f t="shared" si="81"/>
        <v>0</v>
      </c>
      <c r="BS41" s="133">
        <f t="shared" si="81"/>
        <v>0</v>
      </c>
      <c r="BT41" s="133">
        <f t="shared" si="81"/>
        <v>0</v>
      </c>
      <c r="BU41" s="133">
        <f t="shared" ref="BU41:CZ41" si="82">SUM(BU33:BU36)+IF(BU$2=($C$5+$C$33),1,0)*(SUM($C$10)*($C$27)*($C$32))-BU32+IF(BU70&gt;0,-$C$34*IF(BU40-BU37=0,BU31,BU40-BU37),0)</f>
        <v>0</v>
      </c>
      <c r="BV41" s="133">
        <f t="shared" si="82"/>
        <v>0</v>
      </c>
      <c r="BW41" s="133">
        <f t="shared" si="82"/>
        <v>0</v>
      </c>
      <c r="BX41" s="133">
        <f t="shared" si="82"/>
        <v>0</v>
      </c>
      <c r="BY41" s="133">
        <f t="shared" si="82"/>
        <v>0</v>
      </c>
      <c r="BZ41" s="133">
        <f t="shared" si="82"/>
        <v>0</v>
      </c>
      <c r="CA41" s="133">
        <f t="shared" si="82"/>
        <v>0</v>
      </c>
      <c r="CB41" s="133">
        <f t="shared" si="82"/>
        <v>0</v>
      </c>
      <c r="CC41" s="133">
        <f t="shared" si="82"/>
        <v>0</v>
      </c>
      <c r="CD41" s="133">
        <f t="shared" si="82"/>
        <v>0</v>
      </c>
      <c r="CE41" s="133">
        <f t="shared" si="82"/>
        <v>0</v>
      </c>
      <c r="CF41" s="133">
        <f t="shared" si="82"/>
        <v>0</v>
      </c>
      <c r="CG41" s="133">
        <f t="shared" si="82"/>
        <v>0</v>
      </c>
      <c r="CH41" s="133">
        <f t="shared" si="82"/>
        <v>0</v>
      </c>
      <c r="CI41" s="133">
        <f t="shared" si="82"/>
        <v>0</v>
      </c>
      <c r="CJ41" s="133">
        <f t="shared" si="82"/>
        <v>0</v>
      </c>
      <c r="CK41" s="133">
        <f t="shared" si="82"/>
        <v>0</v>
      </c>
      <c r="CL41" s="133">
        <f t="shared" si="82"/>
        <v>0</v>
      </c>
      <c r="CM41" s="133">
        <f t="shared" si="82"/>
        <v>0</v>
      </c>
      <c r="CN41" s="133">
        <f t="shared" si="82"/>
        <v>0</v>
      </c>
      <c r="CO41" s="133">
        <f t="shared" si="82"/>
        <v>0</v>
      </c>
      <c r="CP41" s="133">
        <f t="shared" si="82"/>
        <v>0</v>
      </c>
      <c r="CQ41" s="133">
        <f t="shared" si="82"/>
        <v>0</v>
      </c>
      <c r="CR41" s="133">
        <f t="shared" si="82"/>
        <v>0</v>
      </c>
      <c r="CS41" s="133">
        <f t="shared" si="82"/>
        <v>0</v>
      </c>
      <c r="CT41" s="133">
        <f t="shared" si="82"/>
        <v>0</v>
      </c>
      <c r="CU41" s="133">
        <f t="shared" si="82"/>
        <v>0</v>
      </c>
      <c r="CV41" s="133">
        <f t="shared" si="82"/>
        <v>0</v>
      </c>
      <c r="CW41" s="133">
        <f t="shared" si="82"/>
        <v>0</v>
      </c>
      <c r="CX41" s="133">
        <f t="shared" si="82"/>
        <v>0</v>
      </c>
      <c r="CY41" s="133">
        <f t="shared" si="82"/>
        <v>0</v>
      </c>
      <c r="CZ41" s="133">
        <f t="shared" si="82"/>
        <v>0</v>
      </c>
      <c r="DA41" s="133">
        <f t="shared" ref="DA41:DD41" si="83">SUM(DA33:DA36)+IF(DA$2=($C$5+$C$33),1,0)*(SUM($C$10)*($C$27)*($C$32))-DA32+IF(DA70&gt;0,-$C$34*IF(DA40-DA37=0,DA31,DA40-DA37),0)</f>
        <v>0</v>
      </c>
      <c r="DB41" s="133">
        <f t="shared" si="83"/>
        <v>0</v>
      </c>
      <c r="DC41" s="133">
        <f t="shared" si="83"/>
        <v>0</v>
      </c>
      <c r="DD41" s="133">
        <f t="shared" si="83"/>
        <v>0</v>
      </c>
      <c r="DE41" s="133">
        <f t="shared" ref="DE41" si="84">SUM(H41:DD41)</f>
        <v>10346236.69136871</v>
      </c>
    </row>
    <row r="42" spans="2:109">
      <c r="B42" t="s">
        <v>340</v>
      </c>
      <c r="C42" s="108">
        <f>H39</f>
        <v>0.1171119798370901</v>
      </c>
      <c r="E42" s="108">
        <f>H43</f>
        <v>0.1237213747299124</v>
      </c>
      <c r="G42" s="134" t="s">
        <v>421</v>
      </c>
      <c r="H42" s="135">
        <f>IRR(H41:DD41,0)</f>
        <v>9.767883500225949E-3</v>
      </c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  <c r="AZ42" s="104"/>
      <c r="BA42" s="104"/>
      <c r="BB42" s="104"/>
      <c r="BC42" s="104"/>
      <c r="BD42" s="104"/>
      <c r="BE42" s="104"/>
      <c r="BF42" s="104"/>
      <c r="BG42" s="104"/>
      <c r="BH42" s="104"/>
      <c r="BI42" s="104"/>
      <c r="BJ42" s="104"/>
      <c r="BK42" s="104"/>
      <c r="BL42" s="104"/>
      <c r="BM42" s="104"/>
      <c r="BN42" s="104"/>
      <c r="BO42" s="104"/>
      <c r="BP42" s="104"/>
      <c r="BQ42" s="104"/>
      <c r="BR42" s="104"/>
      <c r="BS42" s="104"/>
      <c r="BT42" s="104"/>
      <c r="BU42" s="104"/>
      <c r="BV42" s="104"/>
      <c r="BW42" s="104"/>
      <c r="BX42" s="104"/>
      <c r="BY42" s="104"/>
      <c r="BZ42" s="104"/>
      <c r="CA42" s="104"/>
      <c r="CB42" s="104"/>
      <c r="CC42" s="104"/>
      <c r="CD42" s="104"/>
      <c r="CE42" s="104"/>
      <c r="CF42" s="104"/>
      <c r="CG42" s="104"/>
      <c r="CH42" s="104"/>
      <c r="CI42" s="104"/>
      <c r="CJ42" s="104"/>
      <c r="CK42" s="104"/>
      <c r="CL42" s="104"/>
      <c r="CM42" s="104"/>
      <c r="CN42" s="104"/>
      <c r="CO42" s="104"/>
      <c r="CP42" s="104"/>
      <c r="CQ42" s="104"/>
      <c r="CR42" s="104"/>
      <c r="CS42" s="104"/>
      <c r="CT42" s="104"/>
      <c r="CU42" s="104"/>
      <c r="CV42" s="104"/>
      <c r="CW42" s="104"/>
      <c r="CX42" s="104"/>
      <c r="CY42" s="104"/>
      <c r="CZ42" s="104"/>
      <c r="DA42" s="104"/>
      <c r="DB42" s="104"/>
      <c r="DC42" s="104"/>
      <c r="DD42" s="104"/>
      <c r="DE42" s="104"/>
    </row>
    <row r="43" spans="2:109">
      <c r="B43" s="100" t="s">
        <v>251</v>
      </c>
      <c r="C43" s="111">
        <f>H57</f>
        <v>0.11143697902857608</v>
      </c>
      <c r="E43" s="111">
        <f>H61</f>
        <v>0.13353125825643986</v>
      </c>
      <c r="G43" s="136" t="s">
        <v>422</v>
      </c>
      <c r="H43" s="137">
        <f>((1+H42)^12)-1</f>
        <v>0.1237213747299124</v>
      </c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4"/>
      <c r="AT43" s="104"/>
      <c r="AU43" s="104"/>
      <c r="AV43" s="104"/>
      <c r="AW43" s="104"/>
      <c r="AX43" s="104"/>
      <c r="AY43" s="104"/>
      <c r="AZ43" s="104"/>
      <c r="BA43" s="104"/>
      <c r="BB43" s="104"/>
      <c r="BC43" s="104"/>
      <c r="BD43" s="104"/>
      <c r="BE43" s="104"/>
      <c r="BF43" s="104"/>
      <c r="BG43" s="104"/>
      <c r="BH43" s="104"/>
      <c r="BI43" s="104"/>
      <c r="BJ43" s="104"/>
      <c r="BK43" s="104"/>
      <c r="BL43" s="104"/>
      <c r="BM43" s="104"/>
      <c r="BN43" s="104"/>
      <c r="BO43" s="104"/>
      <c r="BP43" s="104"/>
      <c r="BQ43" s="104"/>
      <c r="BR43" s="104"/>
      <c r="BS43" s="104"/>
      <c r="BT43" s="104"/>
      <c r="BU43" s="104"/>
      <c r="BV43" s="104"/>
      <c r="BW43" s="104"/>
      <c r="BX43" s="104"/>
      <c r="BY43" s="104"/>
      <c r="BZ43" s="104"/>
      <c r="CA43" s="104"/>
      <c r="CB43" s="104"/>
      <c r="CC43" s="104"/>
      <c r="CD43" s="104"/>
      <c r="CE43" s="104"/>
      <c r="CF43" s="104"/>
      <c r="CG43" s="104"/>
      <c r="CH43" s="104"/>
      <c r="CI43" s="104"/>
      <c r="CJ43" s="104"/>
      <c r="CK43" s="104"/>
      <c r="CL43" s="104"/>
      <c r="CM43" s="104"/>
      <c r="CN43" s="104"/>
      <c r="CO43" s="104"/>
      <c r="CP43" s="104"/>
      <c r="CQ43" s="104"/>
      <c r="CR43" s="104"/>
      <c r="CS43" s="104"/>
      <c r="CT43" s="104"/>
      <c r="CU43" s="104"/>
      <c r="CV43" s="104"/>
      <c r="CW43" s="104"/>
      <c r="CX43" s="104"/>
      <c r="CY43" s="104"/>
      <c r="CZ43" s="104"/>
      <c r="DA43" s="104"/>
      <c r="DB43" s="104"/>
      <c r="DC43" s="104"/>
      <c r="DD43" s="104"/>
      <c r="DE43" s="104"/>
    </row>
    <row r="44" spans="2:109"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  <c r="CI44" s="86"/>
      <c r="CJ44" s="86"/>
      <c r="CK44" s="86"/>
      <c r="CL44" s="86"/>
      <c r="CM44" s="86"/>
      <c r="CN44" s="86"/>
      <c r="CO44" s="86"/>
      <c r="CP44" s="86"/>
      <c r="CQ44" s="86"/>
      <c r="CR44" s="86"/>
      <c r="CS44" s="86"/>
      <c r="CT44" s="86"/>
      <c r="CU44" s="86"/>
      <c r="CV44" s="86"/>
      <c r="CW44" s="86"/>
      <c r="CX44" s="86"/>
      <c r="CY44" s="86"/>
      <c r="CZ44" s="86"/>
      <c r="DA44" s="86"/>
      <c r="DB44" s="86"/>
      <c r="DC44" s="86"/>
      <c r="DD44" s="86"/>
      <c r="DE44" s="86"/>
    </row>
    <row r="45" spans="2:109" ht="15" thickBot="1">
      <c r="B45" s="83" t="s">
        <v>189</v>
      </c>
      <c r="G45" s="87" t="s">
        <v>240</v>
      </c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8"/>
      <c r="BA45" s="88"/>
      <c r="BB45" s="88"/>
      <c r="BC45" s="88"/>
      <c r="BD45" s="88"/>
      <c r="BE45" s="88"/>
      <c r="BF45" s="88"/>
      <c r="BG45" s="88"/>
      <c r="BH45" s="88"/>
      <c r="BI45" s="88"/>
      <c r="BJ45" s="88"/>
      <c r="BK45" s="88"/>
      <c r="BL45" s="88"/>
      <c r="BM45" s="88"/>
      <c r="BN45" s="88"/>
      <c r="BO45" s="88"/>
      <c r="BP45" s="88"/>
      <c r="BQ45" s="88"/>
      <c r="BR45" s="88"/>
      <c r="BS45" s="88"/>
      <c r="BT45" s="88"/>
      <c r="BU45" s="88"/>
      <c r="BV45" s="88"/>
      <c r="BW45" s="88"/>
      <c r="BX45" s="88"/>
      <c r="BY45" s="88"/>
      <c r="BZ45" s="88"/>
      <c r="CA45" s="88"/>
      <c r="CB45" s="88"/>
      <c r="CC45" s="88"/>
      <c r="CD45" s="88"/>
      <c r="CE45" s="88"/>
      <c r="CF45" s="88"/>
      <c r="CG45" s="88"/>
      <c r="CH45" s="88"/>
      <c r="CI45" s="88"/>
      <c r="CJ45" s="88"/>
      <c r="CK45" s="88"/>
      <c r="CL45" s="88"/>
      <c r="CM45" s="88"/>
      <c r="CN45" s="88"/>
      <c r="CO45" s="88"/>
      <c r="CP45" s="88"/>
      <c r="CQ45" s="88"/>
      <c r="CR45" s="88"/>
      <c r="CS45" s="88"/>
      <c r="CT45" s="88"/>
      <c r="CU45" s="88"/>
      <c r="CV45" s="88"/>
      <c r="CW45" s="88"/>
      <c r="CX45" s="88"/>
      <c r="CY45" s="88"/>
      <c r="CZ45" s="88"/>
      <c r="DA45" s="88"/>
      <c r="DB45" s="88"/>
      <c r="DC45" s="88"/>
      <c r="DD45" s="88"/>
      <c r="DE45" s="88"/>
    </row>
    <row r="46" spans="2:109">
      <c r="B46" s="119" t="s">
        <v>373</v>
      </c>
      <c r="C46" s="120">
        <f>Carátula!$J$101</f>
        <v>0.1</v>
      </c>
      <c r="G46" s="83" t="s">
        <v>239</v>
      </c>
      <c r="H46" s="93">
        <f t="shared" ref="H46:AM46" si="85">H14</f>
        <v>0</v>
      </c>
      <c r="I46" s="93">
        <f t="shared" si="85"/>
        <v>207911.90691916668</v>
      </c>
      <c r="J46" s="93">
        <f t="shared" si="85"/>
        <v>209086.18731146445</v>
      </c>
      <c r="K46" s="93">
        <f t="shared" si="85"/>
        <v>210263.40340474318</v>
      </c>
      <c r="L46" s="93">
        <f t="shared" si="85"/>
        <v>211443.56253825495</v>
      </c>
      <c r="M46" s="93">
        <f t="shared" si="85"/>
        <v>212626.67206960055</v>
      </c>
      <c r="N46" s="93">
        <f t="shared" si="85"/>
        <v>213812.73937477462</v>
      </c>
      <c r="O46" s="93">
        <f t="shared" si="85"/>
        <v>215001.77184821153</v>
      </c>
      <c r="P46" s="93">
        <f t="shared" si="85"/>
        <v>216193.77690283197</v>
      </c>
      <c r="Q46" s="93">
        <f t="shared" si="85"/>
        <v>217388.76197008905</v>
      </c>
      <c r="R46" s="93">
        <f t="shared" si="85"/>
        <v>218586.73450001434</v>
      </c>
      <c r="S46" s="93">
        <f t="shared" si="85"/>
        <v>219787.70196126436</v>
      </c>
      <c r="T46" s="93">
        <f t="shared" si="85"/>
        <v>220991.67184116732</v>
      </c>
      <c r="U46" s="93">
        <f t="shared" si="85"/>
        <v>222198.65164577035</v>
      </c>
      <c r="V46" s="93">
        <f t="shared" si="85"/>
        <v>223408.64889988478</v>
      </c>
      <c r="W46" s="93">
        <f t="shared" si="85"/>
        <v>224621.67114713439</v>
      </c>
      <c r="X46" s="93">
        <f t="shared" si="85"/>
        <v>225837.72595000226</v>
      </c>
      <c r="Y46" s="93">
        <f t="shared" si="85"/>
        <v>227056.82088987727</v>
      </c>
      <c r="Z46" s="93">
        <f t="shared" si="85"/>
        <v>228278.9635671018</v>
      </c>
      <c r="AA46" s="93">
        <f t="shared" si="85"/>
        <v>229504.16160101973</v>
      </c>
      <c r="AB46" s="93">
        <f t="shared" si="85"/>
        <v>230732.42263002228</v>
      </c>
      <c r="AC46" s="93">
        <f t="shared" si="85"/>
        <v>231963.75431159721</v>
      </c>
      <c r="AD46" s="93">
        <f t="shared" si="85"/>
        <v>233198.16432237613</v>
      </c>
      <c r="AE46" s="93">
        <f t="shared" si="85"/>
        <v>234435.66035818192</v>
      </c>
      <c r="AF46" s="93">
        <f t="shared" si="85"/>
        <v>235676.25013407751</v>
      </c>
      <c r="AG46" s="93">
        <f t="shared" si="85"/>
        <v>236919.9413844127</v>
      </c>
      <c r="AH46" s="93">
        <f t="shared" si="85"/>
        <v>238166.74186287378</v>
      </c>
      <c r="AI46" s="93">
        <f t="shared" si="85"/>
        <v>239416.65934253077</v>
      </c>
      <c r="AJ46" s="93">
        <f t="shared" si="85"/>
        <v>240669.70161588717</v>
      </c>
      <c r="AK46" s="93">
        <f t="shared" si="85"/>
        <v>241925.87649492681</v>
      </c>
      <c r="AL46" s="93">
        <f t="shared" si="85"/>
        <v>243185.19181116432</v>
      </c>
      <c r="AM46" s="93">
        <f t="shared" si="85"/>
        <v>244447.65541569202</v>
      </c>
      <c r="AN46" s="93">
        <f t="shared" ref="AN46:BS46" si="86">AN14</f>
        <v>245713.27517923125</v>
      </c>
      <c r="AO46" s="93">
        <f t="shared" si="86"/>
        <v>246982.0589921794</v>
      </c>
      <c r="AP46" s="93">
        <f t="shared" si="86"/>
        <v>248254.01476465969</v>
      </c>
      <c r="AQ46" s="93">
        <f t="shared" si="86"/>
        <v>249529.15042657126</v>
      </c>
      <c r="AR46" s="93">
        <f t="shared" si="86"/>
        <v>250807.47392763768</v>
      </c>
      <c r="AS46" s="93">
        <f t="shared" si="86"/>
        <v>252088.99323745683</v>
      </c>
      <c r="AT46" s="93">
        <f t="shared" si="86"/>
        <v>253373.71634555043</v>
      </c>
      <c r="AU46" s="93">
        <f t="shared" si="86"/>
        <v>254661.65126141428</v>
      </c>
      <c r="AV46" s="93">
        <f t="shared" si="86"/>
        <v>255952.8060145679</v>
      </c>
      <c r="AW46" s="93">
        <f t="shared" si="86"/>
        <v>257247.18865460437</v>
      </c>
      <c r="AX46" s="93">
        <f t="shared" si="86"/>
        <v>258544.80725124071</v>
      </c>
      <c r="AY46" s="93">
        <f t="shared" si="86"/>
        <v>259845.66989436874</v>
      </c>
      <c r="AZ46" s="93">
        <f t="shared" si="86"/>
        <v>261149.78469410469</v>
      </c>
      <c r="BA46" s="93">
        <f t="shared" si="86"/>
        <v>262457.15978083992</v>
      </c>
      <c r="BB46" s="93">
        <f t="shared" si="86"/>
        <v>263767.80330529215</v>
      </c>
      <c r="BC46" s="93">
        <f t="shared" si="86"/>
        <v>265081.72343855503</v>
      </c>
      <c r="BD46" s="93">
        <f t="shared" si="86"/>
        <v>266398.92837215157</v>
      </c>
      <c r="BE46" s="93">
        <f t="shared" si="86"/>
        <v>0</v>
      </c>
      <c r="BF46" s="93">
        <f t="shared" si="86"/>
        <v>0</v>
      </c>
      <c r="BG46" s="93">
        <f t="shared" si="86"/>
        <v>0</v>
      </c>
      <c r="BH46" s="93">
        <f t="shared" si="86"/>
        <v>0</v>
      </c>
      <c r="BI46" s="93">
        <f t="shared" si="86"/>
        <v>0</v>
      </c>
      <c r="BJ46" s="93">
        <f t="shared" si="86"/>
        <v>0</v>
      </c>
      <c r="BK46" s="93">
        <f t="shared" si="86"/>
        <v>0</v>
      </c>
      <c r="BL46" s="93">
        <f t="shared" si="86"/>
        <v>0</v>
      </c>
      <c r="BM46" s="93">
        <f t="shared" si="86"/>
        <v>0</v>
      </c>
      <c r="BN46" s="93">
        <f t="shared" si="86"/>
        <v>0</v>
      </c>
      <c r="BO46" s="93">
        <f t="shared" si="86"/>
        <v>0</v>
      </c>
      <c r="BP46" s="93">
        <f t="shared" si="86"/>
        <v>0</v>
      </c>
      <c r="BQ46" s="93">
        <f t="shared" si="86"/>
        <v>0</v>
      </c>
      <c r="BR46" s="93">
        <f t="shared" si="86"/>
        <v>0</v>
      </c>
      <c r="BS46" s="93">
        <f t="shared" si="86"/>
        <v>0</v>
      </c>
      <c r="BT46" s="93">
        <f t="shared" ref="BT46:DD46" si="87">BT14</f>
        <v>0</v>
      </c>
      <c r="BU46" s="93">
        <f t="shared" si="87"/>
        <v>0</v>
      </c>
      <c r="BV46" s="93">
        <f t="shared" si="87"/>
        <v>0</v>
      </c>
      <c r="BW46" s="93">
        <f t="shared" si="87"/>
        <v>0</v>
      </c>
      <c r="BX46" s="93">
        <f t="shared" si="87"/>
        <v>0</v>
      </c>
      <c r="BY46" s="93">
        <f t="shared" si="87"/>
        <v>0</v>
      </c>
      <c r="BZ46" s="93">
        <f t="shared" si="87"/>
        <v>0</v>
      </c>
      <c r="CA46" s="93">
        <f t="shared" si="87"/>
        <v>0</v>
      </c>
      <c r="CB46" s="93">
        <f t="shared" si="87"/>
        <v>0</v>
      </c>
      <c r="CC46" s="93">
        <f t="shared" si="87"/>
        <v>0</v>
      </c>
      <c r="CD46" s="93">
        <f t="shared" si="87"/>
        <v>0</v>
      </c>
      <c r="CE46" s="93">
        <f t="shared" si="87"/>
        <v>0</v>
      </c>
      <c r="CF46" s="93">
        <f t="shared" si="87"/>
        <v>0</v>
      </c>
      <c r="CG46" s="93">
        <f t="shared" si="87"/>
        <v>0</v>
      </c>
      <c r="CH46" s="93">
        <f t="shared" si="87"/>
        <v>0</v>
      </c>
      <c r="CI46" s="93">
        <f t="shared" si="87"/>
        <v>0</v>
      </c>
      <c r="CJ46" s="93">
        <f t="shared" si="87"/>
        <v>0</v>
      </c>
      <c r="CK46" s="93">
        <f t="shared" si="87"/>
        <v>0</v>
      </c>
      <c r="CL46" s="93">
        <f t="shared" si="87"/>
        <v>0</v>
      </c>
      <c r="CM46" s="93">
        <f t="shared" si="87"/>
        <v>0</v>
      </c>
      <c r="CN46" s="93">
        <f t="shared" si="87"/>
        <v>0</v>
      </c>
      <c r="CO46" s="93">
        <f t="shared" si="87"/>
        <v>0</v>
      </c>
      <c r="CP46" s="93">
        <f t="shared" si="87"/>
        <v>0</v>
      </c>
      <c r="CQ46" s="93">
        <f t="shared" si="87"/>
        <v>0</v>
      </c>
      <c r="CR46" s="93">
        <f t="shared" si="87"/>
        <v>0</v>
      </c>
      <c r="CS46" s="93">
        <f t="shared" si="87"/>
        <v>0</v>
      </c>
      <c r="CT46" s="93">
        <f t="shared" si="87"/>
        <v>0</v>
      </c>
      <c r="CU46" s="93">
        <f t="shared" si="87"/>
        <v>0</v>
      </c>
      <c r="CV46" s="93">
        <f t="shared" si="87"/>
        <v>0</v>
      </c>
      <c r="CW46" s="93">
        <f t="shared" si="87"/>
        <v>0</v>
      </c>
      <c r="CX46" s="93">
        <f t="shared" si="87"/>
        <v>0</v>
      </c>
      <c r="CY46" s="93">
        <f t="shared" si="87"/>
        <v>0</v>
      </c>
      <c r="CZ46" s="93">
        <f t="shared" si="87"/>
        <v>0</v>
      </c>
      <c r="DA46" s="93">
        <f t="shared" si="87"/>
        <v>0</v>
      </c>
      <c r="DB46" s="93">
        <f t="shared" si="87"/>
        <v>0</v>
      </c>
      <c r="DC46" s="93">
        <f t="shared" si="87"/>
        <v>0</v>
      </c>
      <c r="DD46" s="93">
        <f t="shared" si="87"/>
        <v>0</v>
      </c>
      <c r="DE46" s="93">
        <f t="shared" ref="DE46:DE54" si="88">SUM(H46:DD46)</f>
        <v>11356595.759566542</v>
      </c>
    </row>
    <row r="47" spans="2:109">
      <c r="B47" s="121" t="s">
        <v>374</v>
      </c>
      <c r="C47" s="104">
        <f>(1+C46)^(1/12)-1</f>
        <v>7.9741404289037643E-3</v>
      </c>
      <c r="G47" t="s">
        <v>363</v>
      </c>
      <c r="H47" s="86"/>
      <c r="I47" s="86">
        <f t="shared" ref="I47:AN47" si="89">IF(I$2&lt;=$C$5,1,0)*(IFERROR(IPMT(($C$36/12),I$2,$C$5,($C$19*$C$35)),0))</f>
        <v>-273298.69791666663</v>
      </c>
      <c r="J47" s="86">
        <f t="shared" si="89"/>
        <v>-268881.28026555106</v>
      </c>
      <c r="K47" s="86">
        <f t="shared" si="89"/>
        <v>-264417.84784723638</v>
      </c>
      <c r="L47" s="86">
        <f t="shared" si="89"/>
        <v>-259907.92134123098</v>
      </c>
      <c r="M47" s="86">
        <f t="shared" si="89"/>
        <v>-255351.01643412124</v>
      </c>
      <c r="N47" s="86">
        <f t="shared" si="89"/>
        <v>-250746.64376756249</v>
      </c>
      <c r="O47" s="86">
        <f t="shared" si="89"/>
        <v>-246094.30888572708</v>
      </c>
      <c r="P47" s="86">
        <f t="shared" si="89"/>
        <v>-241393.51218220592</v>
      </c>
      <c r="Q47" s="86">
        <f t="shared" si="89"/>
        <v>-236643.74884635641</v>
      </c>
      <c r="R47" s="86">
        <f t="shared" si="89"/>
        <v>-231844.50880909176</v>
      </c>
      <c r="S47" s="86">
        <f t="shared" si="89"/>
        <v>-226995.2766881056</v>
      </c>
      <c r="T47" s="86">
        <f t="shared" si="89"/>
        <v>-222095.53173252591</v>
      </c>
      <c r="U47" s="86">
        <f t="shared" si="89"/>
        <v>-217144.74776699219</v>
      </c>
      <c r="V47" s="86">
        <f t="shared" si="89"/>
        <v>-212142.39313515084</v>
      </c>
      <c r="W47" s="86">
        <f t="shared" si="89"/>
        <v>-207087.93064256117</v>
      </c>
      <c r="X47" s="86">
        <f t="shared" si="89"/>
        <v>-201980.81749900698</v>
      </c>
      <c r="Y47" s="86">
        <f t="shared" si="89"/>
        <v>-196820.50526020749</v>
      </c>
      <c r="Z47" s="86">
        <f t="shared" si="89"/>
        <v>-191606.43976892045</v>
      </c>
      <c r="AA47" s="86">
        <f t="shared" si="89"/>
        <v>-186338.06109543255</v>
      </c>
      <c r="AB47" s="86">
        <f t="shared" si="89"/>
        <v>-181014.80347742912</v>
      </c>
      <c r="AC47" s="86">
        <f t="shared" si="89"/>
        <v>-175636.09525923818</v>
      </c>
      <c r="AD47" s="86">
        <f t="shared" si="89"/>
        <v>-170201.35883044105</v>
      </c>
      <c r="AE47" s="86">
        <f t="shared" si="89"/>
        <v>-164710.01056384397</v>
      </c>
      <c r="AF47" s="86">
        <f t="shared" si="89"/>
        <v>-159161.46075280319</v>
      </c>
      <c r="AG47" s="86">
        <f t="shared" si="89"/>
        <v>-153555.11354789737</v>
      </c>
      <c r="AH47" s="86">
        <f t="shared" si="89"/>
        <v>-147890.36689294042</v>
      </c>
      <c r="AI47" s="86">
        <f t="shared" si="89"/>
        <v>-142166.61246032774</v>
      </c>
      <c r="AJ47" s="86">
        <f t="shared" si="89"/>
        <v>-136383.23558570864</v>
      </c>
      <c r="AK47" s="86">
        <f t="shared" si="89"/>
        <v>-130539.61520197892</v>
      </c>
      <c r="AL47" s="86">
        <f t="shared" si="89"/>
        <v>-124635.12377258537</v>
      </c>
      <c r="AM47" s="86">
        <f t="shared" si="89"/>
        <v>-118669.12722413562</v>
      </c>
      <c r="AN47" s="86">
        <f t="shared" si="89"/>
        <v>-112640.98487830619</v>
      </c>
      <c r="AO47" s="86">
        <f t="shared" ref="AO47:BT47" si="90">IF(AO$2&lt;=$C$5,1,0)*(IFERROR(IPMT(($C$36/12),AO$2,$C$5,($C$19*$C$35)),0))</f>
        <v>-106550.04938304104</v>
      </c>
      <c r="AP47" s="86">
        <f t="shared" si="90"/>
        <v>-100395.66664303353</v>
      </c>
      <c r="AQ47" s="86">
        <f t="shared" si="90"/>
        <v>-94177.175749484304</v>
      </c>
      <c r="AR47" s="86">
        <f t="shared" si="90"/>
        <v>-87893.908909127247</v>
      </c>
      <c r="AS47" s="86">
        <f t="shared" si="90"/>
        <v>-81545.191372516478</v>
      </c>
      <c r="AT47" s="86">
        <f t="shared" si="90"/>
        <v>-75130.341361566025</v>
      </c>
      <c r="AU47" s="86">
        <f t="shared" si="90"/>
        <v>-68648.669996334822</v>
      </c>
      <c r="AV47" s="86">
        <f t="shared" si="90"/>
        <v>-62099.481221049136</v>
      </c>
      <c r="AW47" s="86">
        <f t="shared" si="90"/>
        <v>-55482.071729354218</v>
      </c>
      <c r="AX47" s="86">
        <f t="shared" si="90"/>
        <v>-48795.73088878749</v>
      </c>
      <c r="AY47" s="86">
        <f t="shared" si="90"/>
        <v>-42039.740664464844</v>
      </c>
      <c r="AZ47" s="86">
        <f t="shared" si="90"/>
        <v>-35213.375541972178</v>
      </c>
      <c r="BA47" s="86">
        <f t="shared" si="90"/>
        <v>-28315.902449453548</v>
      </c>
      <c r="BB47" s="86">
        <f t="shared" si="90"/>
        <v>-21346.580678887847</v>
      </c>
      <c r="BC47" s="86">
        <f t="shared" si="90"/>
        <v>-14304.661806545419</v>
      </c>
      <c r="BD47" s="86">
        <f t="shared" si="90"/>
        <v>-7189.3896126160917</v>
      </c>
      <c r="BE47" s="86">
        <f t="shared" si="90"/>
        <v>0</v>
      </c>
      <c r="BF47" s="86">
        <f t="shared" si="90"/>
        <v>0</v>
      </c>
      <c r="BG47" s="86">
        <f t="shared" si="90"/>
        <v>0</v>
      </c>
      <c r="BH47" s="86">
        <f t="shared" si="90"/>
        <v>0</v>
      </c>
      <c r="BI47" s="86">
        <f t="shared" si="90"/>
        <v>0</v>
      </c>
      <c r="BJ47" s="86">
        <f t="shared" si="90"/>
        <v>0</v>
      </c>
      <c r="BK47" s="86">
        <f t="shared" si="90"/>
        <v>0</v>
      </c>
      <c r="BL47" s="86">
        <f t="shared" si="90"/>
        <v>0</v>
      </c>
      <c r="BM47" s="86">
        <f t="shared" si="90"/>
        <v>0</v>
      </c>
      <c r="BN47" s="86">
        <f t="shared" si="90"/>
        <v>0</v>
      </c>
      <c r="BO47" s="86">
        <f t="shared" si="90"/>
        <v>0</v>
      </c>
      <c r="BP47" s="86">
        <f t="shared" si="90"/>
        <v>0</v>
      </c>
      <c r="BQ47" s="86">
        <f t="shared" si="90"/>
        <v>0</v>
      </c>
      <c r="BR47" s="86">
        <f t="shared" si="90"/>
        <v>0</v>
      </c>
      <c r="BS47" s="86">
        <f t="shared" si="90"/>
        <v>0</v>
      </c>
      <c r="BT47" s="86">
        <f t="shared" si="90"/>
        <v>0</v>
      </c>
      <c r="BU47" s="86">
        <f t="shared" ref="BU47:DD47" si="91">IF(BU$2&lt;=$C$5,1,0)*(IFERROR(IPMT(($C$36/12),BU$2,$C$5,($C$19*$C$35)),0))</f>
        <v>0</v>
      </c>
      <c r="BV47" s="86">
        <f t="shared" si="91"/>
        <v>0</v>
      </c>
      <c r="BW47" s="86">
        <f t="shared" si="91"/>
        <v>0</v>
      </c>
      <c r="BX47" s="86">
        <f t="shared" si="91"/>
        <v>0</v>
      </c>
      <c r="BY47" s="86">
        <f t="shared" si="91"/>
        <v>0</v>
      </c>
      <c r="BZ47" s="86">
        <f t="shared" si="91"/>
        <v>0</v>
      </c>
      <c r="CA47" s="86">
        <f t="shared" si="91"/>
        <v>0</v>
      </c>
      <c r="CB47" s="86">
        <f t="shared" si="91"/>
        <v>0</v>
      </c>
      <c r="CC47" s="86">
        <f t="shared" si="91"/>
        <v>0</v>
      </c>
      <c r="CD47" s="86">
        <f t="shared" si="91"/>
        <v>0</v>
      </c>
      <c r="CE47" s="86">
        <f t="shared" si="91"/>
        <v>0</v>
      </c>
      <c r="CF47" s="86">
        <f t="shared" si="91"/>
        <v>0</v>
      </c>
      <c r="CG47" s="86">
        <f t="shared" si="91"/>
        <v>0</v>
      </c>
      <c r="CH47" s="86">
        <f t="shared" si="91"/>
        <v>0</v>
      </c>
      <c r="CI47" s="86">
        <f t="shared" si="91"/>
        <v>0</v>
      </c>
      <c r="CJ47" s="86">
        <f t="shared" si="91"/>
        <v>0</v>
      </c>
      <c r="CK47" s="86">
        <f t="shared" si="91"/>
        <v>0</v>
      </c>
      <c r="CL47" s="86">
        <f t="shared" si="91"/>
        <v>0</v>
      </c>
      <c r="CM47" s="86">
        <f t="shared" si="91"/>
        <v>0</v>
      </c>
      <c r="CN47" s="86">
        <f t="shared" si="91"/>
        <v>0</v>
      </c>
      <c r="CO47" s="86">
        <f t="shared" si="91"/>
        <v>0</v>
      </c>
      <c r="CP47" s="86">
        <f t="shared" si="91"/>
        <v>0</v>
      </c>
      <c r="CQ47" s="86">
        <f t="shared" si="91"/>
        <v>0</v>
      </c>
      <c r="CR47" s="86">
        <f t="shared" si="91"/>
        <v>0</v>
      </c>
      <c r="CS47" s="86">
        <f t="shared" si="91"/>
        <v>0</v>
      </c>
      <c r="CT47" s="86">
        <f t="shared" si="91"/>
        <v>0</v>
      </c>
      <c r="CU47" s="86">
        <f t="shared" si="91"/>
        <v>0</v>
      </c>
      <c r="CV47" s="86">
        <f t="shared" si="91"/>
        <v>0</v>
      </c>
      <c r="CW47" s="86">
        <f t="shared" si="91"/>
        <v>0</v>
      </c>
      <c r="CX47" s="86">
        <f t="shared" si="91"/>
        <v>0</v>
      </c>
      <c r="CY47" s="86">
        <f t="shared" si="91"/>
        <v>0</v>
      </c>
      <c r="CZ47" s="86">
        <f t="shared" si="91"/>
        <v>0</v>
      </c>
      <c r="DA47" s="86">
        <f t="shared" si="91"/>
        <v>0</v>
      </c>
      <c r="DB47" s="86">
        <f t="shared" si="91"/>
        <v>0</v>
      </c>
      <c r="DC47" s="86">
        <f t="shared" si="91"/>
        <v>0</v>
      </c>
      <c r="DD47" s="86">
        <f t="shared" si="91"/>
        <v>0</v>
      </c>
      <c r="DE47" s="86">
        <f>SUM(H47:DD47)</f>
        <v>-7237123.0363405216</v>
      </c>
    </row>
    <row r="48" spans="2:109">
      <c r="B48" s="122" t="s">
        <v>375</v>
      </c>
      <c r="C48" s="124">
        <f>NPV(C47,H59:DD59)</f>
        <v>682235.36569542845</v>
      </c>
      <c r="G48" s="83" t="s">
        <v>238</v>
      </c>
      <c r="H48" s="93">
        <f t="shared" ref="H48:I48" si="92">SUM(H46:H47)</f>
        <v>0</v>
      </c>
      <c r="I48" s="93">
        <f t="shared" si="92"/>
        <v>-65386.790997499949</v>
      </c>
      <c r="J48" s="93">
        <f t="shared" ref="J48:BU48" si="93">SUM(J46:J47)</f>
        <v>-59795.092954086605</v>
      </c>
      <c r="K48" s="93">
        <f t="shared" si="93"/>
        <v>-54154.444442493201</v>
      </c>
      <c r="L48" s="93">
        <f t="shared" si="93"/>
        <v>-48464.358802976029</v>
      </c>
      <c r="M48" s="93">
        <f t="shared" si="93"/>
        <v>-42724.344364520686</v>
      </c>
      <c r="N48" s="93">
        <f t="shared" si="93"/>
        <v>-36933.904392787867</v>
      </c>
      <c r="O48" s="93">
        <f t="shared" si="93"/>
        <v>-31092.537037515547</v>
      </c>
      <c r="P48" s="93">
        <f t="shared" si="93"/>
        <v>-25199.735279373941</v>
      </c>
      <c r="Q48" s="93">
        <f t="shared" si="93"/>
        <v>-19254.986876267358</v>
      </c>
      <c r="R48" s="93">
        <f t="shared" si="93"/>
        <v>-13257.774309077417</v>
      </c>
      <c r="S48" s="93">
        <f t="shared" si="93"/>
        <v>-7207.5747268412379</v>
      </c>
      <c r="T48" s="93">
        <f t="shared" si="93"/>
        <v>-1103.8598913585884</v>
      </c>
      <c r="U48" s="93">
        <f t="shared" si="93"/>
        <v>5053.903878778161</v>
      </c>
      <c r="V48" s="93">
        <f t="shared" si="93"/>
        <v>11266.255764733942</v>
      </c>
      <c r="W48" s="93">
        <f t="shared" si="93"/>
        <v>17533.740504573216</v>
      </c>
      <c r="X48" s="93">
        <f t="shared" si="93"/>
        <v>23856.908450995281</v>
      </c>
      <c r="Y48" s="93">
        <f t="shared" si="93"/>
        <v>30236.315629669785</v>
      </c>
      <c r="Z48" s="93">
        <f t="shared" si="93"/>
        <v>36672.523798181355</v>
      </c>
      <c r="AA48" s="93">
        <f t="shared" si="93"/>
        <v>43166.100505587179</v>
      </c>
      <c r="AB48" s="93">
        <f t="shared" si="93"/>
        <v>49717.619152593164</v>
      </c>
      <c r="AC48" s="93">
        <f t="shared" si="93"/>
        <v>56327.659052359028</v>
      </c>
      <c r="AD48" s="93">
        <f t="shared" si="93"/>
        <v>62996.805491935083</v>
      </c>
      <c r="AE48" s="93">
        <f t="shared" si="93"/>
        <v>69725.649794337951</v>
      </c>
      <c r="AF48" s="93">
        <f t="shared" si="93"/>
        <v>76514.789381274313</v>
      </c>
      <c r="AG48" s="93">
        <f t="shared" si="93"/>
        <v>83364.827836515324</v>
      </c>
      <c r="AH48" s="93">
        <f t="shared" si="93"/>
        <v>90276.374969933357</v>
      </c>
      <c r="AI48" s="93">
        <f t="shared" si="93"/>
        <v>97250.046882203023</v>
      </c>
      <c r="AJ48" s="93">
        <f t="shared" si="93"/>
        <v>104286.46603017853</v>
      </c>
      <c r="AK48" s="93">
        <f t="shared" si="93"/>
        <v>111386.26129294789</v>
      </c>
      <c r="AL48" s="93">
        <f t="shared" si="93"/>
        <v>118550.06803857895</v>
      </c>
      <c r="AM48" s="93">
        <f t="shared" si="93"/>
        <v>125778.5281915564</v>
      </c>
      <c r="AN48" s="93">
        <f t="shared" si="93"/>
        <v>133072.29030092506</v>
      </c>
      <c r="AO48" s="93">
        <f t="shared" si="93"/>
        <v>140432.00960913836</v>
      </c>
      <c r="AP48" s="93">
        <f t="shared" si="93"/>
        <v>147858.34812162616</v>
      </c>
      <c r="AQ48" s="93">
        <f t="shared" si="93"/>
        <v>155351.97467708695</v>
      </c>
      <c r="AR48" s="93">
        <f t="shared" si="93"/>
        <v>162913.56501851045</v>
      </c>
      <c r="AS48" s="93">
        <f t="shared" si="93"/>
        <v>170543.80186494035</v>
      </c>
      <c r="AT48" s="93">
        <f t="shared" si="93"/>
        <v>178243.37498398439</v>
      </c>
      <c r="AU48" s="93">
        <f t="shared" si="93"/>
        <v>186012.98126507946</v>
      </c>
      <c r="AV48" s="93">
        <f t="shared" si="93"/>
        <v>193853.32479351875</v>
      </c>
      <c r="AW48" s="93">
        <f t="shared" si="93"/>
        <v>201765.11692525016</v>
      </c>
      <c r="AX48" s="93">
        <f t="shared" si="93"/>
        <v>209749.07636245323</v>
      </c>
      <c r="AY48" s="93">
        <f t="shared" si="93"/>
        <v>217805.92922990391</v>
      </c>
      <c r="AZ48" s="93">
        <f t="shared" si="93"/>
        <v>225936.40915213252</v>
      </c>
      <c r="BA48" s="93">
        <f t="shared" si="93"/>
        <v>234141.25733138638</v>
      </c>
      <c r="BB48" s="93">
        <f t="shared" si="93"/>
        <v>242421.22262640431</v>
      </c>
      <c r="BC48" s="93">
        <f t="shared" si="93"/>
        <v>250777.0616320096</v>
      </c>
      <c r="BD48" s="93">
        <f t="shared" si="93"/>
        <v>259209.53875953547</v>
      </c>
      <c r="BE48" s="93">
        <f t="shared" si="93"/>
        <v>0</v>
      </c>
      <c r="BF48" s="93">
        <f t="shared" si="93"/>
        <v>0</v>
      </c>
      <c r="BG48" s="93">
        <f t="shared" si="93"/>
        <v>0</v>
      </c>
      <c r="BH48" s="93">
        <f t="shared" si="93"/>
        <v>0</v>
      </c>
      <c r="BI48" s="93">
        <f t="shared" si="93"/>
        <v>0</v>
      </c>
      <c r="BJ48" s="93">
        <f t="shared" si="93"/>
        <v>0</v>
      </c>
      <c r="BK48" s="93">
        <f t="shared" si="93"/>
        <v>0</v>
      </c>
      <c r="BL48" s="93">
        <f t="shared" si="93"/>
        <v>0</v>
      </c>
      <c r="BM48" s="93">
        <f t="shared" si="93"/>
        <v>0</v>
      </c>
      <c r="BN48" s="93">
        <f t="shared" si="93"/>
        <v>0</v>
      </c>
      <c r="BO48" s="93">
        <f t="shared" si="93"/>
        <v>0</v>
      </c>
      <c r="BP48" s="93">
        <f t="shared" si="93"/>
        <v>0</v>
      </c>
      <c r="BQ48" s="93">
        <f t="shared" si="93"/>
        <v>0</v>
      </c>
      <c r="BR48" s="93">
        <f t="shared" si="93"/>
        <v>0</v>
      </c>
      <c r="BS48" s="93">
        <f t="shared" si="93"/>
        <v>0</v>
      </c>
      <c r="BT48" s="93">
        <f t="shared" si="93"/>
        <v>0</v>
      </c>
      <c r="BU48" s="93">
        <f t="shared" si="93"/>
        <v>0</v>
      </c>
      <c r="BV48" s="93">
        <f t="shared" ref="BV48:DD48" si="94">SUM(BV46:BV47)</f>
        <v>0</v>
      </c>
      <c r="BW48" s="93">
        <f t="shared" si="94"/>
        <v>0</v>
      </c>
      <c r="BX48" s="93">
        <f t="shared" si="94"/>
        <v>0</v>
      </c>
      <c r="BY48" s="93">
        <f t="shared" si="94"/>
        <v>0</v>
      </c>
      <c r="BZ48" s="93">
        <f t="shared" si="94"/>
        <v>0</v>
      </c>
      <c r="CA48" s="93">
        <f t="shared" si="94"/>
        <v>0</v>
      </c>
      <c r="CB48" s="93">
        <f t="shared" si="94"/>
        <v>0</v>
      </c>
      <c r="CC48" s="93">
        <f t="shared" si="94"/>
        <v>0</v>
      </c>
      <c r="CD48" s="93">
        <f t="shared" si="94"/>
        <v>0</v>
      </c>
      <c r="CE48" s="93">
        <f t="shared" si="94"/>
        <v>0</v>
      </c>
      <c r="CF48" s="93">
        <f t="shared" si="94"/>
        <v>0</v>
      </c>
      <c r="CG48" s="93">
        <f t="shared" si="94"/>
        <v>0</v>
      </c>
      <c r="CH48" s="93">
        <f t="shared" si="94"/>
        <v>0</v>
      </c>
      <c r="CI48" s="93">
        <f t="shared" si="94"/>
        <v>0</v>
      </c>
      <c r="CJ48" s="93">
        <f t="shared" si="94"/>
        <v>0</v>
      </c>
      <c r="CK48" s="93">
        <f t="shared" si="94"/>
        <v>0</v>
      </c>
      <c r="CL48" s="93">
        <f t="shared" si="94"/>
        <v>0</v>
      </c>
      <c r="CM48" s="93">
        <f t="shared" si="94"/>
        <v>0</v>
      </c>
      <c r="CN48" s="93">
        <f t="shared" si="94"/>
        <v>0</v>
      </c>
      <c r="CO48" s="93">
        <f t="shared" si="94"/>
        <v>0</v>
      </c>
      <c r="CP48" s="93">
        <f t="shared" si="94"/>
        <v>0</v>
      </c>
      <c r="CQ48" s="93">
        <f t="shared" si="94"/>
        <v>0</v>
      </c>
      <c r="CR48" s="93">
        <f t="shared" si="94"/>
        <v>0</v>
      </c>
      <c r="CS48" s="93">
        <f t="shared" si="94"/>
        <v>0</v>
      </c>
      <c r="CT48" s="93">
        <f t="shared" si="94"/>
        <v>0</v>
      </c>
      <c r="CU48" s="93">
        <f t="shared" si="94"/>
        <v>0</v>
      </c>
      <c r="CV48" s="93">
        <f t="shared" si="94"/>
        <v>0</v>
      </c>
      <c r="CW48" s="93">
        <f t="shared" si="94"/>
        <v>0</v>
      </c>
      <c r="CX48" s="93">
        <f t="shared" si="94"/>
        <v>0</v>
      </c>
      <c r="CY48" s="93">
        <f t="shared" si="94"/>
        <v>0</v>
      </c>
      <c r="CZ48" s="93">
        <f t="shared" si="94"/>
        <v>0</v>
      </c>
      <c r="DA48" s="93">
        <f t="shared" si="94"/>
        <v>0</v>
      </c>
      <c r="DB48" s="93">
        <f t="shared" si="94"/>
        <v>0</v>
      </c>
      <c r="DC48" s="93">
        <f t="shared" si="94"/>
        <v>0</v>
      </c>
      <c r="DD48" s="93">
        <f t="shared" si="94"/>
        <v>0</v>
      </c>
      <c r="DE48" s="93">
        <f>SUM(H48:DD48)</f>
        <v>4119472.7232260196</v>
      </c>
    </row>
    <row r="49" spans="2:109">
      <c r="B49" s="123" t="s">
        <v>515</v>
      </c>
      <c r="C49" s="111">
        <f>C48/C19</f>
        <v>2.6003118371341966E-2</v>
      </c>
      <c r="G49" t="s">
        <v>183</v>
      </c>
      <c r="H49" s="86">
        <f>IF(H66&gt;0,-$C$34*H48,0)</f>
        <v>0</v>
      </c>
      <c r="I49" s="86">
        <f t="shared" ref="I49:AN49" si="95">IF(I66&gt;0,-$C$34*I48,0)</f>
        <v>0</v>
      </c>
      <c r="J49" s="86">
        <f t="shared" si="95"/>
        <v>0</v>
      </c>
      <c r="K49" s="86">
        <f t="shared" si="95"/>
        <v>0</v>
      </c>
      <c r="L49" s="86">
        <f t="shared" si="95"/>
        <v>0</v>
      </c>
      <c r="M49" s="86">
        <f t="shared" si="95"/>
        <v>0</v>
      </c>
      <c r="N49" s="86">
        <f t="shared" si="95"/>
        <v>0</v>
      </c>
      <c r="O49" s="86">
        <f t="shared" si="95"/>
        <v>0</v>
      </c>
      <c r="P49" s="86">
        <f t="shared" si="95"/>
        <v>0</v>
      </c>
      <c r="Q49" s="86">
        <f t="shared" si="95"/>
        <v>0</v>
      </c>
      <c r="R49" s="86">
        <f t="shared" si="95"/>
        <v>0</v>
      </c>
      <c r="S49" s="86">
        <f t="shared" si="95"/>
        <v>0</v>
      </c>
      <c r="T49" s="86">
        <f t="shared" si="95"/>
        <v>0</v>
      </c>
      <c r="U49" s="86">
        <f t="shared" si="95"/>
        <v>0</v>
      </c>
      <c r="V49" s="86">
        <f t="shared" si="95"/>
        <v>0</v>
      </c>
      <c r="W49" s="86">
        <f t="shared" si="95"/>
        <v>0</v>
      </c>
      <c r="X49" s="86">
        <f t="shared" si="95"/>
        <v>0</v>
      </c>
      <c r="Y49" s="86">
        <f t="shared" si="95"/>
        <v>0</v>
      </c>
      <c r="Z49" s="86">
        <f t="shared" si="95"/>
        <v>0</v>
      </c>
      <c r="AA49" s="86">
        <f t="shared" si="95"/>
        <v>0</v>
      </c>
      <c r="AB49" s="86">
        <f t="shared" si="95"/>
        <v>0</v>
      </c>
      <c r="AC49" s="86">
        <f t="shared" si="95"/>
        <v>0</v>
      </c>
      <c r="AD49" s="86">
        <f t="shared" si="95"/>
        <v>0</v>
      </c>
      <c r="AE49" s="86">
        <f t="shared" si="95"/>
        <v>-18825.92544447125</v>
      </c>
      <c r="AF49" s="86">
        <f t="shared" si="95"/>
        <v>-20658.993132944066</v>
      </c>
      <c r="AG49" s="86">
        <f t="shared" si="95"/>
        <v>-22508.503515859138</v>
      </c>
      <c r="AH49" s="86">
        <f t="shared" si="95"/>
        <v>-24374.621241882007</v>
      </c>
      <c r="AI49" s="86">
        <f t="shared" si="95"/>
        <v>-26257.512658194817</v>
      </c>
      <c r="AJ49" s="86">
        <f t="shared" si="95"/>
        <v>-28157.345828148205</v>
      </c>
      <c r="AK49" s="86">
        <f t="shared" si="95"/>
        <v>-30074.290549095935</v>
      </c>
      <c r="AL49" s="86">
        <f t="shared" si="95"/>
        <v>-32008.518370416317</v>
      </c>
      <c r="AM49" s="86">
        <f t="shared" si="95"/>
        <v>-33960.202611720233</v>
      </c>
      <c r="AN49" s="86">
        <f t="shared" si="95"/>
        <v>-35929.518381249771</v>
      </c>
      <c r="AO49" s="86">
        <f t="shared" ref="AO49:BT49" si="96">IF(AO66&gt;0,-$C$34*AO48,0)</f>
        <v>-37916.642594467361</v>
      </c>
      <c r="AP49" s="86">
        <f t="shared" si="96"/>
        <v>-39921.753992839062</v>
      </c>
      <c r="AQ49" s="86">
        <f t="shared" si="96"/>
        <v>-41945.033162813481</v>
      </c>
      <c r="AR49" s="86">
        <f t="shared" si="96"/>
        <v>-43986.66255499782</v>
      </c>
      <c r="AS49" s="86">
        <f t="shared" si="96"/>
        <v>-46046.826503533899</v>
      </c>
      <c r="AT49" s="86">
        <f t="shared" si="96"/>
        <v>-48125.71124567579</v>
      </c>
      <c r="AU49" s="86">
        <f t="shared" si="96"/>
        <v>-50223.50494157146</v>
      </c>
      <c r="AV49" s="86">
        <f t="shared" si="96"/>
        <v>-52340.397694250067</v>
      </c>
      <c r="AW49" s="86">
        <f t="shared" si="96"/>
        <v>-54476.581569817543</v>
      </c>
      <c r="AX49" s="86">
        <f t="shared" si="96"/>
        <v>-56632.250617862373</v>
      </c>
      <c r="AY49" s="86">
        <f t="shared" si="96"/>
        <v>-58807.600892074057</v>
      </c>
      <c r="AZ49" s="86">
        <f t="shared" si="96"/>
        <v>-61002.83047107578</v>
      </c>
      <c r="BA49" s="86">
        <f t="shared" si="96"/>
        <v>-63218.139479474325</v>
      </c>
      <c r="BB49" s="86">
        <f t="shared" si="96"/>
        <v>-65453.730109129167</v>
      </c>
      <c r="BC49" s="86">
        <f t="shared" si="96"/>
        <v>-67709.806640642593</v>
      </c>
      <c r="BD49" s="86">
        <f t="shared" si="96"/>
        <v>-69986.57546507458</v>
      </c>
      <c r="BE49" s="86">
        <f t="shared" si="96"/>
        <v>0</v>
      </c>
      <c r="BF49" s="86">
        <f t="shared" si="96"/>
        <v>0</v>
      </c>
      <c r="BG49" s="86">
        <f t="shared" si="96"/>
        <v>0</v>
      </c>
      <c r="BH49" s="86">
        <f t="shared" si="96"/>
        <v>0</v>
      </c>
      <c r="BI49" s="86">
        <f t="shared" si="96"/>
        <v>0</v>
      </c>
      <c r="BJ49" s="86">
        <f t="shared" si="96"/>
        <v>0</v>
      </c>
      <c r="BK49" s="86">
        <f t="shared" si="96"/>
        <v>0</v>
      </c>
      <c r="BL49" s="86">
        <f t="shared" si="96"/>
        <v>0</v>
      </c>
      <c r="BM49" s="86">
        <f t="shared" si="96"/>
        <v>0</v>
      </c>
      <c r="BN49" s="86">
        <f t="shared" si="96"/>
        <v>0</v>
      </c>
      <c r="BO49" s="86">
        <f t="shared" si="96"/>
        <v>0</v>
      </c>
      <c r="BP49" s="86">
        <f t="shared" si="96"/>
        <v>0</v>
      </c>
      <c r="BQ49" s="86">
        <f t="shared" si="96"/>
        <v>0</v>
      </c>
      <c r="BR49" s="86">
        <f t="shared" si="96"/>
        <v>0</v>
      </c>
      <c r="BS49" s="86">
        <f t="shared" si="96"/>
        <v>0</v>
      </c>
      <c r="BT49" s="86">
        <f t="shared" si="96"/>
        <v>0</v>
      </c>
      <c r="BU49" s="86">
        <f t="shared" ref="BU49:CZ49" si="97">IF(BU66&gt;0,-$C$34*BU48,0)</f>
        <v>0</v>
      </c>
      <c r="BV49" s="86">
        <f t="shared" si="97"/>
        <v>0</v>
      </c>
      <c r="BW49" s="86">
        <f t="shared" si="97"/>
        <v>0</v>
      </c>
      <c r="BX49" s="86">
        <f t="shared" si="97"/>
        <v>0</v>
      </c>
      <c r="BY49" s="86">
        <f t="shared" si="97"/>
        <v>0</v>
      </c>
      <c r="BZ49" s="86">
        <f t="shared" si="97"/>
        <v>0</v>
      </c>
      <c r="CA49" s="86">
        <f t="shared" si="97"/>
        <v>0</v>
      </c>
      <c r="CB49" s="86">
        <f t="shared" si="97"/>
        <v>0</v>
      </c>
      <c r="CC49" s="86">
        <f t="shared" si="97"/>
        <v>0</v>
      </c>
      <c r="CD49" s="86">
        <f t="shared" si="97"/>
        <v>0</v>
      </c>
      <c r="CE49" s="86">
        <f t="shared" si="97"/>
        <v>0</v>
      </c>
      <c r="CF49" s="86">
        <f t="shared" si="97"/>
        <v>0</v>
      </c>
      <c r="CG49" s="86">
        <f t="shared" si="97"/>
        <v>0</v>
      </c>
      <c r="CH49" s="86">
        <f t="shared" si="97"/>
        <v>0</v>
      </c>
      <c r="CI49" s="86">
        <f t="shared" si="97"/>
        <v>0</v>
      </c>
      <c r="CJ49" s="86">
        <f t="shared" si="97"/>
        <v>0</v>
      </c>
      <c r="CK49" s="86">
        <f t="shared" si="97"/>
        <v>0</v>
      </c>
      <c r="CL49" s="86">
        <f t="shared" si="97"/>
        <v>0</v>
      </c>
      <c r="CM49" s="86">
        <f t="shared" si="97"/>
        <v>0</v>
      </c>
      <c r="CN49" s="86">
        <f t="shared" si="97"/>
        <v>0</v>
      </c>
      <c r="CO49" s="86">
        <f t="shared" si="97"/>
        <v>0</v>
      </c>
      <c r="CP49" s="86">
        <f t="shared" si="97"/>
        <v>0</v>
      </c>
      <c r="CQ49" s="86">
        <f t="shared" si="97"/>
        <v>0</v>
      </c>
      <c r="CR49" s="86">
        <f t="shared" si="97"/>
        <v>0</v>
      </c>
      <c r="CS49" s="86">
        <f t="shared" si="97"/>
        <v>0</v>
      </c>
      <c r="CT49" s="86">
        <f t="shared" si="97"/>
        <v>0</v>
      </c>
      <c r="CU49" s="86">
        <f t="shared" si="97"/>
        <v>0</v>
      </c>
      <c r="CV49" s="86">
        <f t="shared" si="97"/>
        <v>0</v>
      </c>
      <c r="CW49" s="86">
        <f t="shared" si="97"/>
        <v>0</v>
      </c>
      <c r="CX49" s="86">
        <f t="shared" si="97"/>
        <v>0</v>
      </c>
      <c r="CY49" s="86">
        <f t="shared" si="97"/>
        <v>0</v>
      </c>
      <c r="CZ49" s="86">
        <f t="shared" si="97"/>
        <v>0</v>
      </c>
      <c r="DA49" s="86">
        <f t="shared" ref="DA49:DD49" si="98">IF(DA66&gt;0,-$C$34*DA48,0)</f>
        <v>0</v>
      </c>
      <c r="DB49" s="86">
        <f t="shared" si="98"/>
        <v>0</v>
      </c>
      <c r="DC49" s="86">
        <f t="shared" si="98"/>
        <v>0</v>
      </c>
      <c r="DD49" s="86">
        <f t="shared" si="98"/>
        <v>0</v>
      </c>
      <c r="DE49" s="86">
        <f>SUM(H49:DD49)</f>
        <v>-1130549.479669281</v>
      </c>
    </row>
    <row r="50" spans="2:109">
      <c r="C50" s="127">
        <f>Carátula!J103-C49</f>
        <v>0</v>
      </c>
      <c r="G50" s="83" t="s">
        <v>237</v>
      </c>
      <c r="H50" s="93">
        <f t="shared" ref="H50:I50" si="99">SUM(H48:H49)</f>
        <v>0</v>
      </c>
      <c r="I50" s="93">
        <f t="shared" si="99"/>
        <v>-65386.790997499949</v>
      </c>
      <c r="J50" s="93">
        <f t="shared" ref="J50:BU50" si="100">SUM(J48:J49)</f>
        <v>-59795.092954086605</v>
      </c>
      <c r="K50" s="93">
        <f t="shared" si="100"/>
        <v>-54154.444442493201</v>
      </c>
      <c r="L50" s="93">
        <f t="shared" si="100"/>
        <v>-48464.358802976029</v>
      </c>
      <c r="M50" s="93">
        <f t="shared" si="100"/>
        <v>-42724.344364520686</v>
      </c>
      <c r="N50" s="93">
        <f t="shared" si="100"/>
        <v>-36933.904392787867</v>
      </c>
      <c r="O50" s="93">
        <f t="shared" si="100"/>
        <v>-31092.537037515547</v>
      </c>
      <c r="P50" s="93">
        <f t="shared" si="100"/>
        <v>-25199.735279373941</v>
      </c>
      <c r="Q50" s="93">
        <f t="shared" si="100"/>
        <v>-19254.986876267358</v>
      </c>
      <c r="R50" s="93">
        <f t="shared" si="100"/>
        <v>-13257.774309077417</v>
      </c>
      <c r="S50" s="93">
        <f t="shared" si="100"/>
        <v>-7207.5747268412379</v>
      </c>
      <c r="T50" s="93">
        <f t="shared" si="100"/>
        <v>-1103.8598913585884</v>
      </c>
      <c r="U50" s="93">
        <f t="shared" si="100"/>
        <v>5053.903878778161</v>
      </c>
      <c r="V50" s="93">
        <f t="shared" si="100"/>
        <v>11266.255764733942</v>
      </c>
      <c r="W50" s="93">
        <f t="shared" si="100"/>
        <v>17533.740504573216</v>
      </c>
      <c r="X50" s="93">
        <f t="shared" si="100"/>
        <v>23856.908450995281</v>
      </c>
      <c r="Y50" s="93">
        <f t="shared" si="100"/>
        <v>30236.315629669785</v>
      </c>
      <c r="Z50" s="93">
        <f t="shared" si="100"/>
        <v>36672.523798181355</v>
      </c>
      <c r="AA50" s="93">
        <f t="shared" si="100"/>
        <v>43166.100505587179</v>
      </c>
      <c r="AB50" s="93">
        <f t="shared" si="100"/>
        <v>49717.619152593164</v>
      </c>
      <c r="AC50" s="93">
        <f t="shared" si="100"/>
        <v>56327.659052359028</v>
      </c>
      <c r="AD50" s="93">
        <f t="shared" si="100"/>
        <v>62996.805491935083</v>
      </c>
      <c r="AE50" s="93">
        <f t="shared" si="100"/>
        <v>50899.724349866701</v>
      </c>
      <c r="AF50" s="93">
        <f t="shared" si="100"/>
        <v>55855.796248330247</v>
      </c>
      <c r="AG50" s="93">
        <f t="shared" si="100"/>
        <v>60856.324320656189</v>
      </c>
      <c r="AH50" s="93">
        <f t="shared" si="100"/>
        <v>65901.75372805135</v>
      </c>
      <c r="AI50" s="93">
        <f t="shared" si="100"/>
        <v>70992.53422400821</v>
      </c>
      <c r="AJ50" s="93">
        <f t="shared" si="100"/>
        <v>76129.120202030332</v>
      </c>
      <c r="AK50" s="93">
        <f t="shared" si="100"/>
        <v>81311.970743851954</v>
      </c>
      <c r="AL50" s="93">
        <f t="shared" si="100"/>
        <v>86541.549668162625</v>
      </c>
      <c r="AM50" s="93">
        <f t="shared" si="100"/>
        <v>91818.325579836164</v>
      </c>
      <c r="AN50" s="93">
        <f t="shared" si="100"/>
        <v>97142.771919675288</v>
      </c>
      <c r="AO50" s="93">
        <f t="shared" si="100"/>
        <v>102515.36701467101</v>
      </c>
      <c r="AP50" s="93">
        <f t="shared" si="100"/>
        <v>107936.5941287871</v>
      </c>
      <c r="AQ50" s="93">
        <f t="shared" si="100"/>
        <v>113406.94151427347</v>
      </c>
      <c r="AR50" s="93">
        <f t="shared" si="100"/>
        <v>118926.90246351263</v>
      </c>
      <c r="AS50" s="93">
        <f t="shared" si="100"/>
        <v>124496.97536140645</v>
      </c>
      <c r="AT50" s="93">
        <f t="shared" si="100"/>
        <v>130117.66373830861</v>
      </c>
      <c r="AU50" s="93">
        <f t="shared" si="100"/>
        <v>135789.47632350802</v>
      </c>
      <c r="AV50" s="93">
        <f t="shared" si="100"/>
        <v>141512.92709926868</v>
      </c>
      <c r="AW50" s="93">
        <f t="shared" si="100"/>
        <v>147288.5353554326</v>
      </c>
      <c r="AX50" s="93">
        <f t="shared" si="100"/>
        <v>153116.82574459084</v>
      </c>
      <c r="AY50" s="93">
        <f t="shared" si="100"/>
        <v>158998.32833782985</v>
      </c>
      <c r="AZ50" s="93">
        <f t="shared" si="100"/>
        <v>164933.57868105674</v>
      </c>
      <c r="BA50" s="93">
        <f t="shared" si="100"/>
        <v>170923.11785191204</v>
      </c>
      <c r="BB50" s="93">
        <f t="shared" si="100"/>
        <v>176967.49251727515</v>
      </c>
      <c r="BC50" s="93">
        <f t="shared" si="100"/>
        <v>183067.25499136699</v>
      </c>
      <c r="BD50" s="93">
        <f t="shared" si="100"/>
        <v>189222.9632944609</v>
      </c>
      <c r="BE50" s="93">
        <f t="shared" si="100"/>
        <v>0</v>
      </c>
      <c r="BF50" s="93">
        <f t="shared" si="100"/>
        <v>0</v>
      </c>
      <c r="BG50" s="93">
        <f t="shared" si="100"/>
        <v>0</v>
      </c>
      <c r="BH50" s="93">
        <f t="shared" si="100"/>
        <v>0</v>
      </c>
      <c r="BI50" s="93">
        <f t="shared" si="100"/>
        <v>0</v>
      </c>
      <c r="BJ50" s="93">
        <f t="shared" si="100"/>
        <v>0</v>
      </c>
      <c r="BK50" s="93">
        <f t="shared" si="100"/>
        <v>0</v>
      </c>
      <c r="BL50" s="93">
        <f t="shared" si="100"/>
        <v>0</v>
      </c>
      <c r="BM50" s="93">
        <f t="shared" si="100"/>
        <v>0</v>
      </c>
      <c r="BN50" s="93">
        <f t="shared" si="100"/>
        <v>0</v>
      </c>
      <c r="BO50" s="93">
        <f t="shared" si="100"/>
        <v>0</v>
      </c>
      <c r="BP50" s="93">
        <f t="shared" si="100"/>
        <v>0</v>
      </c>
      <c r="BQ50" s="93">
        <f t="shared" si="100"/>
        <v>0</v>
      </c>
      <c r="BR50" s="93">
        <f t="shared" si="100"/>
        <v>0</v>
      </c>
      <c r="BS50" s="93">
        <f t="shared" si="100"/>
        <v>0</v>
      </c>
      <c r="BT50" s="93">
        <f t="shared" si="100"/>
        <v>0</v>
      </c>
      <c r="BU50" s="93">
        <f t="shared" si="100"/>
        <v>0</v>
      </c>
      <c r="BV50" s="93">
        <f t="shared" ref="BV50:DD50" si="101">SUM(BV48:BV49)</f>
        <v>0</v>
      </c>
      <c r="BW50" s="93">
        <f t="shared" si="101"/>
        <v>0</v>
      </c>
      <c r="BX50" s="93">
        <f t="shared" si="101"/>
        <v>0</v>
      </c>
      <c r="BY50" s="93">
        <f t="shared" si="101"/>
        <v>0</v>
      </c>
      <c r="BZ50" s="93">
        <f t="shared" si="101"/>
        <v>0</v>
      </c>
      <c r="CA50" s="93">
        <f t="shared" si="101"/>
        <v>0</v>
      </c>
      <c r="CB50" s="93">
        <f t="shared" si="101"/>
        <v>0</v>
      </c>
      <c r="CC50" s="93">
        <f t="shared" si="101"/>
        <v>0</v>
      </c>
      <c r="CD50" s="93">
        <f t="shared" si="101"/>
        <v>0</v>
      </c>
      <c r="CE50" s="93">
        <f t="shared" si="101"/>
        <v>0</v>
      </c>
      <c r="CF50" s="93">
        <f t="shared" si="101"/>
        <v>0</v>
      </c>
      <c r="CG50" s="93">
        <f t="shared" si="101"/>
        <v>0</v>
      </c>
      <c r="CH50" s="93">
        <f t="shared" si="101"/>
        <v>0</v>
      </c>
      <c r="CI50" s="93">
        <f t="shared" si="101"/>
        <v>0</v>
      </c>
      <c r="CJ50" s="93">
        <f t="shared" si="101"/>
        <v>0</v>
      </c>
      <c r="CK50" s="93">
        <f t="shared" si="101"/>
        <v>0</v>
      </c>
      <c r="CL50" s="93">
        <f t="shared" si="101"/>
        <v>0</v>
      </c>
      <c r="CM50" s="93">
        <f t="shared" si="101"/>
        <v>0</v>
      </c>
      <c r="CN50" s="93">
        <f t="shared" si="101"/>
        <v>0</v>
      </c>
      <c r="CO50" s="93">
        <f t="shared" si="101"/>
        <v>0</v>
      </c>
      <c r="CP50" s="93">
        <f t="shared" si="101"/>
        <v>0</v>
      </c>
      <c r="CQ50" s="93">
        <f t="shared" si="101"/>
        <v>0</v>
      </c>
      <c r="CR50" s="93">
        <f t="shared" si="101"/>
        <v>0</v>
      </c>
      <c r="CS50" s="93">
        <f t="shared" si="101"/>
        <v>0</v>
      </c>
      <c r="CT50" s="93">
        <f t="shared" si="101"/>
        <v>0</v>
      </c>
      <c r="CU50" s="93">
        <f t="shared" si="101"/>
        <v>0</v>
      </c>
      <c r="CV50" s="93">
        <f t="shared" si="101"/>
        <v>0</v>
      </c>
      <c r="CW50" s="93">
        <f t="shared" si="101"/>
        <v>0</v>
      </c>
      <c r="CX50" s="93">
        <f t="shared" si="101"/>
        <v>0</v>
      </c>
      <c r="CY50" s="93">
        <f t="shared" si="101"/>
        <v>0</v>
      </c>
      <c r="CZ50" s="93">
        <f t="shared" si="101"/>
        <v>0</v>
      </c>
      <c r="DA50" s="93">
        <f t="shared" si="101"/>
        <v>0</v>
      </c>
      <c r="DB50" s="93">
        <f t="shared" si="101"/>
        <v>0</v>
      </c>
      <c r="DC50" s="93">
        <f t="shared" si="101"/>
        <v>0</v>
      </c>
      <c r="DD50" s="93">
        <f t="shared" si="101"/>
        <v>0</v>
      </c>
      <c r="DE50" s="93">
        <f>SUM(H50:DD50)</f>
        <v>2988923.2435567384</v>
      </c>
    </row>
    <row r="51" spans="2:109">
      <c r="E51" s="91"/>
      <c r="G51" t="s">
        <v>493</v>
      </c>
      <c r="H51" s="86"/>
      <c r="I51" s="86">
        <f t="shared" ref="I51:AN51" si="102">I17</f>
        <v>261800.25</v>
      </c>
      <c r="J51" s="86">
        <f t="shared" si="102"/>
        <v>261800.25</v>
      </c>
      <c r="K51" s="86">
        <f t="shared" si="102"/>
        <v>261800.25</v>
      </c>
      <c r="L51" s="86">
        <f t="shared" si="102"/>
        <v>261800.25</v>
      </c>
      <c r="M51" s="86">
        <f t="shared" si="102"/>
        <v>261800.25</v>
      </c>
      <c r="N51" s="86">
        <f t="shared" si="102"/>
        <v>261800.25</v>
      </c>
      <c r="O51" s="86">
        <f t="shared" si="102"/>
        <v>261800.25</v>
      </c>
      <c r="P51" s="86">
        <f t="shared" si="102"/>
        <v>261800.25</v>
      </c>
      <c r="Q51" s="86">
        <f t="shared" si="102"/>
        <v>261800.25</v>
      </c>
      <c r="R51" s="86">
        <f t="shared" si="102"/>
        <v>261800.25</v>
      </c>
      <c r="S51" s="86">
        <f t="shared" si="102"/>
        <v>261800.25</v>
      </c>
      <c r="T51" s="86">
        <f t="shared" si="102"/>
        <v>261800.25</v>
      </c>
      <c r="U51" s="86">
        <f t="shared" si="102"/>
        <v>261800.25</v>
      </c>
      <c r="V51" s="86">
        <f t="shared" si="102"/>
        <v>261800.25</v>
      </c>
      <c r="W51" s="86">
        <f t="shared" si="102"/>
        <v>261800.25</v>
      </c>
      <c r="X51" s="86">
        <f t="shared" si="102"/>
        <v>261800.25</v>
      </c>
      <c r="Y51" s="86">
        <f t="shared" si="102"/>
        <v>261800.25</v>
      </c>
      <c r="Z51" s="86">
        <f t="shared" si="102"/>
        <v>261800.25</v>
      </c>
      <c r="AA51" s="86">
        <f t="shared" si="102"/>
        <v>261800.25</v>
      </c>
      <c r="AB51" s="86">
        <f t="shared" si="102"/>
        <v>261800.25</v>
      </c>
      <c r="AC51" s="86">
        <f t="shared" si="102"/>
        <v>261800.25</v>
      </c>
      <c r="AD51" s="86">
        <f t="shared" si="102"/>
        <v>261800.25</v>
      </c>
      <c r="AE51" s="86">
        <f t="shared" si="102"/>
        <v>261800.25</v>
      </c>
      <c r="AF51" s="86">
        <f t="shared" si="102"/>
        <v>261800.25</v>
      </c>
      <c r="AG51" s="86">
        <f t="shared" si="102"/>
        <v>261800.25</v>
      </c>
      <c r="AH51" s="86">
        <f t="shared" si="102"/>
        <v>261800.25</v>
      </c>
      <c r="AI51" s="86">
        <f t="shared" si="102"/>
        <v>261800.25</v>
      </c>
      <c r="AJ51" s="86">
        <f t="shared" si="102"/>
        <v>261800.25</v>
      </c>
      <c r="AK51" s="86">
        <f t="shared" si="102"/>
        <v>261800.25</v>
      </c>
      <c r="AL51" s="86">
        <f t="shared" si="102"/>
        <v>261800.25</v>
      </c>
      <c r="AM51" s="86">
        <f t="shared" si="102"/>
        <v>261800.25</v>
      </c>
      <c r="AN51" s="86">
        <f t="shared" si="102"/>
        <v>261800.25</v>
      </c>
      <c r="AO51" s="86">
        <f t="shared" ref="AO51:BT51" si="103">AO17</f>
        <v>261800.25</v>
      </c>
      <c r="AP51" s="86">
        <f t="shared" si="103"/>
        <v>261800.25</v>
      </c>
      <c r="AQ51" s="86">
        <f t="shared" si="103"/>
        <v>261800.25</v>
      </c>
      <c r="AR51" s="86">
        <f t="shared" si="103"/>
        <v>261800.25</v>
      </c>
      <c r="AS51" s="86">
        <f t="shared" si="103"/>
        <v>261800.25</v>
      </c>
      <c r="AT51" s="86">
        <f t="shared" si="103"/>
        <v>261800.25</v>
      </c>
      <c r="AU51" s="86">
        <f t="shared" si="103"/>
        <v>261800.25</v>
      </c>
      <c r="AV51" s="86">
        <f t="shared" si="103"/>
        <v>261800.25</v>
      </c>
      <c r="AW51" s="86">
        <f t="shared" si="103"/>
        <v>261800.25</v>
      </c>
      <c r="AX51" s="86">
        <f t="shared" si="103"/>
        <v>261800.25</v>
      </c>
      <c r="AY51" s="86">
        <f t="shared" si="103"/>
        <v>261800.25</v>
      </c>
      <c r="AZ51" s="86">
        <f t="shared" si="103"/>
        <v>261800.25</v>
      </c>
      <c r="BA51" s="86">
        <f t="shared" si="103"/>
        <v>261800.25</v>
      </c>
      <c r="BB51" s="86">
        <f t="shared" si="103"/>
        <v>261800.25</v>
      </c>
      <c r="BC51" s="86">
        <f t="shared" si="103"/>
        <v>261800.25</v>
      </c>
      <c r="BD51" s="86">
        <f t="shared" si="103"/>
        <v>261800.25</v>
      </c>
      <c r="BE51" s="86">
        <f t="shared" si="103"/>
        <v>0</v>
      </c>
      <c r="BF51" s="86">
        <f t="shared" si="103"/>
        <v>0</v>
      </c>
      <c r="BG51" s="86">
        <f t="shared" si="103"/>
        <v>0</v>
      </c>
      <c r="BH51" s="86">
        <f t="shared" si="103"/>
        <v>0</v>
      </c>
      <c r="BI51" s="86">
        <f t="shared" si="103"/>
        <v>0</v>
      </c>
      <c r="BJ51" s="86">
        <f t="shared" si="103"/>
        <v>0</v>
      </c>
      <c r="BK51" s="86">
        <f t="shared" si="103"/>
        <v>0</v>
      </c>
      <c r="BL51" s="86">
        <f t="shared" si="103"/>
        <v>0</v>
      </c>
      <c r="BM51" s="86">
        <f t="shared" si="103"/>
        <v>0</v>
      </c>
      <c r="BN51" s="86">
        <f t="shared" si="103"/>
        <v>0</v>
      </c>
      <c r="BO51" s="86">
        <f t="shared" si="103"/>
        <v>0</v>
      </c>
      <c r="BP51" s="86">
        <f t="shared" si="103"/>
        <v>0</v>
      </c>
      <c r="BQ51" s="86">
        <f t="shared" si="103"/>
        <v>0</v>
      </c>
      <c r="BR51" s="86">
        <f t="shared" si="103"/>
        <v>0</v>
      </c>
      <c r="BS51" s="86">
        <f t="shared" si="103"/>
        <v>0</v>
      </c>
      <c r="BT51" s="86">
        <f t="shared" si="103"/>
        <v>0</v>
      </c>
      <c r="BU51" s="86">
        <f t="shared" ref="BU51:DD51" si="104">BU17</f>
        <v>0</v>
      </c>
      <c r="BV51" s="86">
        <f t="shared" si="104"/>
        <v>0</v>
      </c>
      <c r="BW51" s="86">
        <f t="shared" si="104"/>
        <v>0</v>
      </c>
      <c r="BX51" s="86">
        <f t="shared" si="104"/>
        <v>0</v>
      </c>
      <c r="BY51" s="86">
        <f t="shared" si="104"/>
        <v>0</v>
      </c>
      <c r="BZ51" s="86">
        <f t="shared" si="104"/>
        <v>0</v>
      </c>
      <c r="CA51" s="86">
        <f t="shared" si="104"/>
        <v>0</v>
      </c>
      <c r="CB51" s="86">
        <f t="shared" si="104"/>
        <v>0</v>
      </c>
      <c r="CC51" s="86">
        <f t="shared" si="104"/>
        <v>0</v>
      </c>
      <c r="CD51" s="86">
        <f t="shared" si="104"/>
        <v>0</v>
      </c>
      <c r="CE51" s="86">
        <f t="shared" si="104"/>
        <v>0</v>
      </c>
      <c r="CF51" s="86">
        <f t="shared" si="104"/>
        <v>0</v>
      </c>
      <c r="CG51" s="86">
        <f t="shared" si="104"/>
        <v>0</v>
      </c>
      <c r="CH51" s="86">
        <f t="shared" si="104"/>
        <v>0</v>
      </c>
      <c r="CI51" s="86">
        <f t="shared" si="104"/>
        <v>0</v>
      </c>
      <c r="CJ51" s="86">
        <f t="shared" si="104"/>
        <v>0</v>
      </c>
      <c r="CK51" s="86">
        <f t="shared" si="104"/>
        <v>0</v>
      </c>
      <c r="CL51" s="86">
        <f t="shared" si="104"/>
        <v>0</v>
      </c>
      <c r="CM51" s="86">
        <f t="shared" si="104"/>
        <v>0</v>
      </c>
      <c r="CN51" s="86">
        <f t="shared" si="104"/>
        <v>0</v>
      </c>
      <c r="CO51" s="86">
        <f t="shared" si="104"/>
        <v>0</v>
      </c>
      <c r="CP51" s="86">
        <f t="shared" si="104"/>
        <v>0</v>
      </c>
      <c r="CQ51" s="86">
        <f t="shared" si="104"/>
        <v>0</v>
      </c>
      <c r="CR51" s="86">
        <f t="shared" si="104"/>
        <v>0</v>
      </c>
      <c r="CS51" s="86">
        <f t="shared" si="104"/>
        <v>0</v>
      </c>
      <c r="CT51" s="86">
        <f t="shared" si="104"/>
        <v>0</v>
      </c>
      <c r="CU51" s="86">
        <f t="shared" si="104"/>
        <v>0</v>
      </c>
      <c r="CV51" s="86">
        <f t="shared" si="104"/>
        <v>0</v>
      </c>
      <c r="CW51" s="86">
        <f t="shared" si="104"/>
        <v>0</v>
      </c>
      <c r="CX51" s="86">
        <f t="shared" si="104"/>
        <v>0</v>
      </c>
      <c r="CY51" s="86">
        <f t="shared" si="104"/>
        <v>0</v>
      </c>
      <c r="CZ51" s="86">
        <f t="shared" si="104"/>
        <v>0</v>
      </c>
      <c r="DA51" s="86">
        <f t="shared" si="104"/>
        <v>0</v>
      </c>
      <c r="DB51" s="86">
        <f t="shared" si="104"/>
        <v>0</v>
      </c>
      <c r="DC51" s="86">
        <f t="shared" si="104"/>
        <v>0</v>
      </c>
      <c r="DD51" s="86">
        <f t="shared" si="104"/>
        <v>0</v>
      </c>
      <c r="DE51" s="86">
        <f t="shared" si="88"/>
        <v>12566412</v>
      </c>
    </row>
    <row r="52" spans="2:109">
      <c r="E52" s="91"/>
      <c r="G52" t="s">
        <v>494</v>
      </c>
      <c r="H52" s="86">
        <f>$H$20*(1-$C$35)</f>
        <v>0</v>
      </c>
      <c r="I52" s="86">
        <f>I20</f>
        <v>0</v>
      </c>
      <c r="J52" s="86">
        <f t="shared" ref="J52:BU52" si="105">J20</f>
        <v>0</v>
      </c>
      <c r="K52" s="86">
        <f t="shared" si="105"/>
        <v>0</v>
      </c>
      <c r="L52" s="86">
        <f t="shared" si="105"/>
        <v>0</v>
      </c>
      <c r="M52" s="86">
        <f t="shared" si="105"/>
        <v>0</v>
      </c>
      <c r="N52" s="86">
        <f t="shared" si="105"/>
        <v>0</v>
      </c>
      <c r="O52" s="86">
        <f t="shared" si="105"/>
        <v>0</v>
      </c>
      <c r="P52" s="86">
        <f t="shared" si="105"/>
        <v>0</v>
      </c>
      <c r="Q52" s="86">
        <f t="shared" si="105"/>
        <v>0</v>
      </c>
      <c r="R52" s="86">
        <f t="shared" si="105"/>
        <v>0</v>
      </c>
      <c r="S52" s="86">
        <f t="shared" si="105"/>
        <v>0</v>
      </c>
      <c r="T52" s="86">
        <f t="shared" si="105"/>
        <v>0</v>
      </c>
      <c r="U52" s="86">
        <f t="shared" si="105"/>
        <v>0</v>
      </c>
      <c r="V52" s="86">
        <f t="shared" si="105"/>
        <v>0</v>
      </c>
      <c r="W52" s="86">
        <f t="shared" si="105"/>
        <v>0</v>
      </c>
      <c r="X52" s="86">
        <f t="shared" si="105"/>
        <v>0</v>
      </c>
      <c r="Y52" s="86">
        <f t="shared" si="105"/>
        <v>0</v>
      </c>
      <c r="Z52" s="86">
        <f t="shared" si="105"/>
        <v>0</v>
      </c>
      <c r="AA52" s="86">
        <f t="shared" si="105"/>
        <v>0</v>
      </c>
      <c r="AB52" s="86">
        <f t="shared" si="105"/>
        <v>0</v>
      </c>
      <c r="AC52" s="86">
        <f t="shared" si="105"/>
        <v>0</v>
      </c>
      <c r="AD52" s="86">
        <f t="shared" si="105"/>
        <v>0</v>
      </c>
      <c r="AE52" s="86">
        <f t="shared" si="105"/>
        <v>0</v>
      </c>
      <c r="AF52" s="86">
        <f t="shared" si="105"/>
        <v>0</v>
      </c>
      <c r="AG52" s="86">
        <f t="shared" si="105"/>
        <v>0</v>
      </c>
      <c r="AH52" s="86">
        <f t="shared" si="105"/>
        <v>0</v>
      </c>
      <c r="AI52" s="86">
        <f t="shared" si="105"/>
        <v>0</v>
      </c>
      <c r="AJ52" s="86">
        <f t="shared" si="105"/>
        <v>0</v>
      </c>
      <c r="AK52" s="86">
        <f t="shared" si="105"/>
        <v>0</v>
      </c>
      <c r="AL52" s="86">
        <f t="shared" si="105"/>
        <v>0</v>
      </c>
      <c r="AM52" s="86">
        <f t="shared" si="105"/>
        <v>0</v>
      </c>
      <c r="AN52" s="86">
        <f t="shared" si="105"/>
        <v>0</v>
      </c>
      <c r="AO52" s="86">
        <f t="shared" si="105"/>
        <v>0</v>
      </c>
      <c r="AP52" s="86">
        <f t="shared" si="105"/>
        <v>0</v>
      </c>
      <c r="AQ52" s="86">
        <f t="shared" si="105"/>
        <v>0</v>
      </c>
      <c r="AR52" s="86">
        <f t="shared" si="105"/>
        <v>0</v>
      </c>
      <c r="AS52" s="86">
        <f t="shared" si="105"/>
        <v>0</v>
      </c>
      <c r="AT52" s="86">
        <f t="shared" si="105"/>
        <v>0</v>
      </c>
      <c r="AU52" s="86">
        <f t="shared" si="105"/>
        <v>0</v>
      </c>
      <c r="AV52" s="86">
        <f t="shared" si="105"/>
        <v>0</v>
      </c>
      <c r="AW52" s="86">
        <f t="shared" si="105"/>
        <v>0</v>
      </c>
      <c r="AX52" s="86">
        <f t="shared" si="105"/>
        <v>0</v>
      </c>
      <c r="AY52" s="86">
        <f t="shared" si="105"/>
        <v>0</v>
      </c>
      <c r="AZ52" s="86">
        <f t="shared" si="105"/>
        <v>0</v>
      </c>
      <c r="BA52" s="86">
        <f t="shared" si="105"/>
        <v>0</v>
      </c>
      <c r="BB52" s="86">
        <f t="shared" si="105"/>
        <v>0</v>
      </c>
      <c r="BC52" s="86">
        <f t="shared" si="105"/>
        <v>0</v>
      </c>
      <c r="BD52" s="86">
        <f t="shared" si="105"/>
        <v>0</v>
      </c>
      <c r="BE52" s="86">
        <f t="shared" si="105"/>
        <v>13613613</v>
      </c>
      <c r="BF52" s="86">
        <f t="shared" si="105"/>
        <v>0</v>
      </c>
      <c r="BG52" s="86">
        <f t="shared" si="105"/>
        <v>0</v>
      </c>
      <c r="BH52" s="86">
        <f t="shared" si="105"/>
        <v>0</v>
      </c>
      <c r="BI52" s="86">
        <f t="shared" si="105"/>
        <v>0</v>
      </c>
      <c r="BJ52" s="86">
        <f t="shared" si="105"/>
        <v>0</v>
      </c>
      <c r="BK52" s="86">
        <f t="shared" si="105"/>
        <v>0</v>
      </c>
      <c r="BL52" s="86">
        <f t="shared" si="105"/>
        <v>0</v>
      </c>
      <c r="BM52" s="86">
        <f t="shared" si="105"/>
        <v>0</v>
      </c>
      <c r="BN52" s="86">
        <f t="shared" si="105"/>
        <v>0</v>
      </c>
      <c r="BO52" s="86">
        <f t="shared" si="105"/>
        <v>0</v>
      </c>
      <c r="BP52" s="86">
        <f t="shared" si="105"/>
        <v>0</v>
      </c>
      <c r="BQ52" s="86">
        <f t="shared" si="105"/>
        <v>0</v>
      </c>
      <c r="BR52" s="86">
        <f t="shared" si="105"/>
        <v>0</v>
      </c>
      <c r="BS52" s="86">
        <f t="shared" si="105"/>
        <v>0</v>
      </c>
      <c r="BT52" s="86">
        <f t="shared" si="105"/>
        <v>0</v>
      </c>
      <c r="BU52" s="86">
        <f t="shared" si="105"/>
        <v>0</v>
      </c>
      <c r="BV52" s="86">
        <f t="shared" ref="BV52:DD52" si="106">BV20</f>
        <v>0</v>
      </c>
      <c r="BW52" s="86">
        <f t="shared" si="106"/>
        <v>0</v>
      </c>
      <c r="BX52" s="86">
        <f t="shared" si="106"/>
        <v>0</v>
      </c>
      <c r="BY52" s="86">
        <f t="shared" si="106"/>
        <v>0</v>
      </c>
      <c r="BZ52" s="86">
        <f t="shared" si="106"/>
        <v>0</v>
      </c>
      <c r="CA52" s="86">
        <f t="shared" si="106"/>
        <v>0</v>
      </c>
      <c r="CB52" s="86">
        <f t="shared" si="106"/>
        <v>0</v>
      </c>
      <c r="CC52" s="86">
        <f t="shared" si="106"/>
        <v>0</v>
      </c>
      <c r="CD52" s="86">
        <f t="shared" si="106"/>
        <v>0</v>
      </c>
      <c r="CE52" s="86">
        <f t="shared" si="106"/>
        <v>0</v>
      </c>
      <c r="CF52" s="86">
        <f t="shared" si="106"/>
        <v>0</v>
      </c>
      <c r="CG52" s="86">
        <f t="shared" si="106"/>
        <v>0</v>
      </c>
      <c r="CH52" s="86">
        <f t="shared" si="106"/>
        <v>0</v>
      </c>
      <c r="CI52" s="86">
        <f t="shared" si="106"/>
        <v>0</v>
      </c>
      <c r="CJ52" s="86">
        <f t="shared" si="106"/>
        <v>0</v>
      </c>
      <c r="CK52" s="86">
        <f t="shared" si="106"/>
        <v>0</v>
      </c>
      <c r="CL52" s="86">
        <f t="shared" si="106"/>
        <v>0</v>
      </c>
      <c r="CM52" s="86">
        <f t="shared" si="106"/>
        <v>0</v>
      </c>
      <c r="CN52" s="86">
        <f t="shared" si="106"/>
        <v>0</v>
      </c>
      <c r="CO52" s="86">
        <f t="shared" si="106"/>
        <v>0</v>
      </c>
      <c r="CP52" s="86">
        <f t="shared" si="106"/>
        <v>0</v>
      </c>
      <c r="CQ52" s="86">
        <f t="shared" si="106"/>
        <v>0</v>
      </c>
      <c r="CR52" s="86">
        <f t="shared" si="106"/>
        <v>0</v>
      </c>
      <c r="CS52" s="86">
        <f t="shared" si="106"/>
        <v>0</v>
      </c>
      <c r="CT52" s="86">
        <f t="shared" si="106"/>
        <v>0</v>
      </c>
      <c r="CU52" s="86">
        <f t="shared" si="106"/>
        <v>0</v>
      </c>
      <c r="CV52" s="86">
        <f t="shared" si="106"/>
        <v>0</v>
      </c>
      <c r="CW52" s="86">
        <f t="shared" si="106"/>
        <v>0</v>
      </c>
      <c r="CX52" s="86">
        <f t="shared" si="106"/>
        <v>0</v>
      </c>
      <c r="CY52" s="86">
        <f t="shared" si="106"/>
        <v>0</v>
      </c>
      <c r="CZ52" s="86">
        <f t="shared" si="106"/>
        <v>0</v>
      </c>
      <c r="DA52" s="86">
        <f t="shared" si="106"/>
        <v>0</v>
      </c>
      <c r="DB52" s="86">
        <f t="shared" si="106"/>
        <v>0</v>
      </c>
      <c r="DC52" s="86">
        <f t="shared" si="106"/>
        <v>0</v>
      </c>
      <c r="DD52" s="86">
        <f t="shared" si="106"/>
        <v>0</v>
      </c>
      <c r="DE52" s="86">
        <f t="shared" si="88"/>
        <v>13613613</v>
      </c>
    </row>
    <row r="53" spans="2:109" ht="15" thickBot="1">
      <c r="B53" s="87" t="s">
        <v>473</v>
      </c>
      <c r="C53" s="146"/>
      <c r="G53" t="s">
        <v>362</v>
      </c>
      <c r="H53" s="86"/>
      <c r="I53" s="86">
        <f t="shared" ref="I53:AN53" si="107">IF(I$2&lt;=$C$5,1,0)*(IFERROR(PPMT(($C$36/12),I$2,$C$5,($C$19*$C$35)),0))</f>
        <v>-424072.09450709424</v>
      </c>
      <c r="J53" s="86">
        <f t="shared" si="107"/>
        <v>-428489.51215820975</v>
      </c>
      <c r="K53" s="86">
        <f t="shared" si="107"/>
        <v>-432952.94457652443</v>
      </c>
      <c r="L53" s="86">
        <f t="shared" si="107"/>
        <v>-437462.87108252989</v>
      </c>
      <c r="M53" s="86">
        <f t="shared" si="107"/>
        <v>-442019.77598963957</v>
      </c>
      <c r="N53" s="86">
        <f t="shared" si="107"/>
        <v>-446624.14865619829</v>
      </c>
      <c r="O53" s="86">
        <f t="shared" si="107"/>
        <v>-451276.48353803373</v>
      </c>
      <c r="P53" s="86">
        <f t="shared" si="107"/>
        <v>-455977.28024155484</v>
      </c>
      <c r="Q53" s="86">
        <f t="shared" si="107"/>
        <v>-460727.04357740446</v>
      </c>
      <c r="R53" s="86">
        <f t="shared" si="107"/>
        <v>-465526.28361466905</v>
      </c>
      <c r="S53" s="86">
        <f t="shared" si="107"/>
        <v>-470375.51573565515</v>
      </c>
      <c r="T53" s="86">
        <f t="shared" si="107"/>
        <v>-475275.26069123496</v>
      </c>
      <c r="U53" s="86">
        <f t="shared" si="107"/>
        <v>-480226.04465676867</v>
      </c>
      <c r="V53" s="86">
        <f t="shared" si="107"/>
        <v>-485228.39928860997</v>
      </c>
      <c r="W53" s="86">
        <f t="shared" si="107"/>
        <v>-490282.8617811997</v>
      </c>
      <c r="X53" s="86">
        <f t="shared" si="107"/>
        <v>-495389.97492475377</v>
      </c>
      <c r="Y53" s="86">
        <f t="shared" si="107"/>
        <v>-500550.28716355335</v>
      </c>
      <c r="Z53" s="86">
        <f t="shared" si="107"/>
        <v>-505764.35265484039</v>
      </c>
      <c r="AA53" s="86">
        <f t="shared" si="107"/>
        <v>-511032.73132832826</v>
      </c>
      <c r="AB53" s="86">
        <f t="shared" si="107"/>
        <v>-516355.98894633172</v>
      </c>
      <c r="AC53" s="86">
        <f t="shared" si="107"/>
        <v>-521734.69716452272</v>
      </c>
      <c r="AD53" s="86">
        <f t="shared" si="107"/>
        <v>-527169.43359331973</v>
      </c>
      <c r="AE53" s="86">
        <f t="shared" si="107"/>
        <v>-532660.78185991687</v>
      </c>
      <c r="AF53" s="86">
        <f t="shared" si="107"/>
        <v>-538209.33167095762</v>
      </c>
      <c r="AG53" s="86">
        <f t="shared" si="107"/>
        <v>-543815.67887586344</v>
      </c>
      <c r="AH53" s="86">
        <f t="shared" si="107"/>
        <v>-549480.42553082027</v>
      </c>
      <c r="AI53" s="86">
        <f t="shared" si="107"/>
        <v>-555204.17996343307</v>
      </c>
      <c r="AJ53" s="86">
        <f t="shared" si="107"/>
        <v>-560987.55683805211</v>
      </c>
      <c r="AK53" s="86">
        <f t="shared" si="107"/>
        <v>-566831.17722178181</v>
      </c>
      <c r="AL53" s="86">
        <f t="shared" si="107"/>
        <v>-572735.66865117545</v>
      </c>
      <c r="AM53" s="86">
        <f t="shared" si="107"/>
        <v>-578701.66519962519</v>
      </c>
      <c r="AN53" s="86">
        <f t="shared" si="107"/>
        <v>-584729.80754545459</v>
      </c>
      <c r="AO53" s="86">
        <f t="shared" ref="AO53:BT53" si="108">IF(AO$2&lt;=$C$5,1,0)*(IFERROR(PPMT(($C$36/12),AO$2,$C$5,($C$19*$C$35)),0))</f>
        <v>-590820.74304071977</v>
      </c>
      <c r="AP53" s="86">
        <f t="shared" si="108"/>
        <v>-596975.12578072725</v>
      </c>
      <c r="AQ53" s="86">
        <f t="shared" si="108"/>
        <v>-603193.61667427653</v>
      </c>
      <c r="AR53" s="86">
        <f t="shared" si="108"/>
        <v>-609476.88351463352</v>
      </c>
      <c r="AS53" s="86">
        <f t="shared" si="108"/>
        <v>-615825.6010512443</v>
      </c>
      <c r="AT53" s="86">
        <f t="shared" si="108"/>
        <v>-622240.45106219477</v>
      </c>
      <c r="AU53" s="86">
        <f t="shared" si="108"/>
        <v>-628722.12242742605</v>
      </c>
      <c r="AV53" s="86">
        <f t="shared" si="108"/>
        <v>-635271.31120271166</v>
      </c>
      <c r="AW53" s="86">
        <f t="shared" si="108"/>
        <v>-641888.72069440654</v>
      </c>
      <c r="AX53" s="86">
        <f t="shared" si="108"/>
        <v>-648575.06153497333</v>
      </c>
      <c r="AY53" s="86">
        <f t="shared" si="108"/>
        <v>-655331.05175929586</v>
      </c>
      <c r="AZ53" s="86">
        <f t="shared" si="108"/>
        <v>-662157.41688178852</v>
      </c>
      <c r="BA53" s="86">
        <f t="shared" si="108"/>
        <v>-669054.88997430727</v>
      </c>
      <c r="BB53" s="86">
        <f t="shared" si="108"/>
        <v>-676024.21174487297</v>
      </c>
      <c r="BC53" s="86">
        <f t="shared" si="108"/>
        <v>-683066.13061721541</v>
      </c>
      <c r="BD53" s="86">
        <f t="shared" si="108"/>
        <v>-690181.40281114471</v>
      </c>
      <c r="BE53" s="86">
        <f t="shared" si="108"/>
        <v>0</v>
      </c>
      <c r="BF53" s="86">
        <f t="shared" si="108"/>
        <v>0</v>
      </c>
      <c r="BG53" s="86">
        <f t="shared" si="108"/>
        <v>0</v>
      </c>
      <c r="BH53" s="86">
        <f t="shared" si="108"/>
        <v>0</v>
      </c>
      <c r="BI53" s="86">
        <f t="shared" si="108"/>
        <v>0</v>
      </c>
      <c r="BJ53" s="86">
        <f t="shared" si="108"/>
        <v>0</v>
      </c>
      <c r="BK53" s="86">
        <f t="shared" si="108"/>
        <v>0</v>
      </c>
      <c r="BL53" s="86">
        <f t="shared" si="108"/>
        <v>0</v>
      </c>
      <c r="BM53" s="86">
        <f t="shared" si="108"/>
        <v>0</v>
      </c>
      <c r="BN53" s="86">
        <f t="shared" si="108"/>
        <v>0</v>
      </c>
      <c r="BO53" s="86">
        <f t="shared" si="108"/>
        <v>0</v>
      </c>
      <c r="BP53" s="86">
        <f t="shared" si="108"/>
        <v>0</v>
      </c>
      <c r="BQ53" s="86">
        <f t="shared" si="108"/>
        <v>0</v>
      </c>
      <c r="BR53" s="86">
        <f t="shared" si="108"/>
        <v>0</v>
      </c>
      <c r="BS53" s="86">
        <f t="shared" si="108"/>
        <v>0</v>
      </c>
      <c r="BT53" s="86">
        <f t="shared" si="108"/>
        <v>0</v>
      </c>
      <c r="BU53" s="86">
        <f t="shared" ref="BU53:DD53" si="109">IF(BU$2&lt;=$C$5,1,0)*(IFERROR(PPMT(($C$36/12),BU$2,$C$5,($C$19*$C$35)),0))</f>
        <v>0</v>
      </c>
      <c r="BV53" s="86">
        <f t="shared" si="109"/>
        <v>0</v>
      </c>
      <c r="BW53" s="86">
        <f t="shared" si="109"/>
        <v>0</v>
      </c>
      <c r="BX53" s="86">
        <f t="shared" si="109"/>
        <v>0</v>
      </c>
      <c r="BY53" s="86">
        <f t="shared" si="109"/>
        <v>0</v>
      </c>
      <c r="BZ53" s="86">
        <f t="shared" si="109"/>
        <v>0</v>
      </c>
      <c r="CA53" s="86">
        <f t="shared" si="109"/>
        <v>0</v>
      </c>
      <c r="CB53" s="86">
        <f t="shared" si="109"/>
        <v>0</v>
      </c>
      <c r="CC53" s="86">
        <f t="shared" si="109"/>
        <v>0</v>
      </c>
      <c r="CD53" s="86">
        <f t="shared" si="109"/>
        <v>0</v>
      </c>
      <c r="CE53" s="86">
        <f t="shared" si="109"/>
        <v>0</v>
      </c>
      <c r="CF53" s="86">
        <f t="shared" si="109"/>
        <v>0</v>
      </c>
      <c r="CG53" s="86">
        <f t="shared" si="109"/>
        <v>0</v>
      </c>
      <c r="CH53" s="86">
        <f t="shared" si="109"/>
        <v>0</v>
      </c>
      <c r="CI53" s="86">
        <f t="shared" si="109"/>
        <v>0</v>
      </c>
      <c r="CJ53" s="86">
        <f t="shared" si="109"/>
        <v>0</v>
      </c>
      <c r="CK53" s="86">
        <f t="shared" si="109"/>
        <v>0</v>
      </c>
      <c r="CL53" s="86">
        <f t="shared" si="109"/>
        <v>0</v>
      </c>
      <c r="CM53" s="86">
        <f t="shared" si="109"/>
        <v>0</v>
      </c>
      <c r="CN53" s="86">
        <f t="shared" si="109"/>
        <v>0</v>
      </c>
      <c r="CO53" s="86">
        <f t="shared" si="109"/>
        <v>0</v>
      </c>
      <c r="CP53" s="86">
        <f t="shared" si="109"/>
        <v>0</v>
      </c>
      <c r="CQ53" s="86">
        <f t="shared" si="109"/>
        <v>0</v>
      </c>
      <c r="CR53" s="86">
        <f t="shared" si="109"/>
        <v>0</v>
      </c>
      <c r="CS53" s="86">
        <f t="shared" si="109"/>
        <v>0</v>
      </c>
      <c r="CT53" s="86">
        <f t="shared" si="109"/>
        <v>0</v>
      </c>
      <c r="CU53" s="86">
        <f t="shared" si="109"/>
        <v>0</v>
      </c>
      <c r="CV53" s="86">
        <f t="shared" si="109"/>
        <v>0</v>
      </c>
      <c r="CW53" s="86">
        <f t="shared" si="109"/>
        <v>0</v>
      </c>
      <c r="CX53" s="86">
        <f t="shared" si="109"/>
        <v>0</v>
      </c>
      <c r="CY53" s="86">
        <f t="shared" si="109"/>
        <v>0</v>
      </c>
      <c r="CZ53" s="86">
        <f t="shared" si="109"/>
        <v>0</v>
      </c>
      <c r="DA53" s="86">
        <f t="shared" si="109"/>
        <v>0</v>
      </c>
      <c r="DB53" s="86">
        <f t="shared" si="109"/>
        <v>0</v>
      </c>
      <c r="DC53" s="86">
        <f t="shared" si="109"/>
        <v>0</v>
      </c>
      <c r="DD53" s="86">
        <f t="shared" si="109"/>
        <v>0</v>
      </c>
      <c r="DE53" s="86">
        <f t="shared" si="88"/>
        <v>-26236675.000000004</v>
      </c>
    </row>
    <row r="54" spans="2:109">
      <c r="B54" t="s">
        <v>474</v>
      </c>
      <c r="C54" s="86">
        <f>C14</f>
        <v>25417500</v>
      </c>
      <c r="E54" s="91"/>
      <c r="G54" t="s">
        <v>236</v>
      </c>
      <c r="H54" s="86"/>
      <c r="I54" s="602">
        <f>I$21</f>
        <v>-760608.93599999999</v>
      </c>
      <c r="J54" s="602">
        <f t="shared" ref="J54:BU54" si="110">J$21</f>
        <v>0</v>
      </c>
      <c r="K54" s="602">
        <f t="shared" si="110"/>
        <v>0</v>
      </c>
      <c r="L54" s="602">
        <f t="shared" si="110"/>
        <v>0</v>
      </c>
      <c r="M54" s="602">
        <f t="shared" si="110"/>
        <v>0</v>
      </c>
      <c r="N54" s="602">
        <f t="shared" si="110"/>
        <v>0</v>
      </c>
      <c r="O54" s="602">
        <f t="shared" si="110"/>
        <v>0</v>
      </c>
      <c r="P54" s="602">
        <f t="shared" si="110"/>
        <v>0</v>
      </c>
      <c r="Q54" s="602">
        <f t="shared" si="110"/>
        <v>0</v>
      </c>
      <c r="R54" s="602">
        <f t="shared" si="110"/>
        <v>0</v>
      </c>
      <c r="S54" s="602">
        <f t="shared" si="110"/>
        <v>0</v>
      </c>
      <c r="T54" s="602">
        <f t="shared" si="110"/>
        <v>0</v>
      </c>
      <c r="U54" s="602">
        <f t="shared" si="110"/>
        <v>0</v>
      </c>
      <c r="V54" s="602">
        <f t="shared" si="110"/>
        <v>0</v>
      </c>
      <c r="W54" s="602">
        <f t="shared" si="110"/>
        <v>0</v>
      </c>
      <c r="X54" s="602">
        <f t="shared" si="110"/>
        <v>0</v>
      </c>
      <c r="Y54" s="602">
        <f t="shared" si="110"/>
        <v>0</v>
      </c>
      <c r="Z54" s="602">
        <f t="shared" si="110"/>
        <v>0</v>
      </c>
      <c r="AA54" s="602">
        <f t="shared" si="110"/>
        <v>0</v>
      </c>
      <c r="AB54" s="602">
        <f t="shared" si="110"/>
        <v>0</v>
      </c>
      <c r="AC54" s="602">
        <f t="shared" si="110"/>
        <v>0</v>
      </c>
      <c r="AD54" s="602">
        <f t="shared" si="110"/>
        <v>0</v>
      </c>
      <c r="AE54" s="602">
        <f t="shared" si="110"/>
        <v>0</v>
      </c>
      <c r="AF54" s="602">
        <f t="shared" si="110"/>
        <v>0</v>
      </c>
      <c r="AG54" s="602">
        <f t="shared" si="110"/>
        <v>0</v>
      </c>
      <c r="AH54" s="602">
        <f t="shared" si="110"/>
        <v>0</v>
      </c>
      <c r="AI54" s="602">
        <f t="shared" si="110"/>
        <v>0</v>
      </c>
      <c r="AJ54" s="602">
        <f t="shared" si="110"/>
        <v>0</v>
      </c>
      <c r="AK54" s="602">
        <f t="shared" si="110"/>
        <v>0</v>
      </c>
      <c r="AL54" s="602">
        <f t="shared" si="110"/>
        <v>0</v>
      </c>
      <c r="AM54" s="602">
        <f t="shared" si="110"/>
        <v>0</v>
      </c>
      <c r="AN54" s="602">
        <f t="shared" si="110"/>
        <v>0</v>
      </c>
      <c r="AO54" s="602">
        <f t="shared" si="110"/>
        <v>0</v>
      </c>
      <c r="AP54" s="602">
        <f t="shared" si="110"/>
        <v>0</v>
      </c>
      <c r="AQ54" s="602">
        <f t="shared" si="110"/>
        <v>0</v>
      </c>
      <c r="AR54" s="602">
        <f t="shared" si="110"/>
        <v>0</v>
      </c>
      <c r="AS54" s="602">
        <f t="shared" si="110"/>
        <v>0</v>
      </c>
      <c r="AT54" s="602">
        <f t="shared" si="110"/>
        <v>0</v>
      </c>
      <c r="AU54" s="602">
        <f t="shared" si="110"/>
        <v>0</v>
      </c>
      <c r="AV54" s="602">
        <f t="shared" si="110"/>
        <v>0</v>
      </c>
      <c r="AW54" s="602">
        <f t="shared" si="110"/>
        <v>0</v>
      </c>
      <c r="AX54" s="602">
        <f t="shared" si="110"/>
        <v>0</v>
      </c>
      <c r="AY54" s="602">
        <f t="shared" si="110"/>
        <v>0</v>
      </c>
      <c r="AZ54" s="602">
        <f t="shared" si="110"/>
        <v>0</v>
      </c>
      <c r="BA54" s="602">
        <f t="shared" si="110"/>
        <v>0</v>
      </c>
      <c r="BB54" s="602">
        <f t="shared" si="110"/>
        <v>0</v>
      </c>
      <c r="BC54" s="602">
        <f t="shared" si="110"/>
        <v>0</v>
      </c>
      <c r="BD54" s="602">
        <f t="shared" si="110"/>
        <v>0</v>
      </c>
      <c r="BE54" s="602">
        <f t="shared" si="110"/>
        <v>857455.76660616801</v>
      </c>
      <c r="BF54" s="602">
        <f t="shared" si="110"/>
        <v>0</v>
      </c>
      <c r="BG54" s="602">
        <f t="shared" si="110"/>
        <v>0</v>
      </c>
      <c r="BH54" s="602">
        <f t="shared" si="110"/>
        <v>0</v>
      </c>
      <c r="BI54" s="602">
        <f t="shared" si="110"/>
        <v>0</v>
      </c>
      <c r="BJ54" s="602">
        <f t="shared" si="110"/>
        <v>0</v>
      </c>
      <c r="BK54" s="602">
        <f t="shared" si="110"/>
        <v>0</v>
      </c>
      <c r="BL54" s="602">
        <f t="shared" si="110"/>
        <v>0</v>
      </c>
      <c r="BM54" s="602">
        <f t="shared" si="110"/>
        <v>0</v>
      </c>
      <c r="BN54" s="602">
        <f t="shared" si="110"/>
        <v>0</v>
      </c>
      <c r="BO54" s="602">
        <f t="shared" si="110"/>
        <v>0</v>
      </c>
      <c r="BP54" s="602">
        <f t="shared" si="110"/>
        <v>0</v>
      </c>
      <c r="BQ54" s="602">
        <f t="shared" si="110"/>
        <v>0</v>
      </c>
      <c r="BR54" s="602">
        <f t="shared" si="110"/>
        <v>0</v>
      </c>
      <c r="BS54" s="602">
        <f t="shared" si="110"/>
        <v>0</v>
      </c>
      <c r="BT54" s="602">
        <f t="shared" si="110"/>
        <v>0</v>
      </c>
      <c r="BU54" s="602">
        <f t="shared" si="110"/>
        <v>0</v>
      </c>
      <c r="BV54" s="602">
        <f t="shared" ref="BV54:DD54" si="111">BV$21</f>
        <v>0</v>
      </c>
      <c r="BW54" s="602">
        <f t="shared" si="111"/>
        <v>0</v>
      </c>
      <c r="BX54" s="602">
        <f t="shared" si="111"/>
        <v>0</v>
      </c>
      <c r="BY54" s="602">
        <f t="shared" si="111"/>
        <v>0</v>
      </c>
      <c r="BZ54" s="602">
        <f t="shared" si="111"/>
        <v>0</v>
      </c>
      <c r="CA54" s="602">
        <f t="shared" si="111"/>
        <v>0</v>
      </c>
      <c r="CB54" s="602">
        <f t="shared" si="111"/>
        <v>0</v>
      </c>
      <c r="CC54" s="602">
        <f t="shared" si="111"/>
        <v>0</v>
      </c>
      <c r="CD54" s="602">
        <f t="shared" si="111"/>
        <v>0</v>
      </c>
      <c r="CE54" s="602">
        <f t="shared" si="111"/>
        <v>0</v>
      </c>
      <c r="CF54" s="602">
        <f t="shared" si="111"/>
        <v>0</v>
      </c>
      <c r="CG54" s="602">
        <f t="shared" si="111"/>
        <v>0</v>
      </c>
      <c r="CH54" s="602">
        <f t="shared" si="111"/>
        <v>0</v>
      </c>
      <c r="CI54" s="602">
        <f t="shared" si="111"/>
        <v>0</v>
      </c>
      <c r="CJ54" s="602">
        <f t="shared" si="111"/>
        <v>0</v>
      </c>
      <c r="CK54" s="602">
        <f t="shared" si="111"/>
        <v>0</v>
      </c>
      <c r="CL54" s="602">
        <f t="shared" si="111"/>
        <v>0</v>
      </c>
      <c r="CM54" s="602">
        <f t="shared" si="111"/>
        <v>0</v>
      </c>
      <c r="CN54" s="602">
        <f t="shared" si="111"/>
        <v>0</v>
      </c>
      <c r="CO54" s="602">
        <f t="shared" si="111"/>
        <v>0</v>
      </c>
      <c r="CP54" s="602">
        <f t="shared" si="111"/>
        <v>0</v>
      </c>
      <c r="CQ54" s="602">
        <f t="shared" si="111"/>
        <v>0</v>
      </c>
      <c r="CR54" s="602">
        <f t="shared" si="111"/>
        <v>0</v>
      </c>
      <c r="CS54" s="602">
        <f t="shared" si="111"/>
        <v>0</v>
      </c>
      <c r="CT54" s="602">
        <f t="shared" si="111"/>
        <v>0</v>
      </c>
      <c r="CU54" s="602">
        <f t="shared" si="111"/>
        <v>0</v>
      </c>
      <c r="CV54" s="602">
        <f t="shared" si="111"/>
        <v>0</v>
      </c>
      <c r="CW54" s="602">
        <f t="shared" si="111"/>
        <v>0</v>
      </c>
      <c r="CX54" s="602">
        <f t="shared" si="111"/>
        <v>0</v>
      </c>
      <c r="CY54" s="602">
        <f t="shared" si="111"/>
        <v>0</v>
      </c>
      <c r="CZ54" s="602">
        <f t="shared" si="111"/>
        <v>0</v>
      </c>
      <c r="DA54" s="602">
        <f t="shared" si="111"/>
        <v>0</v>
      </c>
      <c r="DB54" s="602">
        <f t="shared" si="111"/>
        <v>0</v>
      </c>
      <c r="DC54" s="602">
        <f t="shared" si="111"/>
        <v>0</v>
      </c>
      <c r="DD54" s="602">
        <f t="shared" si="111"/>
        <v>0</v>
      </c>
      <c r="DE54" s="86">
        <f t="shared" si="88"/>
        <v>96846.83060616802</v>
      </c>
    </row>
    <row r="55" spans="2:109" ht="15" thickBot="1">
      <c r="B55" t="s">
        <v>475</v>
      </c>
      <c r="C55" s="86">
        <f>SUM(C15:C16)</f>
        <v>0</v>
      </c>
      <c r="G55" s="98" t="s">
        <v>417</v>
      </c>
      <c r="H55" s="99">
        <f>SUM(H50:H54)</f>
        <v>0</v>
      </c>
      <c r="I55" s="99">
        <f>SUM(I50:I54)</f>
        <v>-988267.57150459418</v>
      </c>
      <c r="J55" s="99">
        <f t="shared" ref="J55:BU55" si="112">SUM(J50:J54)</f>
        <v>-226484.35511229635</v>
      </c>
      <c r="K55" s="99">
        <f t="shared" si="112"/>
        <v>-225307.13901901763</v>
      </c>
      <c r="L55" s="99">
        <f t="shared" si="112"/>
        <v>-224126.97988550592</v>
      </c>
      <c r="M55" s="99">
        <f t="shared" si="112"/>
        <v>-222943.87035416026</v>
      </c>
      <c r="N55" s="99">
        <f t="shared" si="112"/>
        <v>-221757.80304898616</v>
      </c>
      <c r="O55" s="99">
        <f t="shared" si="112"/>
        <v>-220568.77057554928</v>
      </c>
      <c r="P55" s="99">
        <f t="shared" si="112"/>
        <v>-219376.76552092878</v>
      </c>
      <c r="Q55" s="99">
        <f t="shared" si="112"/>
        <v>-218181.78045367182</v>
      </c>
      <c r="R55" s="99">
        <f t="shared" si="112"/>
        <v>-216983.80792374647</v>
      </c>
      <c r="S55" s="99">
        <f t="shared" si="112"/>
        <v>-215782.84046249639</v>
      </c>
      <c r="T55" s="99">
        <f t="shared" si="112"/>
        <v>-214578.87058259355</v>
      </c>
      <c r="U55" s="99">
        <f t="shared" si="112"/>
        <v>-213371.89077799051</v>
      </c>
      <c r="V55" s="99">
        <f t="shared" si="112"/>
        <v>-212161.89352387603</v>
      </c>
      <c r="W55" s="99">
        <f t="shared" si="112"/>
        <v>-210948.87127662648</v>
      </c>
      <c r="X55" s="99">
        <f t="shared" si="112"/>
        <v>-209732.81647375849</v>
      </c>
      <c r="Y55" s="99">
        <f t="shared" si="112"/>
        <v>-208513.72153388354</v>
      </c>
      <c r="Z55" s="99">
        <f t="shared" si="112"/>
        <v>-207291.57885665906</v>
      </c>
      <c r="AA55" s="99">
        <f t="shared" si="112"/>
        <v>-206066.38082274108</v>
      </c>
      <c r="AB55" s="99">
        <f t="shared" si="112"/>
        <v>-204838.11979373853</v>
      </c>
      <c r="AC55" s="99">
        <f t="shared" si="112"/>
        <v>-203606.78811216366</v>
      </c>
      <c r="AD55" s="99">
        <f t="shared" si="112"/>
        <v>-202372.37810138462</v>
      </c>
      <c r="AE55" s="99">
        <f t="shared" si="112"/>
        <v>-219960.80751005019</v>
      </c>
      <c r="AF55" s="99">
        <f t="shared" si="112"/>
        <v>-220553.28542262735</v>
      </c>
      <c r="AG55" s="99">
        <f t="shared" si="112"/>
        <v>-221159.10455520725</v>
      </c>
      <c r="AH55" s="99">
        <f t="shared" si="112"/>
        <v>-221778.42180276895</v>
      </c>
      <c r="AI55" s="99">
        <f t="shared" si="112"/>
        <v>-222411.39573942486</v>
      </c>
      <c r="AJ55" s="99">
        <f t="shared" si="112"/>
        <v>-223058.18663602177</v>
      </c>
      <c r="AK55" s="99">
        <f t="shared" si="112"/>
        <v>-223718.95647792984</v>
      </c>
      <c r="AL55" s="99">
        <f t="shared" si="112"/>
        <v>-224393.86898301286</v>
      </c>
      <c r="AM55" s="99">
        <f t="shared" si="112"/>
        <v>-225083.08961978904</v>
      </c>
      <c r="AN55" s="99">
        <f t="shared" si="112"/>
        <v>-225786.7856257793</v>
      </c>
      <c r="AO55" s="99">
        <f t="shared" si="112"/>
        <v>-226505.12602604879</v>
      </c>
      <c r="AP55" s="99">
        <f t="shared" si="112"/>
        <v>-227238.28165194014</v>
      </c>
      <c r="AQ55" s="99">
        <f t="shared" si="112"/>
        <v>-227986.42516000307</v>
      </c>
      <c r="AR55" s="99">
        <f t="shared" si="112"/>
        <v>-228749.73105112091</v>
      </c>
      <c r="AS55" s="99">
        <f t="shared" si="112"/>
        <v>-229528.37568983785</v>
      </c>
      <c r="AT55" s="99">
        <f t="shared" si="112"/>
        <v>-230322.53732388618</v>
      </c>
      <c r="AU55" s="99">
        <f t="shared" si="112"/>
        <v>-231132.39610391803</v>
      </c>
      <c r="AV55" s="99">
        <f t="shared" si="112"/>
        <v>-231958.13410344301</v>
      </c>
      <c r="AW55" s="99">
        <f t="shared" si="112"/>
        <v>-232799.93533897394</v>
      </c>
      <c r="AX55" s="99">
        <f t="shared" si="112"/>
        <v>-233657.98579038249</v>
      </c>
      <c r="AY55" s="99">
        <f t="shared" si="112"/>
        <v>-234532.47342146601</v>
      </c>
      <c r="AZ55" s="99">
        <f t="shared" si="112"/>
        <v>-235423.58820073179</v>
      </c>
      <c r="BA55" s="99">
        <f t="shared" si="112"/>
        <v>-236331.52212239522</v>
      </c>
      <c r="BB55" s="99">
        <f t="shared" si="112"/>
        <v>-237256.46922759782</v>
      </c>
      <c r="BC55" s="99">
        <f t="shared" si="112"/>
        <v>-238198.62562584842</v>
      </c>
      <c r="BD55" s="99">
        <f t="shared" si="112"/>
        <v>-239158.18951668381</v>
      </c>
      <c r="BE55" s="99">
        <f t="shared" si="112"/>
        <v>14471068.766606169</v>
      </c>
      <c r="BF55" s="99">
        <f t="shared" si="112"/>
        <v>0</v>
      </c>
      <c r="BG55" s="99">
        <f t="shared" si="112"/>
        <v>0</v>
      </c>
      <c r="BH55" s="99">
        <f t="shared" si="112"/>
        <v>0</v>
      </c>
      <c r="BI55" s="99">
        <f t="shared" si="112"/>
        <v>0</v>
      </c>
      <c r="BJ55" s="99">
        <f t="shared" si="112"/>
        <v>0</v>
      </c>
      <c r="BK55" s="99">
        <f t="shared" si="112"/>
        <v>0</v>
      </c>
      <c r="BL55" s="99">
        <f t="shared" si="112"/>
        <v>0</v>
      </c>
      <c r="BM55" s="99">
        <f t="shared" si="112"/>
        <v>0</v>
      </c>
      <c r="BN55" s="99">
        <f t="shared" si="112"/>
        <v>0</v>
      </c>
      <c r="BO55" s="99">
        <f t="shared" si="112"/>
        <v>0</v>
      </c>
      <c r="BP55" s="99">
        <f t="shared" si="112"/>
        <v>0</v>
      </c>
      <c r="BQ55" s="99">
        <f t="shared" si="112"/>
        <v>0</v>
      </c>
      <c r="BR55" s="99">
        <f t="shared" si="112"/>
        <v>0</v>
      </c>
      <c r="BS55" s="99">
        <f t="shared" si="112"/>
        <v>0</v>
      </c>
      <c r="BT55" s="99">
        <f t="shared" si="112"/>
        <v>0</v>
      </c>
      <c r="BU55" s="99">
        <f t="shared" si="112"/>
        <v>0</v>
      </c>
      <c r="BV55" s="99">
        <f t="shared" ref="BV55:DD55" si="113">SUM(BV50:BV54)</f>
        <v>0</v>
      </c>
      <c r="BW55" s="99">
        <f t="shared" si="113"/>
        <v>0</v>
      </c>
      <c r="BX55" s="99">
        <f t="shared" si="113"/>
        <v>0</v>
      </c>
      <c r="BY55" s="99">
        <f t="shared" si="113"/>
        <v>0</v>
      </c>
      <c r="BZ55" s="99">
        <f t="shared" si="113"/>
        <v>0</v>
      </c>
      <c r="CA55" s="99">
        <f t="shared" si="113"/>
        <v>0</v>
      </c>
      <c r="CB55" s="99">
        <f t="shared" si="113"/>
        <v>0</v>
      </c>
      <c r="CC55" s="99">
        <f t="shared" si="113"/>
        <v>0</v>
      </c>
      <c r="CD55" s="99">
        <f t="shared" si="113"/>
        <v>0</v>
      </c>
      <c r="CE55" s="99">
        <f t="shared" si="113"/>
        <v>0</v>
      </c>
      <c r="CF55" s="99">
        <f t="shared" si="113"/>
        <v>0</v>
      </c>
      <c r="CG55" s="99">
        <f t="shared" si="113"/>
        <v>0</v>
      </c>
      <c r="CH55" s="99">
        <f t="shared" si="113"/>
        <v>0</v>
      </c>
      <c r="CI55" s="99">
        <f t="shared" si="113"/>
        <v>0</v>
      </c>
      <c r="CJ55" s="99">
        <f t="shared" si="113"/>
        <v>0</v>
      </c>
      <c r="CK55" s="99">
        <f t="shared" si="113"/>
        <v>0</v>
      </c>
      <c r="CL55" s="99">
        <f t="shared" si="113"/>
        <v>0</v>
      </c>
      <c r="CM55" s="99">
        <f t="shared" si="113"/>
        <v>0</v>
      </c>
      <c r="CN55" s="99">
        <f t="shared" si="113"/>
        <v>0</v>
      </c>
      <c r="CO55" s="99">
        <f t="shared" si="113"/>
        <v>0</v>
      </c>
      <c r="CP55" s="99">
        <f t="shared" si="113"/>
        <v>0</v>
      </c>
      <c r="CQ55" s="99">
        <f t="shared" si="113"/>
        <v>0</v>
      </c>
      <c r="CR55" s="99">
        <f t="shared" si="113"/>
        <v>0</v>
      </c>
      <c r="CS55" s="99">
        <f t="shared" si="113"/>
        <v>0</v>
      </c>
      <c r="CT55" s="99">
        <f t="shared" si="113"/>
        <v>0</v>
      </c>
      <c r="CU55" s="99">
        <f t="shared" si="113"/>
        <v>0</v>
      </c>
      <c r="CV55" s="99">
        <f t="shared" si="113"/>
        <v>0</v>
      </c>
      <c r="CW55" s="99">
        <f t="shared" si="113"/>
        <v>0</v>
      </c>
      <c r="CX55" s="99">
        <f t="shared" si="113"/>
        <v>0</v>
      </c>
      <c r="CY55" s="99">
        <f t="shared" si="113"/>
        <v>0</v>
      </c>
      <c r="CZ55" s="99">
        <f t="shared" si="113"/>
        <v>0</v>
      </c>
      <c r="DA55" s="99">
        <f t="shared" si="113"/>
        <v>0</v>
      </c>
      <c r="DB55" s="99">
        <f t="shared" si="113"/>
        <v>0</v>
      </c>
      <c r="DC55" s="99">
        <f t="shared" si="113"/>
        <v>0</v>
      </c>
      <c r="DD55" s="99">
        <f t="shared" si="113"/>
        <v>0</v>
      </c>
      <c r="DE55" s="99">
        <f>SUM(H55:DD55)</f>
        <v>3029120.0741629116</v>
      </c>
    </row>
    <row r="56" spans="2:109">
      <c r="B56" t="s">
        <v>476</v>
      </c>
      <c r="C56" s="86">
        <f>C54*(1-C26)</f>
        <v>13217100</v>
      </c>
      <c r="G56" s="102" t="s">
        <v>235</v>
      </c>
      <c r="H56" s="103">
        <f>IRR(H55:DD55,0)</f>
        <v>8.8433529145863776E-3</v>
      </c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04"/>
      <c r="AE56" s="104"/>
      <c r="AF56" s="104"/>
      <c r="AG56" s="104"/>
      <c r="AH56" s="104"/>
      <c r="AI56" s="104"/>
      <c r="AJ56" s="104"/>
      <c r="AK56" s="104"/>
      <c r="AL56" s="104"/>
      <c r="AM56" s="104"/>
      <c r="AN56" s="104"/>
      <c r="AO56" s="104"/>
      <c r="AP56" s="104"/>
      <c r="AQ56" s="104"/>
      <c r="AR56" s="104"/>
      <c r="AS56" s="104"/>
      <c r="AT56" s="104"/>
      <c r="AU56" s="104"/>
      <c r="AV56" s="104"/>
      <c r="AW56" s="104"/>
      <c r="AX56" s="104"/>
      <c r="AY56" s="104"/>
      <c r="AZ56" s="104"/>
      <c r="BA56" s="104"/>
      <c r="BB56" s="104"/>
      <c r="BC56" s="104"/>
      <c r="BD56" s="104"/>
      <c r="BE56" s="104"/>
      <c r="BF56" s="104"/>
      <c r="BG56" s="104"/>
      <c r="BH56" s="104"/>
      <c r="BI56" s="104"/>
      <c r="BJ56" s="104"/>
      <c r="BK56" s="104"/>
      <c r="BL56" s="104"/>
      <c r="BM56" s="104"/>
      <c r="BN56" s="104"/>
      <c r="BO56" s="104"/>
      <c r="BP56" s="104"/>
      <c r="BQ56" s="104"/>
      <c r="BR56" s="104"/>
      <c r="BS56" s="104"/>
      <c r="BT56" s="104"/>
      <c r="BU56" s="104"/>
      <c r="BV56" s="104"/>
      <c r="BW56" s="104"/>
      <c r="BX56" s="104"/>
      <c r="BY56" s="104"/>
      <c r="BZ56" s="104"/>
      <c r="CA56" s="104"/>
      <c r="CB56" s="104"/>
      <c r="CC56" s="104"/>
      <c r="CD56" s="104"/>
      <c r="CE56" s="104"/>
      <c r="CF56" s="104"/>
      <c r="CG56" s="104"/>
      <c r="CH56" s="104"/>
      <c r="CI56" s="104"/>
      <c r="CJ56" s="104"/>
      <c r="CK56" s="104"/>
      <c r="CL56" s="104"/>
      <c r="CM56" s="104"/>
      <c r="CN56" s="104"/>
      <c r="CO56" s="104"/>
      <c r="CP56" s="104"/>
      <c r="CQ56" s="104"/>
      <c r="CR56" s="104"/>
      <c r="CS56" s="104"/>
      <c r="CT56" s="104"/>
      <c r="CU56" s="104"/>
      <c r="CV56" s="104"/>
      <c r="CW56" s="104"/>
      <c r="CX56" s="104"/>
      <c r="CY56" s="104"/>
      <c r="CZ56" s="104"/>
      <c r="DA56" s="104"/>
      <c r="DB56" s="104"/>
      <c r="DC56" s="104"/>
      <c r="DD56" s="104"/>
      <c r="DE56" s="104"/>
    </row>
    <row r="57" spans="2:109">
      <c r="B57" s="107" t="s">
        <v>477</v>
      </c>
      <c r="C57" s="142">
        <f>C54-C56/(1+$C$36/12)^(1+$C$5)</f>
        <v>17463023.268822759</v>
      </c>
      <c r="E57" s="91">
        <f>+C54-C56</f>
        <v>12200400</v>
      </c>
      <c r="G57" s="105" t="s">
        <v>234</v>
      </c>
      <c r="H57" s="106">
        <f>((1+H56)^12)-1</f>
        <v>0.11143697902857608</v>
      </c>
      <c r="I57" s="118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104"/>
      <c r="AU57" s="104"/>
      <c r="AV57" s="104"/>
      <c r="AW57" s="104"/>
      <c r="AX57" s="104"/>
      <c r="AY57" s="104"/>
      <c r="AZ57" s="104"/>
      <c r="BA57" s="104"/>
      <c r="BB57" s="104"/>
      <c r="BC57" s="104"/>
      <c r="BD57" s="104"/>
      <c r="BE57" s="104"/>
      <c r="BF57" s="104"/>
      <c r="BG57" s="104"/>
      <c r="BH57" s="104"/>
      <c r="BI57" s="104"/>
      <c r="BJ57" s="104"/>
      <c r="BK57" s="104"/>
      <c r="BL57" s="104"/>
      <c r="BM57" s="104"/>
      <c r="BN57" s="104"/>
      <c r="BO57" s="104"/>
      <c r="BP57" s="104"/>
      <c r="BQ57" s="104"/>
      <c r="BR57" s="104"/>
      <c r="BS57" s="104"/>
      <c r="BT57" s="104"/>
      <c r="BU57" s="104"/>
      <c r="BV57" s="104"/>
      <c r="BW57" s="104"/>
      <c r="BX57" s="104"/>
      <c r="BY57" s="104"/>
      <c r="BZ57" s="104"/>
      <c r="CA57" s="104"/>
      <c r="CB57" s="104"/>
      <c r="CC57" s="104"/>
      <c r="CD57" s="104"/>
      <c r="CE57" s="104"/>
      <c r="CF57" s="104"/>
      <c r="CG57" s="104"/>
      <c r="CH57" s="104"/>
      <c r="CI57" s="104"/>
      <c r="CJ57" s="104"/>
      <c r="CK57" s="104"/>
      <c r="CL57" s="104"/>
      <c r="CM57" s="104"/>
      <c r="CN57" s="104"/>
      <c r="CO57" s="104"/>
      <c r="CP57" s="104"/>
      <c r="CQ57" s="104"/>
      <c r="CR57" s="104"/>
      <c r="CS57" s="104"/>
      <c r="CT57" s="104"/>
      <c r="CU57" s="104"/>
      <c r="CV57" s="104"/>
      <c r="CW57" s="104"/>
      <c r="CX57" s="104"/>
      <c r="CY57" s="104"/>
      <c r="CZ57" s="104"/>
      <c r="DA57" s="104"/>
      <c r="DB57" s="104"/>
      <c r="DC57" s="104"/>
      <c r="DD57" s="104"/>
      <c r="DE57" s="104"/>
    </row>
    <row r="58" spans="2:109">
      <c r="B58" s="128" t="s">
        <v>247</v>
      </c>
      <c r="C58" s="158">
        <f>SUM(C59:C67)/SUM($C$59:$C$67,$C$69:$C$72)</f>
        <v>0.39232248917795004</v>
      </c>
      <c r="G58" s="130" t="s">
        <v>430</v>
      </c>
      <c r="H58" s="131">
        <f t="shared" ref="H58" si="114">SUM(H50:H54)</f>
        <v>0</v>
      </c>
      <c r="I58" s="131">
        <f t="shared" ref="I58:AN58" si="115">SUM(I50:I54)+IF(I$2=($C$5+$C$33),1,0)*(SUM($C$10)*($C$27)*($C$32))</f>
        <v>-988267.57150459418</v>
      </c>
      <c r="J58" s="131">
        <f t="shared" si="115"/>
        <v>-226484.35511229635</v>
      </c>
      <c r="K58" s="131">
        <f t="shared" si="115"/>
        <v>-225307.13901901763</v>
      </c>
      <c r="L58" s="131">
        <f t="shared" si="115"/>
        <v>-224126.97988550592</v>
      </c>
      <c r="M58" s="131">
        <f t="shared" si="115"/>
        <v>-222943.87035416026</v>
      </c>
      <c r="N58" s="131">
        <f t="shared" si="115"/>
        <v>-221757.80304898616</v>
      </c>
      <c r="O58" s="131">
        <f t="shared" si="115"/>
        <v>-220568.77057554928</v>
      </c>
      <c r="P58" s="131">
        <f t="shared" si="115"/>
        <v>-219376.76552092878</v>
      </c>
      <c r="Q58" s="131">
        <f t="shared" si="115"/>
        <v>-218181.78045367182</v>
      </c>
      <c r="R58" s="131">
        <f t="shared" si="115"/>
        <v>-216983.80792374647</v>
      </c>
      <c r="S58" s="131">
        <f t="shared" si="115"/>
        <v>-215782.84046249639</v>
      </c>
      <c r="T58" s="131">
        <f t="shared" si="115"/>
        <v>-214578.87058259355</v>
      </c>
      <c r="U58" s="131">
        <f t="shared" si="115"/>
        <v>-213371.89077799051</v>
      </c>
      <c r="V58" s="131">
        <f t="shared" si="115"/>
        <v>-212161.89352387603</v>
      </c>
      <c r="W58" s="131">
        <f t="shared" si="115"/>
        <v>-210948.87127662648</v>
      </c>
      <c r="X58" s="131">
        <f t="shared" si="115"/>
        <v>-209732.81647375849</v>
      </c>
      <c r="Y58" s="131">
        <f t="shared" si="115"/>
        <v>-208513.72153388354</v>
      </c>
      <c r="Z58" s="131">
        <f t="shared" si="115"/>
        <v>-207291.57885665906</v>
      </c>
      <c r="AA58" s="131">
        <f t="shared" si="115"/>
        <v>-206066.38082274108</v>
      </c>
      <c r="AB58" s="131">
        <f t="shared" si="115"/>
        <v>-204838.11979373853</v>
      </c>
      <c r="AC58" s="131">
        <f t="shared" si="115"/>
        <v>-203606.78811216366</v>
      </c>
      <c r="AD58" s="131">
        <f t="shared" si="115"/>
        <v>-202372.37810138462</v>
      </c>
      <c r="AE58" s="131">
        <f t="shared" si="115"/>
        <v>-219960.80751005019</v>
      </c>
      <c r="AF58" s="131">
        <f t="shared" si="115"/>
        <v>-220553.28542262735</v>
      </c>
      <c r="AG58" s="131">
        <f t="shared" si="115"/>
        <v>-221159.10455520725</v>
      </c>
      <c r="AH58" s="131">
        <f t="shared" si="115"/>
        <v>-221778.42180276895</v>
      </c>
      <c r="AI58" s="131">
        <f t="shared" si="115"/>
        <v>-222411.39573942486</v>
      </c>
      <c r="AJ58" s="131">
        <f t="shared" si="115"/>
        <v>-223058.18663602177</v>
      </c>
      <c r="AK58" s="131">
        <f t="shared" si="115"/>
        <v>-223718.95647792984</v>
      </c>
      <c r="AL58" s="131">
        <f t="shared" si="115"/>
        <v>-224393.86898301286</v>
      </c>
      <c r="AM58" s="131">
        <f t="shared" si="115"/>
        <v>-225083.08961978904</v>
      </c>
      <c r="AN58" s="131">
        <f t="shared" si="115"/>
        <v>-225786.7856257793</v>
      </c>
      <c r="AO58" s="131">
        <f t="shared" ref="AO58:BT58" si="116">SUM(AO50:AO54)+IF(AO$2=($C$5+$C$33),1,0)*(SUM($C$10)*($C$27)*($C$32))</f>
        <v>-226505.12602604879</v>
      </c>
      <c r="AP58" s="131">
        <f t="shared" si="116"/>
        <v>-227238.28165194014</v>
      </c>
      <c r="AQ58" s="131">
        <f t="shared" si="116"/>
        <v>-227986.42516000307</v>
      </c>
      <c r="AR58" s="131">
        <f t="shared" si="116"/>
        <v>-228749.73105112091</v>
      </c>
      <c r="AS58" s="131">
        <f t="shared" si="116"/>
        <v>-229528.37568983785</v>
      </c>
      <c r="AT58" s="131">
        <f t="shared" si="116"/>
        <v>-230322.53732388618</v>
      </c>
      <c r="AU58" s="131">
        <f t="shared" si="116"/>
        <v>-231132.39610391803</v>
      </c>
      <c r="AV58" s="131">
        <f t="shared" si="116"/>
        <v>-231958.13410344301</v>
      </c>
      <c r="AW58" s="131">
        <f t="shared" si="116"/>
        <v>-232799.93533897394</v>
      </c>
      <c r="AX58" s="131">
        <f t="shared" si="116"/>
        <v>-233657.98579038249</v>
      </c>
      <c r="AY58" s="131">
        <f t="shared" si="116"/>
        <v>-234532.47342146601</v>
      </c>
      <c r="AZ58" s="131">
        <f t="shared" si="116"/>
        <v>-235423.58820073179</v>
      </c>
      <c r="BA58" s="131">
        <f t="shared" si="116"/>
        <v>-236331.52212239522</v>
      </c>
      <c r="BB58" s="131">
        <f t="shared" si="116"/>
        <v>-237256.46922759782</v>
      </c>
      <c r="BC58" s="131">
        <f t="shared" si="116"/>
        <v>-238198.62562584842</v>
      </c>
      <c r="BD58" s="131">
        <f t="shared" si="116"/>
        <v>-239158.18951668381</v>
      </c>
      <c r="BE58" s="131">
        <f t="shared" si="116"/>
        <v>15396265.766606169</v>
      </c>
      <c r="BF58" s="131">
        <f t="shared" si="116"/>
        <v>0</v>
      </c>
      <c r="BG58" s="131">
        <f t="shared" si="116"/>
        <v>0</v>
      </c>
      <c r="BH58" s="131">
        <f t="shared" si="116"/>
        <v>0</v>
      </c>
      <c r="BI58" s="131">
        <f t="shared" si="116"/>
        <v>0</v>
      </c>
      <c r="BJ58" s="131">
        <f t="shared" si="116"/>
        <v>0</v>
      </c>
      <c r="BK58" s="131">
        <f t="shared" si="116"/>
        <v>0</v>
      </c>
      <c r="BL58" s="131">
        <f t="shared" si="116"/>
        <v>0</v>
      </c>
      <c r="BM58" s="131">
        <f t="shared" si="116"/>
        <v>0</v>
      </c>
      <c r="BN58" s="131">
        <f t="shared" si="116"/>
        <v>0</v>
      </c>
      <c r="BO58" s="131">
        <f t="shared" si="116"/>
        <v>0</v>
      </c>
      <c r="BP58" s="131">
        <f t="shared" si="116"/>
        <v>0</v>
      </c>
      <c r="BQ58" s="131">
        <f t="shared" si="116"/>
        <v>0</v>
      </c>
      <c r="BR58" s="131">
        <f t="shared" si="116"/>
        <v>0</v>
      </c>
      <c r="BS58" s="131">
        <f t="shared" si="116"/>
        <v>0</v>
      </c>
      <c r="BT58" s="131">
        <f t="shared" si="116"/>
        <v>0</v>
      </c>
      <c r="BU58" s="131">
        <f t="shared" ref="BU58:DD58" si="117">SUM(BU50:BU54)+IF(BU$2=($C$5+$C$33),1,0)*(SUM($C$10)*($C$27)*($C$32))</f>
        <v>0</v>
      </c>
      <c r="BV58" s="131">
        <f t="shared" si="117"/>
        <v>0</v>
      </c>
      <c r="BW58" s="131">
        <f t="shared" si="117"/>
        <v>0</v>
      </c>
      <c r="BX58" s="131">
        <f t="shared" si="117"/>
        <v>0</v>
      </c>
      <c r="BY58" s="131">
        <f t="shared" si="117"/>
        <v>0</v>
      </c>
      <c r="BZ58" s="131">
        <f t="shared" si="117"/>
        <v>0</v>
      </c>
      <c r="CA58" s="131">
        <f t="shared" si="117"/>
        <v>0</v>
      </c>
      <c r="CB58" s="131">
        <f t="shared" si="117"/>
        <v>0</v>
      </c>
      <c r="CC58" s="131">
        <f t="shared" si="117"/>
        <v>0</v>
      </c>
      <c r="CD58" s="131">
        <f t="shared" si="117"/>
        <v>0</v>
      </c>
      <c r="CE58" s="131">
        <f t="shared" si="117"/>
        <v>0</v>
      </c>
      <c r="CF58" s="131">
        <f t="shared" si="117"/>
        <v>0</v>
      </c>
      <c r="CG58" s="131">
        <f t="shared" si="117"/>
        <v>0</v>
      </c>
      <c r="CH58" s="131">
        <f t="shared" si="117"/>
        <v>0</v>
      </c>
      <c r="CI58" s="131">
        <f t="shared" si="117"/>
        <v>0</v>
      </c>
      <c r="CJ58" s="131">
        <f t="shared" si="117"/>
        <v>0</v>
      </c>
      <c r="CK58" s="131">
        <f t="shared" si="117"/>
        <v>0</v>
      </c>
      <c r="CL58" s="131">
        <f t="shared" si="117"/>
        <v>0</v>
      </c>
      <c r="CM58" s="131">
        <f t="shared" si="117"/>
        <v>0</v>
      </c>
      <c r="CN58" s="131">
        <f t="shared" si="117"/>
        <v>0</v>
      </c>
      <c r="CO58" s="131">
        <f t="shared" si="117"/>
        <v>0</v>
      </c>
      <c r="CP58" s="131">
        <f t="shared" si="117"/>
        <v>0</v>
      </c>
      <c r="CQ58" s="131">
        <f t="shared" si="117"/>
        <v>0</v>
      </c>
      <c r="CR58" s="131">
        <f t="shared" si="117"/>
        <v>0</v>
      </c>
      <c r="CS58" s="131">
        <f t="shared" si="117"/>
        <v>0</v>
      </c>
      <c r="CT58" s="131">
        <f t="shared" si="117"/>
        <v>0</v>
      </c>
      <c r="CU58" s="131">
        <f t="shared" si="117"/>
        <v>0</v>
      </c>
      <c r="CV58" s="131">
        <f t="shared" si="117"/>
        <v>0</v>
      </c>
      <c r="CW58" s="131">
        <f t="shared" si="117"/>
        <v>0</v>
      </c>
      <c r="CX58" s="131">
        <f t="shared" si="117"/>
        <v>0</v>
      </c>
      <c r="CY58" s="131">
        <f t="shared" si="117"/>
        <v>0</v>
      </c>
      <c r="CZ58" s="131">
        <f t="shared" si="117"/>
        <v>0</v>
      </c>
      <c r="DA58" s="131">
        <f t="shared" si="117"/>
        <v>0</v>
      </c>
      <c r="DB58" s="131">
        <f t="shared" si="117"/>
        <v>0</v>
      </c>
      <c r="DC58" s="131">
        <f t="shared" si="117"/>
        <v>0</v>
      </c>
      <c r="DD58" s="131">
        <f t="shared" si="117"/>
        <v>0</v>
      </c>
      <c r="DE58" s="131">
        <f>SUM(H58:DD58)</f>
        <v>3954317.0741629116</v>
      </c>
    </row>
    <row r="59" spans="2:109" ht="15" thickBot="1">
      <c r="B59" t="s">
        <v>197</v>
      </c>
      <c r="C59" s="86">
        <f>-FV($C$37/12,$C$5,'Tablas&amp;Gastos'!F8)*SUM($C$10:$C$12)/$C$5</f>
        <v>91803.50316979074</v>
      </c>
      <c r="E59" s="159">
        <f>'Tablas&amp;Gastos'!F8</f>
        <v>84000</v>
      </c>
      <c r="G59" s="132" t="s">
        <v>418</v>
      </c>
      <c r="H59" s="133">
        <f>SUM(H50:H54)</f>
        <v>0</v>
      </c>
      <c r="I59" s="133">
        <f t="shared" ref="I59:AN59" si="118">SUM(I50:I54)+IF(I$2=($C$5+$C$33),1,0)*(SUM($C$10)*($C$27)*($C$32))-I49+IF(I71&gt;0,-$C$34*IF(I58-I55=0,I48,I58-I55),0)</f>
        <v>-988267.57150459418</v>
      </c>
      <c r="J59" s="133">
        <f t="shared" si="118"/>
        <v>-226484.35511229635</v>
      </c>
      <c r="K59" s="133">
        <f t="shared" si="118"/>
        <v>-225307.13901901763</v>
      </c>
      <c r="L59" s="133">
        <f t="shared" si="118"/>
        <v>-224126.97988550592</v>
      </c>
      <c r="M59" s="133">
        <f t="shared" si="118"/>
        <v>-222943.87035416026</v>
      </c>
      <c r="N59" s="133">
        <f t="shared" si="118"/>
        <v>-221757.80304898616</v>
      </c>
      <c r="O59" s="133">
        <f t="shared" si="118"/>
        <v>-220568.77057554928</v>
      </c>
      <c r="P59" s="133">
        <f t="shared" si="118"/>
        <v>-219376.76552092878</v>
      </c>
      <c r="Q59" s="133">
        <f t="shared" si="118"/>
        <v>-218181.78045367182</v>
      </c>
      <c r="R59" s="133">
        <f t="shared" si="118"/>
        <v>-216983.80792374647</v>
      </c>
      <c r="S59" s="133">
        <f t="shared" si="118"/>
        <v>-215782.84046249639</v>
      </c>
      <c r="T59" s="133">
        <f t="shared" si="118"/>
        <v>-214578.87058259355</v>
      </c>
      <c r="U59" s="133">
        <f t="shared" si="118"/>
        <v>-213371.89077799051</v>
      </c>
      <c r="V59" s="133">
        <f t="shared" si="118"/>
        <v>-212161.89352387603</v>
      </c>
      <c r="W59" s="133">
        <f t="shared" si="118"/>
        <v>-210948.87127662648</v>
      </c>
      <c r="X59" s="133">
        <f t="shared" si="118"/>
        <v>-209732.81647375849</v>
      </c>
      <c r="Y59" s="133">
        <f t="shared" si="118"/>
        <v>-208513.72153388354</v>
      </c>
      <c r="Z59" s="133">
        <f t="shared" si="118"/>
        <v>-207291.57885665906</v>
      </c>
      <c r="AA59" s="133">
        <f t="shared" si="118"/>
        <v>-206066.38082274108</v>
      </c>
      <c r="AB59" s="133">
        <f t="shared" si="118"/>
        <v>-204838.11979373853</v>
      </c>
      <c r="AC59" s="133">
        <f t="shared" si="118"/>
        <v>-203606.78811216366</v>
      </c>
      <c r="AD59" s="133">
        <f t="shared" si="118"/>
        <v>-202372.37810138462</v>
      </c>
      <c r="AE59" s="133">
        <f t="shared" si="118"/>
        <v>-219960.80751005019</v>
      </c>
      <c r="AF59" s="133">
        <f t="shared" si="118"/>
        <v>-220553.28542262735</v>
      </c>
      <c r="AG59" s="133">
        <f t="shared" si="118"/>
        <v>-221159.10455520725</v>
      </c>
      <c r="AH59" s="133">
        <f t="shared" si="118"/>
        <v>-221778.42180276895</v>
      </c>
      <c r="AI59" s="133">
        <f t="shared" si="118"/>
        <v>-222411.39573942486</v>
      </c>
      <c r="AJ59" s="133">
        <f t="shared" si="118"/>
        <v>-223058.18663602177</v>
      </c>
      <c r="AK59" s="133">
        <f t="shared" si="118"/>
        <v>-223718.95647792984</v>
      </c>
      <c r="AL59" s="133">
        <f t="shared" si="118"/>
        <v>-224393.86898301286</v>
      </c>
      <c r="AM59" s="133">
        <f t="shared" si="118"/>
        <v>-225083.08961978904</v>
      </c>
      <c r="AN59" s="133">
        <f t="shared" si="118"/>
        <v>-225786.7856257793</v>
      </c>
      <c r="AO59" s="133">
        <f t="shared" ref="AO59:BT59" si="119">SUM(AO50:AO54)+IF(AO$2=($C$5+$C$33),1,0)*(SUM($C$10)*($C$27)*($C$32))-AO49+IF(AO71&gt;0,-$C$34*IF(AO58-AO55=0,AO48,AO58-AO55),0)</f>
        <v>-226505.12602604879</v>
      </c>
      <c r="AP59" s="133">
        <f t="shared" si="119"/>
        <v>-227238.28165194014</v>
      </c>
      <c r="AQ59" s="133">
        <f t="shared" si="119"/>
        <v>-227986.42516000307</v>
      </c>
      <c r="AR59" s="133">
        <f t="shared" si="119"/>
        <v>-228749.73105112091</v>
      </c>
      <c r="AS59" s="133">
        <f t="shared" si="119"/>
        <v>-229528.37568983785</v>
      </c>
      <c r="AT59" s="133">
        <f t="shared" si="119"/>
        <v>-230322.53732388618</v>
      </c>
      <c r="AU59" s="133">
        <f t="shared" si="119"/>
        <v>-231132.39610391803</v>
      </c>
      <c r="AV59" s="133">
        <f t="shared" si="119"/>
        <v>-231958.13410344301</v>
      </c>
      <c r="AW59" s="133">
        <f t="shared" si="119"/>
        <v>-232799.93533897394</v>
      </c>
      <c r="AX59" s="133">
        <f t="shared" si="119"/>
        <v>-233657.98579038249</v>
      </c>
      <c r="AY59" s="133">
        <f t="shared" si="119"/>
        <v>-234532.47342146601</v>
      </c>
      <c r="AZ59" s="133">
        <f t="shared" si="119"/>
        <v>-235423.58820073179</v>
      </c>
      <c r="BA59" s="133">
        <f t="shared" si="119"/>
        <v>-236331.52212239522</v>
      </c>
      <c r="BB59" s="133">
        <f t="shared" si="119"/>
        <v>-237256.46922759782</v>
      </c>
      <c r="BC59" s="133">
        <f t="shared" si="119"/>
        <v>-238198.62562584842</v>
      </c>
      <c r="BD59" s="133">
        <f t="shared" si="119"/>
        <v>-239158.18951668381</v>
      </c>
      <c r="BE59" s="133">
        <f t="shared" si="119"/>
        <v>15146462.576606169</v>
      </c>
      <c r="BF59" s="133">
        <f t="shared" si="119"/>
        <v>0</v>
      </c>
      <c r="BG59" s="133">
        <f t="shared" si="119"/>
        <v>0</v>
      </c>
      <c r="BH59" s="133">
        <f t="shared" si="119"/>
        <v>0</v>
      </c>
      <c r="BI59" s="133">
        <f t="shared" si="119"/>
        <v>0</v>
      </c>
      <c r="BJ59" s="133">
        <f t="shared" si="119"/>
        <v>0</v>
      </c>
      <c r="BK59" s="133">
        <f t="shared" si="119"/>
        <v>0</v>
      </c>
      <c r="BL59" s="133">
        <f t="shared" si="119"/>
        <v>0</v>
      </c>
      <c r="BM59" s="133">
        <f t="shared" si="119"/>
        <v>0</v>
      </c>
      <c r="BN59" s="133">
        <f t="shared" si="119"/>
        <v>0</v>
      </c>
      <c r="BO59" s="133">
        <f t="shared" si="119"/>
        <v>0</v>
      </c>
      <c r="BP59" s="133">
        <f t="shared" si="119"/>
        <v>0</v>
      </c>
      <c r="BQ59" s="133">
        <f t="shared" si="119"/>
        <v>0</v>
      </c>
      <c r="BR59" s="133">
        <f t="shared" si="119"/>
        <v>0</v>
      </c>
      <c r="BS59" s="133">
        <f t="shared" si="119"/>
        <v>0</v>
      </c>
      <c r="BT59" s="133">
        <f t="shared" si="119"/>
        <v>0</v>
      </c>
      <c r="BU59" s="133">
        <f t="shared" ref="BU59:CZ59" si="120">SUM(BU50:BU54)+IF(BU$2=($C$5+$C$33),1,0)*(SUM($C$10)*($C$27)*($C$32))-BU49+IF(BU71&gt;0,-$C$34*IF(BU58-BU55=0,BU48,BU58-BU55),0)</f>
        <v>0</v>
      </c>
      <c r="BV59" s="133">
        <f t="shared" si="120"/>
        <v>0</v>
      </c>
      <c r="BW59" s="133">
        <f t="shared" si="120"/>
        <v>0</v>
      </c>
      <c r="BX59" s="133">
        <f t="shared" si="120"/>
        <v>0</v>
      </c>
      <c r="BY59" s="133">
        <f t="shared" si="120"/>
        <v>0</v>
      </c>
      <c r="BZ59" s="133">
        <f t="shared" si="120"/>
        <v>0</v>
      </c>
      <c r="CA59" s="133">
        <f t="shared" si="120"/>
        <v>0</v>
      </c>
      <c r="CB59" s="133">
        <f t="shared" si="120"/>
        <v>0</v>
      </c>
      <c r="CC59" s="133">
        <f t="shared" si="120"/>
        <v>0</v>
      </c>
      <c r="CD59" s="133">
        <f t="shared" si="120"/>
        <v>0</v>
      </c>
      <c r="CE59" s="133">
        <f t="shared" si="120"/>
        <v>0</v>
      </c>
      <c r="CF59" s="133">
        <f t="shared" si="120"/>
        <v>0</v>
      </c>
      <c r="CG59" s="133">
        <f t="shared" si="120"/>
        <v>0</v>
      </c>
      <c r="CH59" s="133">
        <f t="shared" si="120"/>
        <v>0</v>
      </c>
      <c r="CI59" s="133">
        <f t="shared" si="120"/>
        <v>0</v>
      </c>
      <c r="CJ59" s="133">
        <f t="shared" si="120"/>
        <v>0</v>
      </c>
      <c r="CK59" s="133">
        <f t="shared" si="120"/>
        <v>0</v>
      </c>
      <c r="CL59" s="133">
        <f t="shared" si="120"/>
        <v>0</v>
      </c>
      <c r="CM59" s="133">
        <f t="shared" si="120"/>
        <v>0</v>
      </c>
      <c r="CN59" s="133">
        <f t="shared" si="120"/>
        <v>0</v>
      </c>
      <c r="CO59" s="133">
        <f t="shared" si="120"/>
        <v>0</v>
      </c>
      <c r="CP59" s="133">
        <f t="shared" si="120"/>
        <v>0</v>
      </c>
      <c r="CQ59" s="133">
        <f t="shared" si="120"/>
        <v>0</v>
      </c>
      <c r="CR59" s="133">
        <f t="shared" si="120"/>
        <v>0</v>
      </c>
      <c r="CS59" s="133">
        <f t="shared" si="120"/>
        <v>0</v>
      </c>
      <c r="CT59" s="133">
        <f t="shared" si="120"/>
        <v>0</v>
      </c>
      <c r="CU59" s="133">
        <f t="shared" si="120"/>
        <v>0</v>
      </c>
      <c r="CV59" s="133">
        <f t="shared" si="120"/>
        <v>0</v>
      </c>
      <c r="CW59" s="133">
        <f t="shared" si="120"/>
        <v>0</v>
      </c>
      <c r="CX59" s="133">
        <f t="shared" si="120"/>
        <v>0</v>
      </c>
      <c r="CY59" s="133">
        <f t="shared" si="120"/>
        <v>0</v>
      </c>
      <c r="CZ59" s="133">
        <f t="shared" si="120"/>
        <v>0</v>
      </c>
      <c r="DA59" s="133">
        <f t="shared" ref="DA59:DD59" si="121">SUM(DA50:DA54)+IF(DA$2=($C$5+$C$33),1,0)*(SUM($C$10)*($C$27)*($C$32))-DA49+IF(DA71&gt;0,-$C$34*IF(DA58-DA55=0,DA48,DA58-DA55),0)</f>
        <v>0</v>
      </c>
      <c r="DB59" s="133">
        <f t="shared" si="121"/>
        <v>0</v>
      </c>
      <c r="DC59" s="133">
        <f t="shared" si="121"/>
        <v>0</v>
      </c>
      <c r="DD59" s="133">
        <f t="shared" si="121"/>
        <v>0</v>
      </c>
      <c r="DE59" s="133">
        <f>SUM(H59:DD59)</f>
        <v>3704513.8841629121</v>
      </c>
    </row>
    <row r="60" spans="2:109">
      <c r="B60" t="s">
        <v>198</v>
      </c>
      <c r="C60" s="86">
        <f>-FV($C$37/12,$C$5,'Tablas&amp;Gastos'!F9)*SUM($C$10:$C$12)/$C$5</f>
        <v>97568.509069871623</v>
      </c>
      <c r="E60" s="159">
        <f>'Tablas&amp;Gastos'!F9</f>
        <v>89274.967500000013</v>
      </c>
      <c r="G60" s="134" t="s">
        <v>423</v>
      </c>
      <c r="H60" s="135">
        <f>IRR(H59:DD59,0)</f>
        <v>1.0499551422800568E-2</v>
      </c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  <c r="AB60" s="104"/>
      <c r="AC60" s="104"/>
      <c r="AD60" s="104"/>
      <c r="AE60" s="104"/>
      <c r="AF60" s="129"/>
      <c r="AG60" s="129"/>
      <c r="AH60" s="129"/>
      <c r="AI60" s="104"/>
      <c r="AJ60" s="104"/>
      <c r="AK60" s="104"/>
      <c r="AL60" s="104"/>
      <c r="AM60" s="104"/>
      <c r="AN60" s="104"/>
      <c r="AO60" s="104"/>
      <c r="AP60" s="104"/>
      <c r="AQ60" s="104"/>
      <c r="AR60" s="104"/>
      <c r="AS60" s="104"/>
      <c r="AT60" s="104"/>
      <c r="AU60" s="104"/>
      <c r="AV60" s="104"/>
      <c r="AW60" s="104"/>
      <c r="AX60" s="104"/>
      <c r="AY60" s="104"/>
      <c r="AZ60" s="104"/>
      <c r="BA60" s="104"/>
      <c r="BB60" s="104"/>
      <c r="BC60" s="104"/>
      <c r="BD60" s="104"/>
      <c r="BE60" s="104"/>
      <c r="BF60" s="104"/>
      <c r="BG60" s="104"/>
      <c r="BH60" s="104"/>
      <c r="BI60" s="104"/>
      <c r="BJ60" s="104"/>
      <c r="BK60" s="104"/>
      <c r="BL60" s="104"/>
      <c r="BM60" s="104"/>
      <c r="BN60" s="104"/>
      <c r="BO60" s="104"/>
      <c r="BP60" s="104"/>
      <c r="BQ60" s="104"/>
      <c r="BR60" s="104"/>
      <c r="BS60" s="104"/>
      <c r="BT60" s="104"/>
      <c r="BU60" s="104"/>
      <c r="BV60" s="104"/>
      <c r="BW60" s="104"/>
      <c r="BX60" s="104"/>
      <c r="BY60" s="104"/>
      <c r="BZ60" s="104"/>
      <c r="CA60" s="104"/>
      <c r="CB60" s="104"/>
      <c r="CC60" s="104"/>
      <c r="CD60" s="104"/>
      <c r="CE60" s="104"/>
      <c r="CF60" s="104"/>
      <c r="CG60" s="104"/>
      <c r="CH60" s="104"/>
      <c r="CI60" s="104"/>
      <c r="CJ60" s="104"/>
      <c r="CK60" s="104"/>
      <c r="CL60" s="104"/>
      <c r="CM60" s="104"/>
      <c r="CN60" s="104"/>
      <c r="CO60" s="104"/>
      <c r="CP60" s="104"/>
      <c r="CQ60" s="104"/>
      <c r="CR60" s="104"/>
      <c r="CS60" s="104"/>
      <c r="CT60" s="104"/>
      <c r="CU60" s="104"/>
      <c r="CV60" s="104"/>
      <c r="CW60" s="104"/>
      <c r="CX60" s="104"/>
      <c r="CY60" s="104"/>
      <c r="CZ60" s="104"/>
      <c r="DA60" s="104"/>
      <c r="DB60" s="104"/>
      <c r="DC60" s="104"/>
      <c r="DD60" s="104"/>
      <c r="DE60" s="104"/>
    </row>
    <row r="61" spans="2:109">
      <c r="B61" t="s">
        <v>199</v>
      </c>
      <c r="C61" s="86">
        <f>-FV($C$37/12,$C$5,'Tablas&amp;Gastos'!F10)*SUM($C$10:$C$12)/$C$5</f>
        <v>1654.3756300389375</v>
      </c>
      <c r="E61" s="159">
        <f>'Tablas&amp;Gastos'!F10</f>
        <v>1513.75</v>
      </c>
      <c r="G61" s="136" t="s">
        <v>424</v>
      </c>
      <c r="H61" s="137">
        <f>((1+H60)^12)-1</f>
        <v>0.13353125825643986</v>
      </c>
      <c r="I61" s="118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4"/>
      <c r="AT61" s="104"/>
      <c r="AU61" s="104"/>
      <c r="AV61" s="104"/>
      <c r="AW61" s="104"/>
      <c r="AX61" s="104"/>
      <c r="AY61" s="104"/>
      <c r="AZ61" s="104"/>
      <c r="BA61" s="104"/>
      <c r="BB61" s="104"/>
      <c r="BC61" s="104"/>
      <c r="BD61" s="104"/>
      <c r="BE61" s="104"/>
      <c r="BF61" s="104"/>
      <c r="BG61" s="104"/>
      <c r="BH61" s="104"/>
      <c r="BI61" s="104"/>
      <c r="BJ61" s="104"/>
      <c r="BK61" s="104"/>
      <c r="BL61" s="104"/>
      <c r="BM61" s="104"/>
      <c r="BN61" s="104"/>
      <c r="BO61" s="104"/>
      <c r="BP61" s="104"/>
      <c r="BQ61" s="104"/>
      <c r="BR61" s="104"/>
      <c r="BS61" s="104"/>
      <c r="BT61" s="104"/>
      <c r="BU61" s="104"/>
      <c r="BV61" s="104"/>
      <c r="BW61" s="104"/>
      <c r="BX61" s="104"/>
      <c r="BY61" s="104"/>
      <c r="BZ61" s="104"/>
      <c r="CA61" s="104"/>
      <c r="CB61" s="104"/>
      <c r="CC61" s="104"/>
      <c r="CD61" s="104"/>
      <c r="CE61" s="104"/>
      <c r="CF61" s="104"/>
      <c r="CG61" s="104"/>
      <c r="CH61" s="104"/>
      <c r="CI61" s="104"/>
      <c r="CJ61" s="104"/>
      <c r="CK61" s="104"/>
      <c r="CL61" s="104"/>
      <c r="CM61" s="104"/>
      <c r="CN61" s="104"/>
      <c r="CO61" s="104"/>
      <c r="CP61" s="104"/>
      <c r="CQ61" s="104"/>
      <c r="CR61" s="104"/>
      <c r="CS61" s="104"/>
      <c r="CT61" s="104"/>
      <c r="CU61" s="104"/>
      <c r="CV61" s="104"/>
      <c r="CW61" s="104"/>
      <c r="CX61" s="104"/>
      <c r="CY61" s="104"/>
      <c r="CZ61" s="104"/>
      <c r="DA61" s="104"/>
      <c r="DB61" s="104"/>
      <c r="DC61" s="104"/>
      <c r="DD61" s="104"/>
      <c r="DE61" s="104"/>
    </row>
    <row r="62" spans="2:109">
      <c r="B62" t="s">
        <v>200</v>
      </c>
      <c r="C62" s="86">
        <f>-FV($C$37/12,$C$5,'Tablas&amp;Gastos'!F11)*SUM($C$10:$C$12)/$C$5</f>
        <v>792.35166426307478</v>
      </c>
      <c r="E62" s="159">
        <f>'Tablas&amp;Gastos'!F11</f>
        <v>725</v>
      </c>
      <c r="H62" s="117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</row>
    <row r="63" spans="2:109">
      <c r="B63" t="s">
        <v>201</v>
      </c>
      <c r="C63" s="86">
        <f>-FV($C$37/12,$C$5,'Tablas&amp;Gastos'!F12)*SUM($C$10:$C$12)/$C$5</f>
        <v>3019.1330655541301</v>
      </c>
      <c r="E63" s="159">
        <f>'Tablas&amp;Gastos'!F12</f>
        <v>2762.5</v>
      </c>
      <c r="G63" s="138" t="s">
        <v>428</v>
      </c>
    </row>
    <row r="64" spans="2:109">
      <c r="B64" t="s">
        <v>425</v>
      </c>
      <c r="C64" s="86">
        <f>-FV($C$37/12,$C$5,'Tablas&amp;Gastos'!F13)*SUM($C$10:$C$12)/$C$5</f>
        <v>5417.2832829680592</v>
      </c>
      <c r="E64" s="159">
        <f>'Tablas&amp;Gastos'!F13</f>
        <v>4956.802083333333</v>
      </c>
      <c r="G64" s="96" t="s">
        <v>233</v>
      </c>
      <c r="H64" s="97">
        <f>H14</f>
        <v>0</v>
      </c>
      <c r="I64" s="97">
        <f t="shared" ref="I64" si="122">H64+I14</f>
        <v>207911.90691916668</v>
      </c>
      <c r="J64" s="97">
        <f t="shared" ref="J64:AO64" si="123">I64+J14</f>
        <v>416998.09423063113</v>
      </c>
      <c r="K64" s="97">
        <f t="shared" si="123"/>
        <v>627261.49763537431</v>
      </c>
      <c r="L64" s="97">
        <f t="shared" si="123"/>
        <v>838705.06017362932</v>
      </c>
      <c r="M64" s="97">
        <f t="shared" si="123"/>
        <v>1051331.7322432299</v>
      </c>
      <c r="N64" s="97">
        <f t="shared" si="123"/>
        <v>1265144.4716180046</v>
      </c>
      <c r="O64" s="97">
        <f t="shared" si="123"/>
        <v>1480146.2434662161</v>
      </c>
      <c r="P64" s="97">
        <f t="shared" si="123"/>
        <v>1696340.0203690482</v>
      </c>
      <c r="Q64" s="97">
        <f t="shared" si="123"/>
        <v>1913728.7823391373</v>
      </c>
      <c r="R64" s="97">
        <f t="shared" si="123"/>
        <v>2132315.5168391517</v>
      </c>
      <c r="S64" s="97">
        <f t="shared" si="123"/>
        <v>2352103.2188004162</v>
      </c>
      <c r="T64" s="97">
        <f t="shared" si="123"/>
        <v>2573094.8906415836</v>
      </c>
      <c r="U64" s="97">
        <f t="shared" si="123"/>
        <v>2795293.5422873539</v>
      </c>
      <c r="V64" s="97">
        <f t="shared" si="123"/>
        <v>3018702.1911872388</v>
      </c>
      <c r="W64" s="97">
        <f t="shared" si="123"/>
        <v>3243323.8623343734</v>
      </c>
      <c r="X64" s="97">
        <f t="shared" si="123"/>
        <v>3469161.5882843756</v>
      </c>
      <c r="Y64" s="97">
        <f t="shared" si="123"/>
        <v>3696218.4091742528</v>
      </c>
      <c r="Z64" s="97">
        <f t="shared" si="123"/>
        <v>3924497.3727413546</v>
      </c>
      <c r="AA64" s="97">
        <f t="shared" si="123"/>
        <v>4154001.5343423742</v>
      </c>
      <c r="AB64" s="97">
        <f t="shared" si="123"/>
        <v>4384733.956972396</v>
      </c>
      <c r="AC64" s="97">
        <f t="shared" si="123"/>
        <v>4616697.711283993</v>
      </c>
      <c r="AD64" s="97">
        <f t="shared" si="123"/>
        <v>4849895.8756063692</v>
      </c>
      <c r="AE64" s="97">
        <f t="shared" si="123"/>
        <v>5084331.5359645514</v>
      </c>
      <c r="AF64" s="97">
        <f t="shared" si="123"/>
        <v>5320007.7860986292</v>
      </c>
      <c r="AG64" s="97">
        <f t="shared" si="123"/>
        <v>5556927.7274830416</v>
      </c>
      <c r="AH64" s="97">
        <f t="shared" si="123"/>
        <v>5795094.4693459151</v>
      </c>
      <c r="AI64" s="97">
        <f t="shared" si="123"/>
        <v>6034511.1286884462</v>
      </c>
      <c r="AJ64" s="97">
        <f t="shared" si="123"/>
        <v>6275180.830304333</v>
      </c>
      <c r="AK64" s="97">
        <f t="shared" si="123"/>
        <v>6517106.7067992594</v>
      </c>
      <c r="AL64" s="97">
        <f t="shared" si="123"/>
        <v>6760291.8986104233</v>
      </c>
      <c r="AM64" s="97">
        <f t="shared" si="123"/>
        <v>7004739.5540261157</v>
      </c>
      <c r="AN64" s="97">
        <f t="shared" si="123"/>
        <v>7250452.8292053472</v>
      </c>
      <c r="AO64" s="97">
        <f t="shared" si="123"/>
        <v>7497434.8881975263</v>
      </c>
      <c r="AP64" s="97">
        <f t="shared" ref="AP64:BU64" si="124">AO64+AP14</f>
        <v>7745688.9029621864</v>
      </c>
      <c r="AQ64" s="97">
        <f t="shared" si="124"/>
        <v>7995218.0533887576</v>
      </c>
      <c r="AR64" s="97">
        <f t="shared" si="124"/>
        <v>8246025.5273163952</v>
      </c>
      <c r="AS64" s="97">
        <f t="shared" si="124"/>
        <v>8498114.5205538515</v>
      </c>
      <c r="AT64" s="97">
        <f t="shared" si="124"/>
        <v>8751488.236899402</v>
      </c>
      <c r="AU64" s="97">
        <f t="shared" si="124"/>
        <v>9006149.8881608155</v>
      </c>
      <c r="AV64" s="97">
        <f t="shared" si="124"/>
        <v>9262102.6941753831</v>
      </c>
      <c r="AW64" s="97">
        <f t="shared" si="124"/>
        <v>9519349.8828299865</v>
      </c>
      <c r="AX64" s="97">
        <f t="shared" si="124"/>
        <v>9777894.6900812276</v>
      </c>
      <c r="AY64" s="97">
        <f t="shared" si="124"/>
        <v>10037740.359975597</v>
      </c>
      <c r="AZ64" s="97">
        <f t="shared" si="124"/>
        <v>10298890.144669702</v>
      </c>
      <c r="BA64" s="97">
        <f t="shared" si="124"/>
        <v>10561347.304450542</v>
      </c>
      <c r="BB64" s="97">
        <f t="shared" si="124"/>
        <v>10825115.107755834</v>
      </c>
      <c r="BC64" s="97">
        <f t="shared" si="124"/>
        <v>11090196.83119439</v>
      </c>
      <c r="BD64" s="97">
        <f t="shared" si="124"/>
        <v>11356595.759566542</v>
      </c>
      <c r="BE64" s="97">
        <f t="shared" si="124"/>
        <v>11356595.759566542</v>
      </c>
      <c r="BF64" s="97">
        <f t="shared" si="124"/>
        <v>11356595.759566542</v>
      </c>
      <c r="BG64" s="97">
        <f t="shared" si="124"/>
        <v>11356595.759566542</v>
      </c>
      <c r="BH64" s="97">
        <f t="shared" si="124"/>
        <v>11356595.759566542</v>
      </c>
      <c r="BI64" s="97">
        <f t="shared" si="124"/>
        <v>11356595.759566542</v>
      </c>
      <c r="BJ64" s="97">
        <f t="shared" si="124"/>
        <v>11356595.759566542</v>
      </c>
      <c r="BK64" s="97">
        <f t="shared" si="124"/>
        <v>11356595.759566542</v>
      </c>
      <c r="BL64" s="97">
        <f t="shared" si="124"/>
        <v>11356595.759566542</v>
      </c>
      <c r="BM64" s="97">
        <f t="shared" si="124"/>
        <v>11356595.759566542</v>
      </c>
      <c r="BN64" s="97">
        <f t="shared" si="124"/>
        <v>11356595.759566542</v>
      </c>
      <c r="BO64" s="97">
        <f t="shared" si="124"/>
        <v>11356595.759566542</v>
      </c>
      <c r="BP64" s="97">
        <f t="shared" si="124"/>
        <v>11356595.759566542</v>
      </c>
      <c r="BQ64" s="97">
        <f t="shared" si="124"/>
        <v>11356595.759566542</v>
      </c>
      <c r="BR64" s="97">
        <f t="shared" si="124"/>
        <v>11356595.759566542</v>
      </c>
      <c r="BS64" s="97">
        <f t="shared" si="124"/>
        <v>11356595.759566542</v>
      </c>
      <c r="BT64" s="97">
        <f t="shared" si="124"/>
        <v>11356595.759566542</v>
      </c>
      <c r="BU64" s="97">
        <f t="shared" si="124"/>
        <v>11356595.759566542</v>
      </c>
      <c r="BV64" s="97">
        <f t="shared" ref="BV64:DD64" si="125">BU64+BV14</f>
        <v>11356595.759566542</v>
      </c>
      <c r="BW64" s="97">
        <f t="shared" si="125"/>
        <v>11356595.759566542</v>
      </c>
      <c r="BX64" s="97">
        <f t="shared" si="125"/>
        <v>11356595.759566542</v>
      </c>
      <c r="BY64" s="97">
        <f t="shared" si="125"/>
        <v>11356595.759566542</v>
      </c>
      <c r="BZ64" s="97">
        <f t="shared" si="125"/>
        <v>11356595.759566542</v>
      </c>
      <c r="CA64" s="97">
        <f t="shared" si="125"/>
        <v>11356595.759566542</v>
      </c>
      <c r="CB64" s="97">
        <f t="shared" si="125"/>
        <v>11356595.759566542</v>
      </c>
      <c r="CC64" s="97">
        <f t="shared" si="125"/>
        <v>11356595.759566542</v>
      </c>
      <c r="CD64" s="97">
        <f t="shared" si="125"/>
        <v>11356595.759566542</v>
      </c>
      <c r="CE64" s="97">
        <f t="shared" si="125"/>
        <v>11356595.759566542</v>
      </c>
      <c r="CF64" s="97">
        <f t="shared" si="125"/>
        <v>11356595.759566542</v>
      </c>
      <c r="CG64" s="97">
        <f t="shared" si="125"/>
        <v>11356595.759566542</v>
      </c>
      <c r="CH64" s="97">
        <f t="shared" si="125"/>
        <v>11356595.759566542</v>
      </c>
      <c r="CI64" s="97">
        <f t="shared" si="125"/>
        <v>11356595.759566542</v>
      </c>
      <c r="CJ64" s="97">
        <f t="shared" si="125"/>
        <v>11356595.759566542</v>
      </c>
      <c r="CK64" s="97">
        <f t="shared" si="125"/>
        <v>11356595.759566542</v>
      </c>
      <c r="CL64" s="97">
        <f t="shared" si="125"/>
        <v>11356595.759566542</v>
      </c>
      <c r="CM64" s="97">
        <f t="shared" si="125"/>
        <v>11356595.759566542</v>
      </c>
      <c r="CN64" s="97">
        <f t="shared" si="125"/>
        <v>11356595.759566542</v>
      </c>
      <c r="CO64" s="97">
        <f t="shared" si="125"/>
        <v>11356595.759566542</v>
      </c>
      <c r="CP64" s="97">
        <f t="shared" si="125"/>
        <v>11356595.759566542</v>
      </c>
      <c r="CQ64" s="97">
        <f t="shared" si="125"/>
        <v>11356595.759566542</v>
      </c>
      <c r="CR64" s="97">
        <f t="shared" si="125"/>
        <v>11356595.759566542</v>
      </c>
      <c r="CS64" s="97">
        <f t="shared" si="125"/>
        <v>11356595.759566542</v>
      </c>
      <c r="CT64" s="97">
        <f t="shared" si="125"/>
        <v>11356595.759566542</v>
      </c>
      <c r="CU64" s="97">
        <f t="shared" si="125"/>
        <v>11356595.759566542</v>
      </c>
      <c r="CV64" s="97">
        <f t="shared" si="125"/>
        <v>11356595.759566542</v>
      </c>
      <c r="CW64" s="97">
        <f t="shared" si="125"/>
        <v>11356595.759566542</v>
      </c>
      <c r="CX64" s="97">
        <f t="shared" si="125"/>
        <v>11356595.759566542</v>
      </c>
      <c r="CY64" s="97">
        <f t="shared" si="125"/>
        <v>11356595.759566542</v>
      </c>
      <c r="CZ64" s="97">
        <f t="shared" si="125"/>
        <v>11356595.759566542</v>
      </c>
      <c r="DA64" s="97">
        <f t="shared" si="125"/>
        <v>11356595.759566542</v>
      </c>
      <c r="DB64" s="97">
        <f t="shared" si="125"/>
        <v>11356595.759566542</v>
      </c>
      <c r="DC64" s="97">
        <f t="shared" si="125"/>
        <v>11356595.759566542</v>
      </c>
      <c r="DD64" s="97">
        <f t="shared" si="125"/>
        <v>11356595.759566542</v>
      </c>
    </row>
    <row r="65" spans="2:108">
      <c r="B65" t="s">
        <v>202</v>
      </c>
      <c r="C65" s="86">
        <f>-FV($C$37/12,$C$5,'Tablas&amp;Gastos'!F14)*SUM($C$10:$C$12)/$C$5</f>
        <v>62083.74197335916</v>
      </c>
      <c r="E65" s="159">
        <f>'Tablas&amp;Gastos'!F14</f>
        <v>56806.484999999993</v>
      </c>
      <c r="G65" t="s">
        <v>232</v>
      </c>
      <c r="H65" s="86">
        <f>H31</f>
        <v>0</v>
      </c>
      <c r="I65" s="86">
        <f t="shared" ref="I65" si="126">H65+I31</f>
        <v>243961.90691916668</v>
      </c>
      <c r="J65" s="86">
        <f t="shared" ref="J65:AO65" si="127">I65+J31</f>
        <v>489188.21923063113</v>
      </c>
      <c r="K65" s="86">
        <f t="shared" si="127"/>
        <v>735682.09794787434</v>
      </c>
      <c r="L65" s="86">
        <f t="shared" si="127"/>
        <v>983446.71198691055</v>
      </c>
      <c r="M65" s="86">
        <f t="shared" si="127"/>
        <v>1232485.2381860444</v>
      </c>
      <c r="N65" s="86">
        <f t="shared" si="127"/>
        <v>1482800.8613256761</v>
      </c>
      <c r="O65" s="86">
        <f t="shared" si="127"/>
        <v>1734396.7741481569</v>
      </c>
      <c r="P65" s="86">
        <f t="shared" si="127"/>
        <v>1987276.1773776936</v>
      </c>
      <c r="Q65" s="86">
        <f t="shared" si="127"/>
        <v>2241442.2797403042</v>
      </c>
      <c r="R65" s="86">
        <f t="shared" si="127"/>
        <v>2496898.2979838215</v>
      </c>
      <c r="S65" s="86">
        <f t="shared" si="127"/>
        <v>2753647.4568979475</v>
      </c>
      <c r="T65" s="86">
        <f t="shared" si="127"/>
        <v>3011692.9893343588</v>
      </c>
      <c r="U65" s="86">
        <f t="shared" si="127"/>
        <v>3271038.1362268613</v>
      </c>
      <c r="V65" s="86">
        <f t="shared" si="127"/>
        <v>3531686.1466115946</v>
      </c>
      <c r="W65" s="86">
        <f t="shared" si="127"/>
        <v>3793640.2776472899</v>
      </c>
      <c r="X65" s="86">
        <f t="shared" si="127"/>
        <v>4056903.7946355743</v>
      </c>
      <c r="Y65" s="86">
        <f t="shared" si="127"/>
        <v>4321479.9710413292</v>
      </c>
      <c r="Z65" s="86">
        <f t="shared" si="127"/>
        <v>4587372.0885130987</v>
      </c>
      <c r="AA65" s="86">
        <f t="shared" si="127"/>
        <v>4854583.4369035475</v>
      </c>
      <c r="AB65" s="86">
        <f t="shared" si="127"/>
        <v>5123117.3142899722</v>
      </c>
      <c r="AC65" s="86">
        <f t="shared" si="127"/>
        <v>5392977.0269948635</v>
      </c>
      <c r="AD65" s="86">
        <f t="shared" si="127"/>
        <v>5664165.8896065168</v>
      </c>
      <c r="AE65" s="86">
        <f t="shared" si="127"/>
        <v>5936687.2249996988</v>
      </c>
      <c r="AF65" s="86">
        <f t="shared" si="127"/>
        <v>6210544.3643563641</v>
      </c>
      <c r="AG65" s="86">
        <f t="shared" si="127"/>
        <v>6485740.6471864209</v>
      </c>
      <c r="AH65" s="86">
        <f t="shared" si="127"/>
        <v>6762279.4213485532</v>
      </c>
      <c r="AI65" s="86">
        <f t="shared" si="127"/>
        <v>7040164.0430710902</v>
      </c>
      <c r="AJ65" s="86">
        <f t="shared" si="127"/>
        <v>7319397.8769729342</v>
      </c>
      <c r="AK65" s="86">
        <f t="shared" si="127"/>
        <v>7599984.2960845325</v>
      </c>
      <c r="AL65" s="86">
        <f t="shared" si="127"/>
        <v>7881926.6818689099</v>
      </c>
      <c r="AM65" s="86">
        <f t="shared" si="127"/>
        <v>8165228.4242427479</v>
      </c>
      <c r="AN65" s="86">
        <f t="shared" si="127"/>
        <v>8449892.9215975199</v>
      </c>
      <c r="AO65" s="86">
        <f t="shared" si="127"/>
        <v>8735923.5808206797</v>
      </c>
      <c r="AP65" s="86">
        <f t="shared" ref="AP65:BU65" si="128">AO65+AP31</f>
        <v>9023323.8173168972</v>
      </c>
      <c r="AQ65" s="86">
        <f t="shared" si="128"/>
        <v>9312097.055029355</v>
      </c>
      <c r="AR65" s="86">
        <f t="shared" si="128"/>
        <v>9602246.7264610939</v>
      </c>
      <c r="AS65" s="86">
        <f t="shared" si="128"/>
        <v>9893776.2726964131</v>
      </c>
      <c r="AT65" s="86">
        <f t="shared" si="128"/>
        <v>10186689.14342232</v>
      </c>
      <c r="AU65" s="86">
        <f t="shared" si="128"/>
        <v>10480988.796950042</v>
      </c>
      <c r="AV65" s="86">
        <f t="shared" si="128"/>
        <v>10776678.700236583</v>
      </c>
      <c r="AW65" s="86">
        <f t="shared" si="128"/>
        <v>11073762.328906341</v>
      </c>
      <c r="AX65" s="86">
        <f t="shared" si="128"/>
        <v>11372243.167272773</v>
      </c>
      <c r="AY65" s="86">
        <f t="shared" si="128"/>
        <v>11672124.708360121</v>
      </c>
      <c r="AZ65" s="86">
        <f t="shared" si="128"/>
        <v>11973410.453925187</v>
      </c>
      <c r="BA65" s="86">
        <f t="shared" si="128"/>
        <v>12276103.914479166</v>
      </c>
      <c r="BB65" s="86">
        <f t="shared" si="128"/>
        <v>12580208.60930953</v>
      </c>
      <c r="BC65" s="86">
        <f t="shared" si="128"/>
        <v>12885728.066501969</v>
      </c>
      <c r="BD65" s="86">
        <f t="shared" si="128"/>
        <v>13192665.82296239</v>
      </c>
      <c r="BE65" s="86">
        <f t="shared" si="128"/>
        <v>13192665.82296239</v>
      </c>
      <c r="BF65" s="86">
        <f t="shared" si="128"/>
        <v>13192665.82296239</v>
      </c>
      <c r="BG65" s="86">
        <f t="shared" si="128"/>
        <v>13192665.82296239</v>
      </c>
      <c r="BH65" s="86">
        <f t="shared" si="128"/>
        <v>13192665.82296239</v>
      </c>
      <c r="BI65" s="86">
        <f t="shared" si="128"/>
        <v>13192665.82296239</v>
      </c>
      <c r="BJ65" s="86">
        <f t="shared" si="128"/>
        <v>13192665.82296239</v>
      </c>
      <c r="BK65" s="86">
        <f t="shared" si="128"/>
        <v>13192665.82296239</v>
      </c>
      <c r="BL65" s="86">
        <f t="shared" si="128"/>
        <v>13192665.82296239</v>
      </c>
      <c r="BM65" s="86">
        <f t="shared" si="128"/>
        <v>13192665.82296239</v>
      </c>
      <c r="BN65" s="86">
        <f t="shared" si="128"/>
        <v>13192665.82296239</v>
      </c>
      <c r="BO65" s="86">
        <f t="shared" si="128"/>
        <v>13192665.82296239</v>
      </c>
      <c r="BP65" s="86">
        <f t="shared" si="128"/>
        <v>13192665.82296239</v>
      </c>
      <c r="BQ65" s="86">
        <f t="shared" si="128"/>
        <v>13192665.82296239</v>
      </c>
      <c r="BR65" s="86">
        <f t="shared" si="128"/>
        <v>13192665.82296239</v>
      </c>
      <c r="BS65" s="86">
        <f t="shared" si="128"/>
        <v>13192665.82296239</v>
      </c>
      <c r="BT65" s="86">
        <f t="shared" si="128"/>
        <v>13192665.82296239</v>
      </c>
      <c r="BU65" s="86">
        <f t="shared" si="128"/>
        <v>13192665.82296239</v>
      </c>
      <c r="BV65" s="86">
        <f t="shared" ref="BV65:DD65" si="129">BU65+BV31</f>
        <v>13192665.82296239</v>
      </c>
      <c r="BW65" s="86">
        <f t="shared" si="129"/>
        <v>13192665.82296239</v>
      </c>
      <c r="BX65" s="86">
        <f t="shared" si="129"/>
        <v>13192665.82296239</v>
      </c>
      <c r="BY65" s="86">
        <f t="shared" si="129"/>
        <v>13192665.82296239</v>
      </c>
      <c r="BZ65" s="86">
        <f t="shared" si="129"/>
        <v>13192665.82296239</v>
      </c>
      <c r="CA65" s="86">
        <f t="shared" si="129"/>
        <v>13192665.82296239</v>
      </c>
      <c r="CB65" s="86">
        <f t="shared" si="129"/>
        <v>13192665.82296239</v>
      </c>
      <c r="CC65" s="86">
        <f t="shared" si="129"/>
        <v>13192665.82296239</v>
      </c>
      <c r="CD65" s="86">
        <f t="shared" si="129"/>
        <v>13192665.82296239</v>
      </c>
      <c r="CE65" s="86">
        <f t="shared" si="129"/>
        <v>13192665.82296239</v>
      </c>
      <c r="CF65" s="86">
        <f t="shared" si="129"/>
        <v>13192665.82296239</v>
      </c>
      <c r="CG65" s="86">
        <f t="shared" si="129"/>
        <v>13192665.82296239</v>
      </c>
      <c r="CH65" s="86">
        <f t="shared" si="129"/>
        <v>13192665.82296239</v>
      </c>
      <c r="CI65" s="86">
        <f t="shared" si="129"/>
        <v>13192665.82296239</v>
      </c>
      <c r="CJ65" s="86">
        <f t="shared" si="129"/>
        <v>13192665.82296239</v>
      </c>
      <c r="CK65" s="86">
        <f t="shared" si="129"/>
        <v>13192665.82296239</v>
      </c>
      <c r="CL65" s="86">
        <f t="shared" si="129"/>
        <v>13192665.82296239</v>
      </c>
      <c r="CM65" s="86">
        <f t="shared" si="129"/>
        <v>13192665.82296239</v>
      </c>
      <c r="CN65" s="86">
        <f t="shared" si="129"/>
        <v>13192665.82296239</v>
      </c>
      <c r="CO65" s="86">
        <f t="shared" si="129"/>
        <v>13192665.82296239</v>
      </c>
      <c r="CP65" s="86">
        <f t="shared" si="129"/>
        <v>13192665.82296239</v>
      </c>
      <c r="CQ65" s="86">
        <f t="shared" si="129"/>
        <v>13192665.82296239</v>
      </c>
      <c r="CR65" s="86">
        <f t="shared" si="129"/>
        <v>13192665.82296239</v>
      </c>
      <c r="CS65" s="86">
        <f t="shared" si="129"/>
        <v>13192665.82296239</v>
      </c>
      <c r="CT65" s="86">
        <f t="shared" si="129"/>
        <v>13192665.82296239</v>
      </c>
      <c r="CU65" s="86">
        <f t="shared" si="129"/>
        <v>13192665.82296239</v>
      </c>
      <c r="CV65" s="86">
        <f t="shared" si="129"/>
        <v>13192665.82296239</v>
      </c>
      <c r="CW65" s="86">
        <f t="shared" si="129"/>
        <v>13192665.82296239</v>
      </c>
      <c r="CX65" s="86">
        <f t="shared" si="129"/>
        <v>13192665.82296239</v>
      </c>
      <c r="CY65" s="86">
        <f t="shared" si="129"/>
        <v>13192665.82296239</v>
      </c>
      <c r="CZ65" s="86">
        <f t="shared" si="129"/>
        <v>13192665.82296239</v>
      </c>
      <c r="DA65" s="86">
        <f t="shared" si="129"/>
        <v>13192665.82296239</v>
      </c>
      <c r="DB65" s="86">
        <f t="shared" si="129"/>
        <v>13192665.82296239</v>
      </c>
      <c r="DC65" s="86">
        <f t="shared" si="129"/>
        <v>13192665.82296239</v>
      </c>
      <c r="DD65" s="86">
        <f t="shared" si="129"/>
        <v>13192665.82296239</v>
      </c>
    </row>
    <row r="66" spans="2:108">
      <c r="B66" t="s">
        <v>478</v>
      </c>
      <c r="C66" s="157">
        <f>-FV($C$37/12,$C$5,$C$6*$C$7*$C$9)/$C$5</f>
        <v>8070.5692171806704</v>
      </c>
      <c r="E66" s="159">
        <f>IF(I$2&lt;=$C$5,1,0)*(I$5*$C$9)</f>
        <v>7606.0893599999999</v>
      </c>
      <c r="G66" s="100" t="s">
        <v>231</v>
      </c>
      <c r="H66" s="101">
        <f>H48</f>
        <v>0</v>
      </c>
      <c r="I66" s="101">
        <f>H66+I48</f>
        <v>-65386.790997499949</v>
      </c>
      <c r="J66" s="101">
        <f>I66+J48</f>
        <v>-125181.88395158655</v>
      </c>
      <c r="K66" s="101">
        <f t="shared" ref="K66" si="130">J66+K48</f>
        <v>-179336.32839407976</v>
      </c>
      <c r="L66" s="101">
        <f t="shared" ref="L66" si="131">K66+L48</f>
        <v>-227800.68719705578</v>
      </c>
      <c r="M66" s="101">
        <f t="shared" ref="M66" si="132">L66+M48</f>
        <v>-270525.03156157647</v>
      </c>
      <c r="N66" s="101">
        <f t="shared" ref="N66" si="133">M66+N48</f>
        <v>-307458.93595436437</v>
      </c>
      <c r="O66" s="101">
        <f t="shared" ref="O66" si="134">N66+O48</f>
        <v>-338551.47299187991</v>
      </c>
      <c r="P66" s="101">
        <f t="shared" ref="P66" si="135">O66+P48</f>
        <v>-363751.20827125385</v>
      </c>
      <c r="Q66" s="101">
        <f t="shared" ref="Q66" si="136">P66+Q48</f>
        <v>-383006.19514752121</v>
      </c>
      <c r="R66" s="101">
        <f t="shared" ref="R66" si="137">Q66+R48</f>
        <v>-396263.96945659863</v>
      </c>
      <c r="S66" s="101">
        <f t="shared" ref="S66" si="138">R66+S48</f>
        <v>-403471.54418343987</v>
      </c>
      <c r="T66" s="101">
        <f t="shared" ref="T66" si="139">S66+T48</f>
        <v>-404575.40407479845</v>
      </c>
      <c r="U66" s="101">
        <f t="shared" ref="U66" si="140">T66+U48</f>
        <v>-399521.50019602029</v>
      </c>
      <c r="V66" s="101">
        <f t="shared" ref="V66" si="141">U66+V48</f>
        <v>-388255.24443128635</v>
      </c>
      <c r="W66" s="101">
        <f t="shared" ref="W66" si="142">V66+W48</f>
        <v>-370721.50392671314</v>
      </c>
      <c r="X66" s="101">
        <f t="shared" ref="X66" si="143">W66+X48</f>
        <v>-346864.59547571786</v>
      </c>
      <c r="Y66" s="101">
        <f t="shared" ref="Y66" si="144">X66+Y48</f>
        <v>-316628.2798460481</v>
      </c>
      <c r="Z66" s="101">
        <f t="shared" ref="Z66" si="145">Y66+Z48</f>
        <v>-279955.75604786677</v>
      </c>
      <c r="AA66" s="101">
        <f t="shared" ref="AA66" si="146">Z66+AA48</f>
        <v>-236789.65554227959</v>
      </c>
      <c r="AB66" s="101">
        <f t="shared" ref="AB66" si="147">AA66+AB48</f>
        <v>-187072.03638968643</v>
      </c>
      <c r="AC66" s="101">
        <f t="shared" ref="AC66" si="148">AB66+AC48</f>
        <v>-130744.3773373274</v>
      </c>
      <c r="AD66" s="101">
        <f t="shared" ref="AD66" si="149">AC66+AD48</f>
        <v>-67747.571845392318</v>
      </c>
      <c r="AE66" s="101">
        <f t="shared" ref="AE66" si="150">AD66+AE48</f>
        <v>1978.0779489456327</v>
      </c>
      <c r="AF66" s="101">
        <f t="shared" ref="AF66" si="151">AE66+AF48</f>
        <v>78492.867330219946</v>
      </c>
      <c r="AG66" s="101">
        <f t="shared" ref="AG66" si="152">AF66+AG48</f>
        <v>161857.69516673527</v>
      </c>
      <c r="AH66" s="101">
        <f t="shared" ref="AH66" si="153">AG66+AH48</f>
        <v>252134.07013666863</v>
      </c>
      <c r="AI66" s="101">
        <f t="shared" ref="AI66" si="154">AH66+AI48</f>
        <v>349384.11701887165</v>
      </c>
      <c r="AJ66" s="101">
        <f t="shared" ref="AJ66" si="155">AI66+AJ48</f>
        <v>453670.58304905018</v>
      </c>
      <c r="AK66" s="101">
        <f t="shared" ref="AK66" si="156">AJ66+AK48</f>
        <v>565056.8443419981</v>
      </c>
      <c r="AL66" s="101">
        <f t="shared" ref="AL66" si="157">AK66+AL48</f>
        <v>683606.91238057707</v>
      </c>
      <c r="AM66" s="101">
        <f t="shared" ref="AM66" si="158">AL66+AM48</f>
        <v>809385.44057213352</v>
      </c>
      <c r="AN66" s="101">
        <f t="shared" ref="AN66" si="159">AM66+AN48</f>
        <v>942457.73087305855</v>
      </c>
      <c r="AO66" s="101">
        <f t="shared" ref="AO66" si="160">AN66+AO48</f>
        <v>1082889.7404821969</v>
      </c>
      <c r="AP66" s="101">
        <f t="shared" ref="AP66" si="161">AO66+AP48</f>
        <v>1230748.088603823</v>
      </c>
      <c r="AQ66" s="101">
        <f t="shared" ref="AQ66" si="162">AP66+AQ48</f>
        <v>1386100.06328091</v>
      </c>
      <c r="AR66" s="101">
        <f t="shared" ref="AR66" si="163">AQ66+AR48</f>
        <v>1549013.6282994205</v>
      </c>
      <c r="AS66" s="101">
        <f t="shared" ref="AS66" si="164">AR66+AS48</f>
        <v>1719557.4301643609</v>
      </c>
      <c r="AT66" s="101">
        <f t="shared" ref="AT66" si="165">AS66+AT48</f>
        <v>1897800.8051483454</v>
      </c>
      <c r="AU66" s="101">
        <f t="shared" ref="AU66" si="166">AT66+AU48</f>
        <v>2083813.7864134249</v>
      </c>
      <c r="AV66" s="101">
        <f t="shared" ref="AV66" si="167">AU66+AV48</f>
        <v>2277667.1112069436</v>
      </c>
      <c r="AW66" s="101">
        <f t="shared" ref="AW66" si="168">AV66+AW48</f>
        <v>2479432.2281321939</v>
      </c>
      <c r="AX66" s="101">
        <f t="shared" ref="AX66" si="169">AW66+AX48</f>
        <v>2689181.3044946473</v>
      </c>
      <c r="AY66" s="101">
        <f t="shared" ref="AY66" si="170">AX66+AY48</f>
        <v>2906987.2337245513</v>
      </c>
      <c r="AZ66" s="101">
        <f t="shared" ref="AZ66" si="171">AY66+AZ48</f>
        <v>3132923.6428766837</v>
      </c>
      <c r="BA66" s="101">
        <f t="shared" ref="BA66" si="172">AZ66+BA48</f>
        <v>3367064.9002080699</v>
      </c>
      <c r="BB66" s="101">
        <f t="shared" ref="BB66" si="173">BA66+BB48</f>
        <v>3609486.1228344743</v>
      </c>
      <c r="BC66" s="101">
        <f t="shared" ref="BC66" si="174">BB66+BC48</f>
        <v>3860263.184466484</v>
      </c>
      <c r="BD66" s="101">
        <f t="shared" ref="BD66" si="175">BC66+BD48</f>
        <v>4119472.7232260196</v>
      </c>
      <c r="BE66" s="101">
        <f t="shared" ref="BE66" si="176">BD66+BE48</f>
        <v>4119472.7232260196</v>
      </c>
      <c r="BF66" s="101">
        <f t="shared" ref="BF66" si="177">BE66+BF48</f>
        <v>4119472.7232260196</v>
      </c>
      <c r="BG66" s="101">
        <f t="shared" ref="BG66" si="178">BF66+BG48</f>
        <v>4119472.7232260196</v>
      </c>
      <c r="BH66" s="101">
        <f t="shared" ref="BH66" si="179">BG66+BH48</f>
        <v>4119472.7232260196</v>
      </c>
      <c r="BI66" s="101">
        <f t="shared" ref="BI66" si="180">BH66+BI48</f>
        <v>4119472.7232260196</v>
      </c>
      <c r="BJ66" s="101">
        <f t="shared" ref="BJ66" si="181">BI66+BJ48</f>
        <v>4119472.7232260196</v>
      </c>
      <c r="BK66" s="101">
        <f t="shared" ref="BK66" si="182">BJ66+BK48</f>
        <v>4119472.7232260196</v>
      </c>
      <c r="BL66" s="101">
        <f t="shared" ref="BL66" si="183">BK66+BL48</f>
        <v>4119472.7232260196</v>
      </c>
      <c r="BM66" s="101">
        <f t="shared" ref="BM66" si="184">BL66+BM48</f>
        <v>4119472.7232260196</v>
      </c>
      <c r="BN66" s="101">
        <f t="shared" ref="BN66" si="185">BM66+BN48</f>
        <v>4119472.7232260196</v>
      </c>
      <c r="BO66" s="101">
        <f t="shared" ref="BO66" si="186">BN66+BO48</f>
        <v>4119472.7232260196</v>
      </c>
      <c r="BP66" s="101">
        <f t="shared" ref="BP66" si="187">BO66+BP48</f>
        <v>4119472.7232260196</v>
      </c>
      <c r="BQ66" s="101">
        <f t="shared" ref="BQ66" si="188">BP66+BQ48</f>
        <v>4119472.7232260196</v>
      </c>
      <c r="BR66" s="101">
        <f t="shared" ref="BR66" si="189">BQ66+BR48</f>
        <v>4119472.7232260196</v>
      </c>
      <c r="BS66" s="101">
        <f t="shared" ref="BS66" si="190">BR66+BS48</f>
        <v>4119472.7232260196</v>
      </c>
      <c r="BT66" s="101">
        <f t="shared" ref="BT66" si="191">BS66+BT48</f>
        <v>4119472.7232260196</v>
      </c>
      <c r="BU66" s="101">
        <f t="shared" ref="BU66" si="192">BT66+BU48</f>
        <v>4119472.7232260196</v>
      </c>
      <c r="BV66" s="101">
        <f t="shared" ref="BV66" si="193">BU66+BV48</f>
        <v>4119472.7232260196</v>
      </c>
      <c r="BW66" s="101">
        <f t="shared" ref="BW66" si="194">BV66+BW48</f>
        <v>4119472.7232260196</v>
      </c>
      <c r="BX66" s="101">
        <f t="shared" ref="BX66" si="195">BW66+BX48</f>
        <v>4119472.7232260196</v>
      </c>
      <c r="BY66" s="101">
        <f t="shared" ref="BY66" si="196">BX66+BY48</f>
        <v>4119472.7232260196</v>
      </c>
      <c r="BZ66" s="101">
        <f t="shared" ref="BZ66" si="197">BY66+BZ48</f>
        <v>4119472.7232260196</v>
      </c>
      <c r="CA66" s="101">
        <f t="shared" ref="CA66" si="198">BZ66+CA48</f>
        <v>4119472.7232260196</v>
      </c>
      <c r="CB66" s="101">
        <f t="shared" ref="CB66" si="199">CA66+CB48</f>
        <v>4119472.7232260196</v>
      </c>
      <c r="CC66" s="101">
        <f t="shared" ref="CC66" si="200">CB66+CC48</f>
        <v>4119472.7232260196</v>
      </c>
      <c r="CD66" s="101">
        <f t="shared" ref="CD66" si="201">CC66+CD48</f>
        <v>4119472.7232260196</v>
      </c>
      <c r="CE66" s="101">
        <f t="shared" ref="CE66" si="202">CD66+CE48</f>
        <v>4119472.7232260196</v>
      </c>
      <c r="CF66" s="101">
        <f t="shared" ref="CF66" si="203">CE66+CF48</f>
        <v>4119472.7232260196</v>
      </c>
      <c r="CG66" s="101">
        <f t="shared" ref="CG66" si="204">CF66+CG48</f>
        <v>4119472.7232260196</v>
      </c>
      <c r="CH66" s="101">
        <f t="shared" ref="CH66" si="205">CG66+CH48</f>
        <v>4119472.7232260196</v>
      </c>
      <c r="CI66" s="101">
        <f t="shared" ref="CI66" si="206">CH66+CI48</f>
        <v>4119472.7232260196</v>
      </c>
      <c r="CJ66" s="101">
        <f t="shared" ref="CJ66" si="207">CI66+CJ48</f>
        <v>4119472.7232260196</v>
      </c>
      <c r="CK66" s="101">
        <f t="shared" ref="CK66" si="208">CJ66+CK48</f>
        <v>4119472.7232260196</v>
      </c>
      <c r="CL66" s="101">
        <f t="shared" ref="CL66" si="209">CK66+CL48</f>
        <v>4119472.7232260196</v>
      </c>
      <c r="CM66" s="101">
        <f t="shared" ref="CM66" si="210">CL66+CM48</f>
        <v>4119472.7232260196</v>
      </c>
      <c r="CN66" s="101">
        <f t="shared" ref="CN66" si="211">CM66+CN48</f>
        <v>4119472.7232260196</v>
      </c>
      <c r="CO66" s="101">
        <f t="shared" ref="CO66" si="212">CN66+CO48</f>
        <v>4119472.7232260196</v>
      </c>
      <c r="CP66" s="101">
        <f t="shared" ref="CP66" si="213">CO66+CP48</f>
        <v>4119472.7232260196</v>
      </c>
      <c r="CQ66" s="101">
        <f t="shared" ref="CQ66" si="214">CP66+CQ48</f>
        <v>4119472.7232260196</v>
      </c>
      <c r="CR66" s="101">
        <f t="shared" ref="CR66" si="215">CQ66+CR48</f>
        <v>4119472.7232260196</v>
      </c>
      <c r="CS66" s="101">
        <f t="shared" ref="CS66" si="216">CR66+CS48</f>
        <v>4119472.7232260196</v>
      </c>
      <c r="CT66" s="101">
        <f t="shared" ref="CT66" si="217">CS66+CT48</f>
        <v>4119472.7232260196</v>
      </c>
      <c r="CU66" s="101">
        <f t="shared" ref="CU66" si="218">CT66+CU48</f>
        <v>4119472.7232260196</v>
      </c>
      <c r="CV66" s="101">
        <f t="shared" ref="CV66" si="219">CU66+CV48</f>
        <v>4119472.7232260196</v>
      </c>
      <c r="CW66" s="101">
        <f t="shared" ref="CW66" si="220">CV66+CW48</f>
        <v>4119472.7232260196</v>
      </c>
      <c r="CX66" s="101">
        <f t="shared" ref="CX66" si="221">CW66+CX48</f>
        <v>4119472.7232260196</v>
      </c>
      <c r="CY66" s="101">
        <f t="shared" ref="CY66" si="222">CX66+CY48</f>
        <v>4119472.7232260196</v>
      </c>
      <c r="CZ66" s="101">
        <f t="shared" ref="CZ66" si="223">CY66+CZ48</f>
        <v>4119472.7232260196</v>
      </c>
      <c r="DA66" s="101">
        <f t="shared" ref="DA66" si="224">CZ66+DA48</f>
        <v>4119472.7232260196</v>
      </c>
      <c r="DB66" s="101">
        <f t="shared" ref="DB66" si="225">DA66+DB48</f>
        <v>4119472.7232260196</v>
      </c>
      <c r="DC66" s="101">
        <f t="shared" ref="DC66" si="226">DB66+DC48</f>
        <v>4119472.7232260196</v>
      </c>
      <c r="DD66" s="101">
        <f t="shared" ref="DD66" si="227">DC66+DD48</f>
        <v>4119472.7232260196</v>
      </c>
    </row>
    <row r="67" spans="2:108">
      <c r="B67" t="s">
        <v>483</v>
      </c>
      <c r="C67" s="86">
        <f>-FV($C$37/12,$C$5,$C$25)*SUM($C$10:$C$12)/$C$5</f>
        <v>38251.459654079474</v>
      </c>
    </row>
    <row r="68" spans="2:108">
      <c r="B68" s="161" t="s">
        <v>479</v>
      </c>
      <c r="C68" s="158">
        <f>SUM(C69:C72)/SUM($C$59:$C$67,$C$69:$C$72)</f>
        <v>0.60767751082205002</v>
      </c>
      <c r="G68" s="128" t="s">
        <v>429</v>
      </c>
    </row>
    <row r="69" spans="2:108">
      <c r="B69" t="s">
        <v>480</v>
      </c>
      <c r="C69" s="86">
        <f>PMT($C$36/12,$C$5,-$C$57)*SUM($C$10:$C$11)</f>
        <v>464167.1391322834</v>
      </c>
      <c r="G69" s="96" t="s">
        <v>233</v>
      </c>
      <c r="H69" s="97">
        <f>H14+H25-H22</f>
        <v>0</v>
      </c>
      <c r="I69" s="97">
        <f t="shared" ref="I69" si="228">H69+I14+I25-I22</f>
        <v>207911.90691916668</v>
      </c>
      <c r="J69" s="97">
        <f t="shared" ref="J69:AN69" si="229">I69+J14+J25-J22</f>
        <v>416998.09423063113</v>
      </c>
      <c r="K69" s="97">
        <f t="shared" si="229"/>
        <v>627261.49763537431</v>
      </c>
      <c r="L69" s="97">
        <f t="shared" si="229"/>
        <v>838705.06017362932</v>
      </c>
      <c r="M69" s="97">
        <f t="shared" si="229"/>
        <v>1051331.7322432299</v>
      </c>
      <c r="N69" s="97">
        <f t="shared" si="229"/>
        <v>1265144.4716180046</v>
      </c>
      <c r="O69" s="97">
        <f t="shared" si="229"/>
        <v>1480146.2434662161</v>
      </c>
      <c r="P69" s="97">
        <f t="shared" si="229"/>
        <v>1696340.0203690482</v>
      </c>
      <c r="Q69" s="97">
        <f t="shared" si="229"/>
        <v>1913728.7823391375</v>
      </c>
      <c r="R69" s="97">
        <f t="shared" si="229"/>
        <v>2132315.5168391517</v>
      </c>
      <c r="S69" s="97">
        <f t="shared" si="229"/>
        <v>2352103.2188004162</v>
      </c>
      <c r="T69" s="97">
        <f t="shared" si="229"/>
        <v>2573094.8906415836</v>
      </c>
      <c r="U69" s="97">
        <f t="shared" si="229"/>
        <v>2795293.5422873539</v>
      </c>
      <c r="V69" s="97">
        <f t="shared" si="229"/>
        <v>3018702.1911872388</v>
      </c>
      <c r="W69" s="97">
        <f t="shared" si="229"/>
        <v>3243323.8623343734</v>
      </c>
      <c r="X69" s="97">
        <f t="shared" si="229"/>
        <v>3469161.5882843756</v>
      </c>
      <c r="Y69" s="97">
        <f t="shared" si="229"/>
        <v>3696218.4091742528</v>
      </c>
      <c r="Z69" s="97">
        <f t="shared" si="229"/>
        <v>3924497.3727413551</v>
      </c>
      <c r="AA69" s="97">
        <f t="shared" si="229"/>
        <v>4154001.5343423747</v>
      </c>
      <c r="AB69" s="97">
        <f t="shared" si="229"/>
        <v>4384733.9569723969</v>
      </c>
      <c r="AC69" s="97">
        <f t="shared" si="229"/>
        <v>4616697.7112839939</v>
      </c>
      <c r="AD69" s="97">
        <f t="shared" si="229"/>
        <v>4849895.8756063702</v>
      </c>
      <c r="AE69" s="97">
        <f t="shared" si="229"/>
        <v>5084331.5359645523</v>
      </c>
      <c r="AF69" s="97">
        <f t="shared" si="229"/>
        <v>5320007.7860986302</v>
      </c>
      <c r="AG69" s="97">
        <f t="shared" si="229"/>
        <v>5556927.7274830425</v>
      </c>
      <c r="AH69" s="97">
        <f t="shared" si="229"/>
        <v>5795094.4693459161</v>
      </c>
      <c r="AI69" s="97">
        <f t="shared" si="229"/>
        <v>6034511.1286884472</v>
      </c>
      <c r="AJ69" s="97">
        <f t="shared" si="229"/>
        <v>6275180.8303043339</v>
      </c>
      <c r="AK69" s="97">
        <f t="shared" si="229"/>
        <v>6517106.7067992603</v>
      </c>
      <c r="AL69" s="97">
        <f t="shared" si="229"/>
        <v>6760291.8986104243</v>
      </c>
      <c r="AM69" s="97">
        <f t="shared" si="229"/>
        <v>7004739.5540261166</v>
      </c>
      <c r="AN69" s="97">
        <f t="shared" si="229"/>
        <v>7250452.8292053482</v>
      </c>
      <c r="AO69" s="97">
        <f t="shared" ref="AO69:BT69" si="230">AN69+AO14+AO25-AO22</f>
        <v>7497434.8881975273</v>
      </c>
      <c r="AP69" s="97">
        <f t="shared" si="230"/>
        <v>7745688.9029621873</v>
      </c>
      <c r="AQ69" s="97">
        <f t="shared" si="230"/>
        <v>7995218.0533887576</v>
      </c>
      <c r="AR69" s="97">
        <f t="shared" si="230"/>
        <v>8246025.5273163943</v>
      </c>
      <c r="AS69" s="97">
        <f t="shared" si="230"/>
        <v>8498114.5205538515</v>
      </c>
      <c r="AT69" s="97">
        <f t="shared" si="230"/>
        <v>8751488.236899402</v>
      </c>
      <c r="AU69" s="97">
        <f t="shared" si="230"/>
        <v>9006149.8881608155</v>
      </c>
      <c r="AV69" s="97">
        <f t="shared" si="230"/>
        <v>9262102.6941753831</v>
      </c>
      <c r="AW69" s="97">
        <f t="shared" si="230"/>
        <v>9519349.8828299865</v>
      </c>
      <c r="AX69" s="97">
        <f t="shared" si="230"/>
        <v>9777894.6900812276</v>
      </c>
      <c r="AY69" s="97">
        <f t="shared" si="230"/>
        <v>10037740.359975597</v>
      </c>
      <c r="AZ69" s="97">
        <f t="shared" si="230"/>
        <v>10298890.144669702</v>
      </c>
      <c r="BA69" s="97">
        <f t="shared" si="230"/>
        <v>10561347.304450542</v>
      </c>
      <c r="BB69" s="97">
        <f t="shared" si="230"/>
        <v>10825115.107755834</v>
      </c>
      <c r="BC69" s="97">
        <f t="shared" si="230"/>
        <v>11090196.83119439</v>
      </c>
      <c r="BD69" s="97">
        <f t="shared" si="230"/>
        <v>11356595.759566542</v>
      </c>
      <c r="BE69" s="97">
        <f t="shared" si="230"/>
        <v>12281792.759566544</v>
      </c>
      <c r="BF69" s="97">
        <f t="shared" si="230"/>
        <v>12281792.759566544</v>
      </c>
      <c r="BG69" s="97">
        <f t="shared" si="230"/>
        <v>12281792.759566544</v>
      </c>
      <c r="BH69" s="97">
        <f t="shared" si="230"/>
        <v>12281792.759566544</v>
      </c>
      <c r="BI69" s="97">
        <f t="shared" si="230"/>
        <v>12281792.759566544</v>
      </c>
      <c r="BJ69" s="97">
        <f t="shared" si="230"/>
        <v>12281792.759566544</v>
      </c>
      <c r="BK69" s="97">
        <f t="shared" si="230"/>
        <v>12281792.759566544</v>
      </c>
      <c r="BL69" s="97">
        <f t="shared" si="230"/>
        <v>12281792.759566544</v>
      </c>
      <c r="BM69" s="97">
        <f t="shared" si="230"/>
        <v>12281792.759566544</v>
      </c>
      <c r="BN69" s="97">
        <f t="shared" si="230"/>
        <v>12281792.759566544</v>
      </c>
      <c r="BO69" s="97">
        <f t="shared" si="230"/>
        <v>12281792.759566544</v>
      </c>
      <c r="BP69" s="97">
        <f t="shared" si="230"/>
        <v>12281792.759566544</v>
      </c>
      <c r="BQ69" s="97">
        <f t="shared" si="230"/>
        <v>12281792.759566544</v>
      </c>
      <c r="BR69" s="97">
        <f t="shared" si="230"/>
        <v>12281792.759566544</v>
      </c>
      <c r="BS69" s="97">
        <f t="shared" si="230"/>
        <v>12281792.759566544</v>
      </c>
      <c r="BT69" s="97">
        <f t="shared" si="230"/>
        <v>12281792.759566544</v>
      </c>
      <c r="BU69" s="97">
        <f t="shared" ref="BU69:DD69" si="231">BT69+BU14+BU25-BU22</f>
        <v>12281792.759566544</v>
      </c>
      <c r="BV69" s="97">
        <f t="shared" si="231"/>
        <v>12281792.759566544</v>
      </c>
      <c r="BW69" s="97">
        <f t="shared" si="231"/>
        <v>12281792.759566544</v>
      </c>
      <c r="BX69" s="97">
        <f t="shared" si="231"/>
        <v>12281792.759566544</v>
      </c>
      <c r="BY69" s="97">
        <f t="shared" si="231"/>
        <v>12281792.759566544</v>
      </c>
      <c r="BZ69" s="97">
        <f t="shared" si="231"/>
        <v>12281792.759566544</v>
      </c>
      <c r="CA69" s="97">
        <f t="shared" si="231"/>
        <v>12281792.759566544</v>
      </c>
      <c r="CB69" s="97">
        <f t="shared" si="231"/>
        <v>12281792.759566544</v>
      </c>
      <c r="CC69" s="97">
        <f t="shared" si="231"/>
        <v>12281792.759566544</v>
      </c>
      <c r="CD69" s="97">
        <f t="shared" si="231"/>
        <v>12281792.759566544</v>
      </c>
      <c r="CE69" s="97">
        <f t="shared" si="231"/>
        <v>12281792.759566544</v>
      </c>
      <c r="CF69" s="97">
        <f t="shared" si="231"/>
        <v>12281792.759566544</v>
      </c>
      <c r="CG69" s="97">
        <f t="shared" si="231"/>
        <v>12281792.759566544</v>
      </c>
      <c r="CH69" s="97">
        <f t="shared" si="231"/>
        <v>12281792.759566544</v>
      </c>
      <c r="CI69" s="97">
        <f t="shared" si="231"/>
        <v>12281792.759566544</v>
      </c>
      <c r="CJ69" s="97">
        <f t="shared" si="231"/>
        <v>12281792.759566544</v>
      </c>
      <c r="CK69" s="97">
        <f t="shared" si="231"/>
        <v>12281792.759566544</v>
      </c>
      <c r="CL69" s="97">
        <f t="shared" si="231"/>
        <v>12281792.759566544</v>
      </c>
      <c r="CM69" s="97">
        <f t="shared" si="231"/>
        <v>12281792.759566544</v>
      </c>
      <c r="CN69" s="97">
        <f t="shared" si="231"/>
        <v>12281792.759566544</v>
      </c>
      <c r="CO69" s="97">
        <f t="shared" si="231"/>
        <v>12281792.759566544</v>
      </c>
      <c r="CP69" s="97">
        <f t="shared" si="231"/>
        <v>12281792.759566544</v>
      </c>
      <c r="CQ69" s="97">
        <f t="shared" si="231"/>
        <v>12281792.759566544</v>
      </c>
      <c r="CR69" s="97">
        <f t="shared" si="231"/>
        <v>12281792.759566544</v>
      </c>
      <c r="CS69" s="97">
        <f t="shared" si="231"/>
        <v>12281792.759566544</v>
      </c>
      <c r="CT69" s="97">
        <f t="shared" si="231"/>
        <v>12281792.759566544</v>
      </c>
      <c r="CU69" s="97">
        <f t="shared" si="231"/>
        <v>12281792.759566544</v>
      </c>
      <c r="CV69" s="97">
        <f t="shared" si="231"/>
        <v>12281792.759566544</v>
      </c>
      <c r="CW69" s="97">
        <f t="shared" si="231"/>
        <v>12281792.759566544</v>
      </c>
      <c r="CX69" s="97">
        <f t="shared" si="231"/>
        <v>12281792.759566544</v>
      </c>
      <c r="CY69" s="97">
        <f t="shared" si="231"/>
        <v>12281792.759566544</v>
      </c>
      <c r="CZ69" s="97">
        <f t="shared" si="231"/>
        <v>12281792.759566544</v>
      </c>
      <c r="DA69" s="97">
        <f t="shared" si="231"/>
        <v>12281792.759566544</v>
      </c>
      <c r="DB69" s="97">
        <f t="shared" si="231"/>
        <v>12281792.759566544</v>
      </c>
      <c r="DC69" s="97">
        <f t="shared" si="231"/>
        <v>12281792.759566544</v>
      </c>
      <c r="DD69" s="97">
        <f t="shared" si="231"/>
        <v>12281792.759566544</v>
      </c>
    </row>
    <row r="70" spans="2:108">
      <c r="B70" t="s">
        <v>481</v>
      </c>
      <c r="C70" s="86">
        <f>PMT($C$36/12,$C$5,-$C$57)*$C$12</f>
        <v>13925.0141739685</v>
      </c>
      <c r="G70" t="s">
        <v>232</v>
      </c>
      <c r="H70" s="86">
        <f>H31+H40-H37</f>
        <v>0</v>
      </c>
      <c r="I70" s="86">
        <f t="shared" ref="I70" si="232">H70+I31+I40-I37</f>
        <v>243961.90691916668</v>
      </c>
      <c r="J70" s="86">
        <f t="shared" ref="J70:AN70" si="233">I70+J31+J40-J37</f>
        <v>489188.21923063113</v>
      </c>
      <c r="K70" s="86">
        <f t="shared" si="233"/>
        <v>735682.09794787422</v>
      </c>
      <c r="L70" s="86">
        <f t="shared" si="233"/>
        <v>983446.71198691032</v>
      </c>
      <c r="M70" s="86">
        <f t="shared" si="233"/>
        <v>1232485.2381860442</v>
      </c>
      <c r="N70" s="86">
        <f t="shared" si="233"/>
        <v>1482800.8613256761</v>
      </c>
      <c r="O70" s="86">
        <f t="shared" si="233"/>
        <v>1734396.7741481569</v>
      </c>
      <c r="P70" s="86">
        <f t="shared" si="233"/>
        <v>1987276.1773776938</v>
      </c>
      <c r="Q70" s="86">
        <f t="shared" si="233"/>
        <v>2241442.2797403047</v>
      </c>
      <c r="R70" s="86">
        <f t="shared" si="233"/>
        <v>2496898.2979838219</v>
      </c>
      <c r="S70" s="86">
        <f t="shared" si="233"/>
        <v>2753647.4568979479</v>
      </c>
      <c r="T70" s="86">
        <f t="shared" si="233"/>
        <v>3011692.9893343588</v>
      </c>
      <c r="U70" s="86">
        <f t="shared" si="233"/>
        <v>3271038.1362268613</v>
      </c>
      <c r="V70" s="86">
        <f t="shared" si="233"/>
        <v>3531686.1466115946</v>
      </c>
      <c r="W70" s="86">
        <f t="shared" si="233"/>
        <v>3793640.2776472894</v>
      </c>
      <c r="X70" s="86">
        <f t="shared" si="233"/>
        <v>4056903.7946355739</v>
      </c>
      <c r="Y70" s="86">
        <f t="shared" si="233"/>
        <v>4321479.9710413292</v>
      </c>
      <c r="Z70" s="86">
        <f t="shared" si="233"/>
        <v>4587372.0885130987</v>
      </c>
      <c r="AA70" s="86">
        <f t="shared" si="233"/>
        <v>4854583.4369035475</v>
      </c>
      <c r="AB70" s="86">
        <f t="shared" si="233"/>
        <v>5123117.3142899722</v>
      </c>
      <c r="AC70" s="86">
        <f t="shared" si="233"/>
        <v>5392977.0269948635</v>
      </c>
      <c r="AD70" s="86">
        <f t="shared" si="233"/>
        <v>5664165.8896065168</v>
      </c>
      <c r="AE70" s="86">
        <f t="shared" si="233"/>
        <v>5936687.2249996988</v>
      </c>
      <c r="AF70" s="86">
        <f t="shared" si="233"/>
        <v>6210544.3643563641</v>
      </c>
      <c r="AG70" s="86">
        <f t="shared" si="233"/>
        <v>6485740.6471864209</v>
      </c>
      <c r="AH70" s="86">
        <f t="shared" si="233"/>
        <v>6762279.4213485532</v>
      </c>
      <c r="AI70" s="86">
        <f t="shared" si="233"/>
        <v>7040164.0430710902</v>
      </c>
      <c r="AJ70" s="86">
        <f t="shared" si="233"/>
        <v>7319397.8769729342</v>
      </c>
      <c r="AK70" s="86">
        <f t="shared" si="233"/>
        <v>7599984.2960845325</v>
      </c>
      <c r="AL70" s="86">
        <f t="shared" si="233"/>
        <v>7881926.6818689099</v>
      </c>
      <c r="AM70" s="86">
        <f t="shared" si="233"/>
        <v>8165228.4242427479</v>
      </c>
      <c r="AN70" s="86">
        <f t="shared" si="233"/>
        <v>8449892.9215975199</v>
      </c>
      <c r="AO70" s="86">
        <f t="shared" ref="AO70:BT70" si="234">AN70+AO31+AO40-AO37</f>
        <v>8735923.5808206797</v>
      </c>
      <c r="AP70" s="86">
        <f t="shared" si="234"/>
        <v>9023323.8173168972</v>
      </c>
      <c r="AQ70" s="86">
        <f t="shared" si="234"/>
        <v>9312097.055029355</v>
      </c>
      <c r="AR70" s="86">
        <f t="shared" si="234"/>
        <v>9602246.7264610939</v>
      </c>
      <c r="AS70" s="86">
        <f t="shared" si="234"/>
        <v>9893776.2726964131</v>
      </c>
      <c r="AT70" s="86">
        <f t="shared" si="234"/>
        <v>10186689.14342232</v>
      </c>
      <c r="AU70" s="86">
        <f t="shared" si="234"/>
        <v>10480988.796950042</v>
      </c>
      <c r="AV70" s="86">
        <f t="shared" si="234"/>
        <v>10776678.700236583</v>
      </c>
      <c r="AW70" s="86">
        <f t="shared" si="234"/>
        <v>11073762.328906341</v>
      </c>
      <c r="AX70" s="86">
        <f t="shared" si="234"/>
        <v>11372243.167272773</v>
      </c>
      <c r="AY70" s="86">
        <f t="shared" si="234"/>
        <v>11672124.708360121</v>
      </c>
      <c r="AZ70" s="86">
        <f t="shared" si="234"/>
        <v>11973410.453925187</v>
      </c>
      <c r="BA70" s="86">
        <f t="shared" si="234"/>
        <v>12276103.914479166</v>
      </c>
      <c r="BB70" s="86">
        <f t="shared" si="234"/>
        <v>12580208.60930953</v>
      </c>
      <c r="BC70" s="86">
        <f t="shared" si="234"/>
        <v>12885728.066501969</v>
      </c>
      <c r="BD70" s="86">
        <f t="shared" si="234"/>
        <v>13192665.82296239</v>
      </c>
      <c r="BE70" s="86">
        <f t="shared" si="234"/>
        <v>14117862.82296239</v>
      </c>
      <c r="BF70" s="86">
        <f t="shared" si="234"/>
        <v>14117862.82296239</v>
      </c>
      <c r="BG70" s="86">
        <f t="shared" si="234"/>
        <v>14117862.82296239</v>
      </c>
      <c r="BH70" s="86">
        <f t="shared" si="234"/>
        <v>14117862.82296239</v>
      </c>
      <c r="BI70" s="86">
        <f t="shared" si="234"/>
        <v>14117862.82296239</v>
      </c>
      <c r="BJ70" s="86">
        <f t="shared" si="234"/>
        <v>14117862.82296239</v>
      </c>
      <c r="BK70" s="86">
        <f t="shared" si="234"/>
        <v>14117862.82296239</v>
      </c>
      <c r="BL70" s="86">
        <f t="shared" si="234"/>
        <v>14117862.82296239</v>
      </c>
      <c r="BM70" s="86">
        <f t="shared" si="234"/>
        <v>14117862.82296239</v>
      </c>
      <c r="BN70" s="86">
        <f t="shared" si="234"/>
        <v>14117862.82296239</v>
      </c>
      <c r="BO70" s="86">
        <f t="shared" si="234"/>
        <v>14117862.82296239</v>
      </c>
      <c r="BP70" s="86">
        <f t="shared" si="234"/>
        <v>14117862.82296239</v>
      </c>
      <c r="BQ70" s="86">
        <f t="shared" si="234"/>
        <v>14117862.82296239</v>
      </c>
      <c r="BR70" s="86">
        <f t="shared" si="234"/>
        <v>14117862.82296239</v>
      </c>
      <c r="BS70" s="86">
        <f t="shared" si="234"/>
        <v>14117862.82296239</v>
      </c>
      <c r="BT70" s="86">
        <f t="shared" si="234"/>
        <v>14117862.82296239</v>
      </c>
      <c r="BU70" s="86">
        <f t="shared" ref="BU70:DD70" si="235">BT70+BU31+BU40-BU37</f>
        <v>14117862.82296239</v>
      </c>
      <c r="BV70" s="86">
        <f t="shared" si="235"/>
        <v>14117862.82296239</v>
      </c>
      <c r="BW70" s="86">
        <f t="shared" si="235"/>
        <v>14117862.82296239</v>
      </c>
      <c r="BX70" s="86">
        <f t="shared" si="235"/>
        <v>14117862.82296239</v>
      </c>
      <c r="BY70" s="86">
        <f t="shared" si="235"/>
        <v>14117862.82296239</v>
      </c>
      <c r="BZ70" s="86">
        <f t="shared" si="235"/>
        <v>14117862.82296239</v>
      </c>
      <c r="CA70" s="86">
        <f t="shared" si="235"/>
        <v>14117862.82296239</v>
      </c>
      <c r="CB70" s="86">
        <f t="shared" si="235"/>
        <v>14117862.82296239</v>
      </c>
      <c r="CC70" s="86">
        <f t="shared" si="235"/>
        <v>14117862.82296239</v>
      </c>
      <c r="CD70" s="86">
        <f t="shared" si="235"/>
        <v>14117862.82296239</v>
      </c>
      <c r="CE70" s="86">
        <f t="shared" si="235"/>
        <v>14117862.82296239</v>
      </c>
      <c r="CF70" s="86">
        <f t="shared" si="235"/>
        <v>14117862.82296239</v>
      </c>
      <c r="CG70" s="86">
        <f t="shared" si="235"/>
        <v>14117862.82296239</v>
      </c>
      <c r="CH70" s="86">
        <f t="shared" si="235"/>
        <v>14117862.82296239</v>
      </c>
      <c r="CI70" s="86">
        <f t="shared" si="235"/>
        <v>14117862.82296239</v>
      </c>
      <c r="CJ70" s="86">
        <f t="shared" si="235"/>
        <v>14117862.82296239</v>
      </c>
      <c r="CK70" s="86">
        <f t="shared" si="235"/>
        <v>14117862.82296239</v>
      </c>
      <c r="CL70" s="86">
        <f t="shared" si="235"/>
        <v>14117862.82296239</v>
      </c>
      <c r="CM70" s="86">
        <f t="shared" si="235"/>
        <v>14117862.82296239</v>
      </c>
      <c r="CN70" s="86">
        <f t="shared" si="235"/>
        <v>14117862.82296239</v>
      </c>
      <c r="CO70" s="86">
        <f t="shared" si="235"/>
        <v>14117862.82296239</v>
      </c>
      <c r="CP70" s="86">
        <f t="shared" si="235"/>
        <v>14117862.82296239</v>
      </c>
      <c r="CQ70" s="86">
        <f t="shared" si="235"/>
        <v>14117862.82296239</v>
      </c>
      <c r="CR70" s="86">
        <f t="shared" si="235"/>
        <v>14117862.82296239</v>
      </c>
      <c r="CS70" s="86">
        <f t="shared" si="235"/>
        <v>14117862.82296239</v>
      </c>
      <c r="CT70" s="86">
        <f t="shared" si="235"/>
        <v>14117862.82296239</v>
      </c>
      <c r="CU70" s="86">
        <f t="shared" si="235"/>
        <v>14117862.82296239</v>
      </c>
      <c r="CV70" s="86">
        <f t="shared" si="235"/>
        <v>14117862.82296239</v>
      </c>
      <c r="CW70" s="86">
        <f t="shared" si="235"/>
        <v>14117862.82296239</v>
      </c>
      <c r="CX70" s="86">
        <f t="shared" si="235"/>
        <v>14117862.82296239</v>
      </c>
      <c r="CY70" s="86">
        <f t="shared" si="235"/>
        <v>14117862.82296239</v>
      </c>
      <c r="CZ70" s="86">
        <f t="shared" si="235"/>
        <v>14117862.82296239</v>
      </c>
      <c r="DA70" s="86">
        <f t="shared" si="235"/>
        <v>14117862.82296239</v>
      </c>
      <c r="DB70" s="86">
        <f t="shared" si="235"/>
        <v>14117862.82296239</v>
      </c>
      <c r="DC70" s="86">
        <f t="shared" si="235"/>
        <v>14117862.82296239</v>
      </c>
      <c r="DD70" s="86">
        <f t="shared" si="235"/>
        <v>14117862.82296239</v>
      </c>
    </row>
    <row r="71" spans="2:108">
      <c r="B71" t="s">
        <v>482</v>
      </c>
      <c r="C71" s="86">
        <f>PMT($C$36/12,$C$5,-$C$55)*SUM($C$10:$C$11)</f>
        <v>0</v>
      </c>
      <c r="G71" s="100" t="s">
        <v>231</v>
      </c>
      <c r="H71" s="101">
        <f>H48+H58-H55</f>
        <v>0</v>
      </c>
      <c r="I71" s="101">
        <f t="shared" ref="I71" si="236">H71+I48+I58-I55</f>
        <v>-65386.790997499949</v>
      </c>
      <c r="J71" s="101">
        <f t="shared" ref="J71:BU71" si="237">I71+J48+J58-J55</f>
        <v>-125181.88395158655</v>
      </c>
      <c r="K71" s="101">
        <f t="shared" si="237"/>
        <v>-179336.32839407976</v>
      </c>
      <c r="L71" s="101">
        <f t="shared" si="237"/>
        <v>-227800.68719705578</v>
      </c>
      <c r="M71" s="101">
        <f t="shared" si="237"/>
        <v>-270525.03156157647</v>
      </c>
      <c r="N71" s="101">
        <f t="shared" si="237"/>
        <v>-307458.93595436437</v>
      </c>
      <c r="O71" s="101">
        <f t="shared" si="237"/>
        <v>-338551.47299187997</v>
      </c>
      <c r="P71" s="101">
        <f t="shared" si="237"/>
        <v>-363751.20827125397</v>
      </c>
      <c r="Q71" s="101">
        <f t="shared" si="237"/>
        <v>-383006.19514752133</v>
      </c>
      <c r="R71" s="101">
        <f t="shared" si="237"/>
        <v>-396263.96945659869</v>
      </c>
      <c r="S71" s="101">
        <f t="shared" si="237"/>
        <v>-403471.54418343992</v>
      </c>
      <c r="T71" s="101">
        <f t="shared" si="237"/>
        <v>-404575.40407479851</v>
      </c>
      <c r="U71" s="101">
        <f t="shared" si="237"/>
        <v>-399521.50019602029</v>
      </c>
      <c r="V71" s="101">
        <f t="shared" si="237"/>
        <v>-388255.24443128641</v>
      </c>
      <c r="W71" s="101">
        <f t="shared" si="237"/>
        <v>-370721.50392671314</v>
      </c>
      <c r="X71" s="101">
        <f t="shared" si="237"/>
        <v>-346864.59547571786</v>
      </c>
      <c r="Y71" s="101">
        <f t="shared" si="237"/>
        <v>-316628.27984604804</v>
      </c>
      <c r="Z71" s="101">
        <f t="shared" si="237"/>
        <v>-279955.75604786666</v>
      </c>
      <c r="AA71" s="101">
        <f t="shared" si="237"/>
        <v>-236789.65554227948</v>
      </c>
      <c r="AB71" s="101">
        <f t="shared" si="237"/>
        <v>-187072.03638968634</v>
      </c>
      <c r="AC71" s="101">
        <f t="shared" si="237"/>
        <v>-130744.37733732734</v>
      </c>
      <c r="AD71" s="101">
        <f t="shared" si="237"/>
        <v>-67747.571845392231</v>
      </c>
      <c r="AE71" s="101">
        <f t="shared" si="237"/>
        <v>1978.07794894572</v>
      </c>
      <c r="AF71" s="101">
        <f t="shared" si="237"/>
        <v>78492.867330220033</v>
      </c>
      <c r="AG71" s="101">
        <f t="shared" si="237"/>
        <v>161857.69516673536</v>
      </c>
      <c r="AH71" s="101">
        <f t="shared" si="237"/>
        <v>252134.07013666871</v>
      </c>
      <c r="AI71" s="101">
        <f t="shared" si="237"/>
        <v>349384.11701887171</v>
      </c>
      <c r="AJ71" s="101">
        <f t="shared" si="237"/>
        <v>453670.58304905024</v>
      </c>
      <c r="AK71" s="101">
        <f t="shared" si="237"/>
        <v>565056.8443419981</v>
      </c>
      <c r="AL71" s="101">
        <f t="shared" si="237"/>
        <v>683606.91238057707</v>
      </c>
      <c r="AM71" s="101">
        <f t="shared" si="237"/>
        <v>809385.44057213352</v>
      </c>
      <c r="AN71" s="101">
        <f t="shared" si="237"/>
        <v>942457.73087305855</v>
      </c>
      <c r="AO71" s="101">
        <f t="shared" si="237"/>
        <v>1082889.7404821969</v>
      </c>
      <c r="AP71" s="101">
        <f t="shared" si="237"/>
        <v>1230748.088603823</v>
      </c>
      <c r="AQ71" s="101">
        <f t="shared" si="237"/>
        <v>1386100.06328091</v>
      </c>
      <c r="AR71" s="101">
        <f t="shared" si="237"/>
        <v>1549013.6282994205</v>
      </c>
      <c r="AS71" s="101">
        <f t="shared" si="237"/>
        <v>1719557.4301643609</v>
      </c>
      <c r="AT71" s="101">
        <f t="shared" si="237"/>
        <v>1897800.8051483454</v>
      </c>
      <c r="AU71" s="101">
        <f t="shared" si="237"/>
        <v>2083813.7864134249</v>
      </c>
      <c r="AV71" s="101">
        <f t="shared" si="237"/>
        <v>2277667.1112069436</v>
      </c>
      <c r="AW71" s="101">
        <f t="shared" si="237"/>
        <v>2479432.2281321939</v>
      </c>
      <c r="AX71" s="101">
        <f t="shared" si="237"/>
        <v>2689181.3044946473</v>
      </c>
      <c r="AY71" s="101">
        <f t="shared" si="237"/>
        <v>2906987.2337245513</v>
      </c>
      <c r="AZ71" s="101">
        <f t="shared" si="237"/>
        <v>3132923.6428766837</v>
      </c>
      <c r="BA71" s="101">
        <f t="shared" si="237"/>
        <v>3367064.9002080699</v>
      </c>
      <c r="BB71" s="101">
        <f t="shared" si="237"/>
        <v>3609486.1228344748</v>
      </c>
      <c r="BC71" s="101">
        <f t="shared" si="237"/>
        <v>3860263.1844664845</v>
      </c>
      <c r="BD71" s="101">
        <f t="shared" si="237"/>
        <v>4119472.7232260201</v>
      </c>
      <c r="BE71" s="101">
        <f t="shared" si="237"/>
        <v>5044669.7232260201</v>
      </c>
      <c r="BF71" s="101">
        <f t="shared" si="237"/>
        <v>5044669.7232260201</v>
      </c>
      <c r="BG71" s="101">
        <f t="shared" si="237"/>
        <v>5044669.7232260201</v>
      </c>
      <c r="BH71" s="101">
        <f t="shared" si="237"/>
        <v>5044669.7232260201</v>
      </c>
      <c r="BI71" s="101">
        <f t="shared" si="237"/>
        <v>5044669.7232260201</v>
      </c>
      <c r="BJ71" s="101">
        <f t="shared" si="237"/>
        <v>5044669.7232260201</v>
      </c>
      <c r="BK71" s="101">
        <f t="shared" si="237"/>
        <v>5044669.7232260201</v>
      </c>
      <c r="BL71" s="101">
        <f t="shared" si="237"/>
        <v>5044669.7232260201</v>
      </c>
      <c r="BM71" s="101">
        <f t="shared" si="237"/>
        <v>5044669.7232260201</v>
      </c>
      <c r="BN71" s="101">
        <f t="shared" si="237"/>
        <v>5044669.7232260201</v>
      </c>
      <c r="BO71" s="101">
        <f t="shared" si="237"/>
        <v>5044669.7232260201</v>
      </c>
      <c r="BP71" s="101">
        <f t="shared" si="237"/>
        <v>5044669.7232260201</v>
      </c>
      <c r="BQ71" s="101">
        <f t="shared" si="237"/>
        <v>5044669.7232260201</v>
      </c>
      <c r="BR71" s="101">
        <f t="shared" si="237"/>
        <v>5044669.7232260201</v>
      </c>
      <c r="BS71" s="101">
        <f t="shared" si="237"/>
        <v>5044669.7232260201</v>
      </c>
      <c r="BT71" s="101">
        <f t="shared" si="237"/>
        <v>5044669.7232260201</v>
      </c>
      <c r="BU71" s="101">
        <f t="shared" si="237"/>
        <v>5044669.7232260201</v>
      </c>
      <c r="BV71" s="101">
        <f t="shared" ref="BV71:DD71" si="238">BU71+BV48+BV58-BV55</f>
        <v>5044669.7232260201</v>
      </c>
      <c r="BW71" s="101">
        <f t="shared" si="238"/>
        <v>5044669.7232260201</v>
      </c>
      <c r="BX71" s="101">
        <f t="shared" si="238"/>
        <v>5044669.7232260201</v>
      </c>
      <c r="BY71" s="101">
        <f t="shared" si="238"/>
        <v>5044669.7232260201</v>
      </c>
      <c r="BZ71" s="101">
        <f t="shared" si="238"/>
        <v>5044669.7232260201</v>
      </c>
      <c r="CA71" s="101">
        <f t="shared" si="238"/>
        <v>5044669.7232260201</v>
      </c>
      <c r="CB71" s="101">
        <f t="shared" si="238"/>
        <v>5044669.7232260201</v>
      </c>
      <c r="CC71" s="101">
        <f t="shared" si="238"/>
        <v>5044669.7232260201</v>
      </c>
      <c r="CD71" s="101">
        <f t="shared" si="238"/>
        <v>5044669.7232260201</v>
      </c>
      <c r="CE71" s="101">
        <f t="shared" si="238"/>
        <v>5044669.7232260201</v>
      </c>
      <c r="CF71" s="101">
        <f t="shared" si="238"/>
        <v>5044669.7232260201</v>
      </c>
      <c r="CG71" s="101">
        <f t="shared" si="238"/>
        <v>5044669.7232260201</v>
      </c>
      <c r="CH71" s="101">
        <f t="shared" si="238"/>
        <v>5044669.7232260201</v>
      </c>
      <c r="CI71" s="101">
        <f t="shared" si="238"/>
        <v>5044669.7232260201</v>
      </c>
      <c r="CJ71" s="101">
        <f t="shared" si="238"/>
        <v>5044669.7232260201</v>
      </c>
      <c r="CK71" s="101">
        <f t="shared" si="238"/>
        <v>5044669.7232260201</v>
      </c>
      <c r="CL71" s="101">
        <f t="shared" si="238"/>
        <v>5044669.7232260201</v>
      </c>
      <c r="CM71" s="101">
        <f t="shared" si="238"/>
        <v>5044669.7232260201</v>
      </c>
      <c r="CN71" s="101">
        <f t="shared" si="238"/>
        <v>5044669.7232260201</v>
      </c>
      <c r="CO71" s="101">
        <f t="shared" si="238"/>
        <v>5044669.7232260201</v>
      </c>
      <c r="CP71" s="101">
        <f t="shared" si="238"/>
        <v>5044669.7232260201</v>
      </c>
      <c r="CQ71" s="101">
        <f t="shared" si="238"/>
        <v>5044669.7232260201</v>
      </c>
      <c r="CR71" s="101">
        <f t="shared" si="238"/>
        <v>5044669.7232260201</v>
      </c>
      <c r="CS71" s="101">
        <f t="shared" si="238"/>
        <v>5044669.7232260201</v>
      </c>
      <c r="CT71" s="101">
        <f t="shared" si="238"/>
        <v>5044669.7232260201</v>
      </c>
      <c r="CU71" s="101">
        <f t="shared" si="238"/>
        <v>5044669.7232260201</v>
      </c>
      <c r="CV71" s="101">
        <f t="shared" si="238"/>
        <v>5044669.7232260201</v>
      </c>
      <c r="CW71" s="101">
        <f t="shared" si="238"/>
        <v>5044669.7232260201</v>
      </c>
      <c r="CX71" s="101">
        <f t="shared" si="238"/>
        <v>5044669.7232260201</v>
      </c>
      <c r="CY71" s="101">
        <f t="shared" si="238"/>
        <v>5044669.7232260201</v>
      </c>
      <c r="CZ71" s="101">
        <f t="shared" si="238"/>
        <v>5044669.7232260201</v>
      </c>
      <c r="DA71" s="101">
        <f t="shared" si="238"/>
        <v>5044669.7232260201</v>
      </c>
      <c r="DB71" s="101">
        <f t="shared" si="238"/>
        <v>5044669.7232260201</v>
      </c>
      <c r="DC71" s="101">
        <f t="shared" si="238"/>
        <v>5044669.7232260201</v>
      </c>
      <c r="DD71" s="101">
        <f t="shared" si="238"/>
        <v>5044669.7232260201</v>
      </c>
    </row>
    <row r="72" spans="2:108">
      <c r="B72" s="100" t="s">
        <v>484</v>
      </c>
      <c r="C72" s="101">
        <f>PMT($C$36/12,$C$5,-$C$55)*$C$12</f>
        <v>0</v>
      </c>
    </row>
    <row r="73" spans="2:108" ht="14.5" customHeight="1"/>
    <row r="86" ht="14.5" customHeight="1"/>
    <row r="99" ht="14.5" customHeight="1"/>
    <row r="112" ht="14.5" customHeight="1"/>
    <row r="125" ht="14.5" customHeight="1"/>
    <row r="138" ht="14.5" customHeight="1"/>
    <row r="151" ht="14.5" customHeight="1"/>
  </sheetData>
  <sheetProtection algorithmName="SHA-512" hashValue="E6G4ZLGiV+/PckO3INb8BjFRRod59xNmBtZMKlZmFRavpzdlDna29G9AUqnCq3lpClm+ahVc2/C2vGArrWp4ug==" saltValue="aGIzeStuGXdcDscXPleNIg==" spinCount="100000" sheet="1" formatCells="0" formatColumns="0" formatRows="0" insertHyperlinks="0"/>
  <pageMargins left="0.7" right="0.7" top="0.75" bottom="0.75" header="0.3" footer="0.3"/>
  <pageSetup orientation="portrait" r:id="rId1"/>
  <ignoredErrors>
    <ignoredError sqref="I73:DE73" formula="1"/>
    <ignoredError sqref="DE8 C28 DE13:DE17 DE9 AI60:DE60 J60:AE60 J67:DE67 DE64:DE66 DE40 I62:DE63 DE35 DE46:DE54 DE27:DE34 J61:DE61 DE58 DE25 DE20:DE21 DE42:DE45" evalError="1" formula="1"/>
    <ignoredError sqref="C2:DE2 C46:G48 C42:G45 C22:G24 C20:G21 C26:G26 C25:G25 C59:DE59 C58:DD58 C55:DE57 C49:G49 C68:DE68 C61:I61 C36:G39 C27:G27 C50:G54 C35:G35 C18:G19 C15:G15 C62:H63 C41:G41 C40:G40 C64:DD66 C67:I67 C60:I60 AF60:AH60 C14:G14 C13:G13 C10:G12 C9:G9 C16:G17 C29:G34 D28:G28 C8:G8 C3:G7 DE3:DE7 DE22:DE24 DE26 DE36:DE39 DE18:DE19 DE41 DE10:DE12" evalError="1"/>
    <ignoredError sqref="I42:DD45 I49:DD49 I27:DD34 J35:DD35 I15:DD15 H13 H9:DD9 H8:I8 J8:DD8" evalError="1" formula="1" unlockedFormula="1"/>
    <ignoredError sqref="H28 H29:H34 H16:DD17 H10:DD12 I13:DD13 H14:DD14 H40:DD40 H41:DD41 H15 H18:DD19 H35:I35 H50:DD54 H27 H36:DD39 H49 H25:DD25 H26:DD26 H20:DD21 H22:DD24 H42:H45 H46:DD48 H3:DD7" evalError="1" unlocked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8">
    <tabColor theme="0" tint="-0.499984740745262"/>
  </sheetPr>
  <dimension ref="A2:P55"/>
  <sheetViews>
    <sheetView showGridLines="0" topLeftCell="A25" zoomScale="85" zoomScaleNormal="85" workbookViewId="0">
      <selection activeCell="B40" sqref="B40"/>
    </sheetView>
  </sheetViews>
  <sheetFormatPr baseColWidth="10" defaultColWidth="11.54296875" defaultRowHeight="14.5"/>
  <cols>
    <col min="1" max="1" width="25.26953125" style="13" customWidth="1"/>
    <col min="2" max="2" width="25.7265625" style="13" customWidth="1"/>
    <col min="3" max="5" width="11.7265625" style="13" customWidth="1"/>
    <col min="6" max="7" width="11.54296875" style="13"/>
    <col min="8" max="10" width="11.7265625" style="13" customWidth="1"/>
    <col min="11" max="11" width="11.54296875" style="13"/>
    <col min="12" max="12" width="25.7265625" style="13" customWidth="1"/>
    <col min="13" max="15" width="11.7265625" style="13" customWidth="1"/>
    <col min="16" max="16384" width="11.54296875" style="13"/>
  </cols>
  <sheetData>
    <row r="2" spans="1:16">
      <c r="A2" s="1"/>
      <c r="B2" s="1"/>
      <c r="C2" s="810" t="s">
        <v>33</v>
      </c>
      <c r="D2" s="811"/>
      <c r="E2" s="812"/>
      <c r="F2" s="1"/>
      <c r="G2" s="1"/>
      <c r="H2" s="810" t="s">
        <v>34</v>
      </c>
      <c r="I2" s="811"/>
      <c r="J2" s="812"/>
      <c r="K2" s="1"/>
      <c r="L2" s="1"/>
      <c r="M2" s="810" t="s">
        <v>35</v>
      </c>
      <c r="N2" s="811"/>
      <c r="O2" s="812"/>
      <c r="P2" s="1"/>
    </row>
    <row r="3" spans="1:16">
      <c r="A3" s="1"/>
      <c r="B3" s="7" t="s">
        <v>337</v>
      </c>
      <c r="C3" s="7" t="s">
        <v>36</v>
      </c>
      <c r="D3" s="7" t="s">
        <v>37</v>
      </c>
      <c r="E3" s="7" t="s">
        <v>38</v>
      </c>
      <c r="F3" s="1"/>
      <c r="G3" s="1"/>
      <c r="H3" s="7" t="s">
        <v>36</v>
      </c>
      <c r="I3" s="7" t="s">
        <v>37</v>
      </c>
      <c r="J3" s="7" t="s">
        <v>38</v>
      </c>
      <c r="K3" s="1"/>
      <c r="L3" s="1"/>
      <c r="M3" s="7" t="s">
        <v>39</v>
      </c>
      <c r="N3" s="7" t="s">
        <v>40</v>
      </c>
      <c r="O3" s="7" t="s">
        <v>41</v>
      </c>
      <c r="P3" s="1"/>
    </row>
    <row r="4" spans="1:16">
      <c r="A4" s="1" t="s">
        <v>50</v>
      </c>
      <c r="B4" s="31" t="s">
        <v>575</v>
      </c>
      <c r="C4" s="2">
        <f>260000*1.1</f>
        <v>286000</v>
      </c>
      <c r="D4" s="2">
        <f>260000*1.1</f>
        <v>286000</v>
      </c>
      <c r="E4" s="2">
        <f>260000*1.1</f>
        <v>286000</v>
      </c>
      <c r="F4" s="9"/>
      <c r="G4" s="1"/>
      <c r="H4" s="813"/>
      <c r="I4" s="813"/>
      <c r="J4" s="813"/>
      <c r="K4" s="8"/>
      <c r="L4" s="1"/>
      <c r="M4" s="1"/>
      <c r="N4" s="1"/>
      <c r="O4" s="1"/>
      <c r="P4" s="1"/>
    </row>
    <row r="5" spans="1:16">
      <c r="A5" s="1" t="s">
        <v>42</v>
      </c>
      <c r="B5" s="31" t="s">
        <v>576</v>
      </c>
      <c r="C5" s="2">
        <f>380000*1.1</f>
        <v>418000.00000000006</v>
      </c>
      <c r="D5" s="2">
        <f>380000*1.1</f>
        <v>418000.00000000006</v>
      </c>
      <c r="E5" s="2">
        <f>380000*1.1</f>
        <v>418000.00000000006</v>
      </c>
      <c r="F5" s="9"/>
      <c r="G5" s="1"/>
      <c r="H5" s="1"/>
      <c r="I5" s="1"/>
      <c r="J5" s="1"/>
      <c r="K5" s="3"/>
      <c r="L5" s="10" t="s">
        <v>43</v>
      </c>
      <c r="M5" s="4">
        <f>7000*1.1</f>
        <v>7700.0000000000009</v>
      </c>
      <c r="N5" s="4"/>
      <c r="O5" s="4"/>
      <c r="P5" s="5"/>
    </row>
    <row r="6" spans="1:16">
      <c r="A6" s="1" t="s">
        <v>46</v>
      </c>
      <c r="B6" s="31" t="s">
        <v>577</v>
      </c>
      <c r="C6" s="2">
        <f>290000*1.1</f>
        <v>319000</v>
      </c>
      <c r="D6" s="2">
        <f>290000*1.1</f>
        <v>319000</v>
      </c>
      <c r="E6" s="2">
        <f>290000*1.1</f>
        <v>319000</v>
      </c>
      <c r="F6" s="9"/>
      <c r="G6" s="1"/>
      <c r="H6" s="1"/>
      <c r="I6" s="1"/>
      <c r="J6" s="1"/>
      <c r="K6" s="3"/>
      <c r="L6" s="10" t="s">
        <v>45</v>
      </c>
      <c r="M6" s="4"/>
      <c r="N6" s="4">
        <f>10000*1.1</f>
        <v>11000</v>
      </c>
      <c r="O6" s="4"/>
      <c r="P6" s="5"/>
    </row>
    <row r="7" spans="1:16">
      <c r="A7" s="1" t="s">
        <v>58</v>
      </c>
      <c r="B7" s="31" t="s">
        <v>578</v>
      </c>
      <c r="C7" s="2">
        <f>105000*1.1</f>
        <v>115500.00000000001</v>
      </c>
      <c r="D7" s="2">
        <f>105000*1.1</f>
        <v>115500.00000000001</v>
      </c>
      <c r="E7" s="2">
        <f>105000*1.1</f>
        <v>115500.00000000001</v>
      </c>
      <c r="F7" s="9"/>
      <c r="G7" s="1"/>
      <c r="H7" s="1"/>
      <c r="I7" s="1"/>
      <c r="J7" s="1"/>
      <c r="K7" s="3"/>
      <c r="L7" s="10" t="s">
        <v>47</v>
      </c>
      <c r="M7" s="4"/>
      <c r="N7" s="4"/>
      <c r="O7" s="4">
        <f>12000*1.1</f>
        <v>13200.000000000002</v>
      </c>
      <c r="P7" s="5"/>
    </row>
    <row r="8" spans="1:16">
      <c r="A8" s="1" t="s">
        <v>79</v>
      </c>
      <c r="B8" s="32" t="s">
        <v>579</v>
      </c>
      <c r="C8" s="2">
        <f>50000*1.1</f>
        <v>55000.000000000007</v>
      </c>
      <c r="D8" s="2">
        <f>50000*1.1</f>
        <v>55000.000000000007</v>
      </c>
      <c r="E8" s="2">
        <f>50000*1.1</f>
        <v>55000.000000000007</v>
      </c>
      <c r="F8" s="9"/>
      <c r="G8" s="1"/>
      <c r="H8" s="1"/>
      <c r="I8" s="1"/>
      <c r="J8" s="1"/>
      <c r="K8" s="3"/>
      <c r="L8" s="10" t="s">
        <v>49</v>
      </c>
      <c r="M8" s="4">
        <f>10000*1.1</f>
        <v>11000</v>
      </c>
      <c r="N8" s="4"/>
      <c r="O8" s="4"/>
      <c r="P8" s="5"/>
    </row>
    <row r="9" spans="1:16">
      <c r="A9" s="1" t="s">
        <v>59</v>
      </c>
      <c r="B9" s="31" t="s">
        <v>580</v>
      </c>
      <c r="C9" s="2">
        <f>150000*1.1</f>
        <v>165000</v>
      </c>
      <c r="D9" s="2">
        <f>150000*1.1</f>
        <v>165000</v>
      </c>
      <c r="E9" s="2">
        <f>150000*1.1</f>
        <v>165000</v>
      </c>
      <c r="F9" s="9"/>
      <c r="G9" s="1"/>
      <c r="H9" s="1"/>
      <c r="I9" s="1"/>
      <c r="J9" s="1"/>
      <c r="K9" s="3"/>
      <c r="L9" s="10" t="s">
        <v>51</v>
      </c>
      <c r="M9" s="4"/>
      <c r="N9" s="4">
        <f>18000*1.1</f>
        <v>19800</v>
      </c>
      <c r="O9" s="4"/>
      <c r="P9" s="5"/>
    </row>
    <row r="10" spans="1:16">
      <c r="A10" s="1" t="s">
        <v>52</v>
      </c>
      <c r="B10" s="31" t="s">
        <v>581</v>
      </c>
      <c r="C10" s="2">
        <f>180000*1.1</f>
        <v>198000.00000000003</v>
      </c>
      <c r="D10" s="2">
        <f>180000*1.1</f>
        <v>198000.00000000003</v>
      </c>
      <c r="E10" s="2">
        <f>180000*1.1</f>
        <v>198000.00000000003</v>
      </c>
      <c r="F10" s="9"/>
      <c r="G10" s="1"/>
      <c r="H10" s="1"/>
      <c r="I10" s="1"/>
      <c r="J10" s="1"/>
      <c r="K10" s="3"/>
      <c r="L10" s="10" t="s">
        <v>53</v>
      </c>
      <c r="M10" s="4"/>
      <c r="N10" s="4"/>
      <c r="O10" s="4">
        <f>20000*1.1</f>
        <v>22000</v>
      </c>
      <c r="P10" s="5"/>
    </row>
    <row r="11" spans="1:16">
      <c r="A11" s="1" t="s">
        <v>87</v>
      </c>
      <c r="B11" s="32" t="s">
        <v>582</v>
      </c>
      <c r="C11" s="2">
        <f>56000*1.1</f>
        <v>61600.000000000007</v>
      </c>
      <c r="D11" s="2">
        <f>56000*1.1</f>
        <v>61600.000000000007</v>
      </c>
      <c r="E11" s="2">
        <f>56000*1.1</f>
        <v>61600.000000000007</v>
      </c>
      <c r="F11" s="9"/>
      <c r="G11" s="1"/>
      <c r="H11" s="1"/>
      <c r="I11" s="1"/>
      <c r="J11" s="1"/>
      <c r="K11" s="3"/>
      <c r="L11" s="10"/>
      <c r="M11" s="3"/>
      <c r="N11" s="3"/>
      <c r="O11" s="3"/>
      <c r="P11" s="5"/>
    </row>
    <row r="12" spans="1:16">
      <c r="A12" s="1" t="s">
        <v>74</v>
      </c>
      <c r="B12" s="32" t="s">
        <v>583</v>
      </c>
      <c r="C12" s="2">
        <f>70000*1.1</f>
        <v>77000</v>
      </c>
      <c r="D12" s="2">
        <f>70000*1.1</f>
        <v>77000</v>
      </c>
      <c r="E12" s="2">
        <f>70000*1.1</f>
        <v>77000</v>
      </c>
      <c r="F12" s="9"/>
      <c r="G12" s="1"/>
      <c r="H12" s="1"/>
      <c r="I12" s="1"/>
      <c r="J12" s="1"/>
      <c r="K12" s="3"/>
      <c r="L12" s="6"/>
      <c r="M12" s="810" t="s">
        <v>56</v>
      </c>
      <c r="N12" s="811"/>
      <c r="O12" s="812"/>
      <c r="P12" s="5"/>
    </row>
    <row r="13" spans="1:16">
      <c r="A13" s="1" t="s">
        <v>44</v>
      </c>
      <c r="B13" s="31" t="s">
        <v>584</v>
      </c>
      <c r="C13" s="2">
        <f>330000*1.1</f>
        <v>363000.00000000006</v>
      </c>
      <c r="D13" s="2">
        <f>330000*1.1</f>
        <v>363000.00000000006</v>
      </c>
      <c r="E13" s="2">
        <f>330000*1.1</f>
        <v>363000.00000000006</v>
      </c>
      <c r="F13" s="9"/>
      <c r="G13" s="1"/>
      <c r="H13" s="1"/>
      <c r="I13" s="1"/>
      <c r="J13" s="1"/>
      <c r="K13" s="3"/>
      <c r="L13" s="6"/>
      <c r="M13" s="7" t="s">
        <v>36</v>
      </c>
      <c r="N13" s="7" t="s">
        <v>37</v>
      </c>
      <c r="O13" s="7" t="s">
        <v>38</v>
      </c>
      <c r="P13" s="5"/>
    </row>
    <row r="14" spans="1:16">
      <c r="A14" s="1" t="s">
        <v>77</v>
      </c>
      <c r="B14" s="32" t="s">
        <v>585</v>
      </c>
      <c r="C14" s="2">
        <f t="shared" ref="C14:E15" si="0">55000*1.1</f>
        <v>60500.000000000007</v>
      </c>
      <c r="D14" s="2">
        <f t="shared" si="0"/>
        <v>60500.000000000007</v>
      </c>
      <c r="E14" s="2">
        <f t="shared" si="0"/>
        <v>60500.000000000007</v>
      </c>
      <c r="F14" s="9"/>
      <c r="G14" s="1"/>
      <c r="H14" s="1"/>
      <c r="I14" s="1"/>
      <c r="J14" s="1"/>
      <c r="K14" s="3"/>
      <c r="L14" s="6"/>
      <c r="M14" s="3"/>
      <c r="N14" s="3"/>
      <c r="O14" s="3"/>
      <c r="P14" s="5"/>
    </row>
    <row r="15" spans="1:16">
      <c r="A15" s="1" t="s">
        <v>76</v>
      </c>
      <c r="B15" s="32" t="s">
        <v>586</v>
      </c>
      <c r="C15" s="2">
        <f t="shared" si="0"/>
        <v>60500.000000000007</v>
      </c>
      <c r="D15" s="2">
        <f t="shared" si="0"/>
        <v>60500.000000000007</v>
      </c>
      <c r="E15" s="2">
        <f t="shared" si="0"/>
        <v>60500.000000000007</v>
      </c>
      <c r="F15" s="9"/>
      <c r="G15" s="1"/>
      <c r="H15" s="1"/>
      <c r="I15" s="1"/>
      <c r="J15" s="1"/>
      <c r="K15" s="3"/>
      <c r="L15" s="6" t="s">
        <v>60</v>
      </c>
      <c r="M15" s="2">
        <f>15000*1.1</f>
        <v>16500</v>
      </c>
      <c r="N15" s="2">
        <f t="shared" ref="N15:O15" si="1">15000*1.1</f>
        <v>16500</v>
      </c>
      <c r="O15" s="2">
        <f t="shared" si="1"/>
        <v>16500</v>
      </c>
      <c r="P15" s="5"/>
    </row>
    <row r="16" spans="1:16">
      <c r="A16" s="1" t="s">
        <v>55</v>
      </c>
      <c r="B16" s="31" t="s">
        <v>587</v>
      </c>
      <c r="C16" s="2">
        <f>150000*1.1</f>
        <v>165000</v>
      </c>
      <c r="D16" s="2">
        <f>150000*1.1</f>
        <v>165000</v>
      </c>
      <c r="E16" s="2">
        <f>150000*1.1</f>
        <v>165000</v>
      </c>
      <c r="F16" s="9"/>
      <c r="G16" s="1"/>
      <c r="H16" s="1"/>
      <c r="I16" s="1"/>
      <c r="J16" s="1"/>
      <c r="K16" s="3"/>
      <c r="L16" s="6" t="s">
        <v>62</v>
      </c>
      <c r="M16" s="2">
        <f t="shared" ref="M16:O21" si="2">15000*1.1</f>
        <v>16500</v>
      </c>
      <c r="N16" s="2">
        <f t="shared" si="2"/>
        <v>16500</v>
      </c>
      <c r="O16" s="2">
        <f t="shared" si="2"/>
        <v>16500</v>
      </c>
      <c r="P16" s="5"/>
    </row>
    <row r="17" spans="1:16">
      <c r="A17" s="1" t="s">
        <v>89</v>
      </c>
      <c r="B17" s="32" t="s">
        <v>588</v>
      </c>
      <c r="C17" s="2">
        <f>70000*1.1</f>
        <v>77000</v>
      </c>
      <c r="D17" s="2">
        <f>70000*1.1</f>
        <v>77000</v>
      </c>
      <c r="E17" s="2">
        <f>70000*1.1</f>
        <v>77000</v>
      </c>
      <c r="F17" s="9"/>
      <c r="G17" s="1"/>
      <c r="H17" s="1"/>
      <c r="I17" s="1"/>
      <c r="J17" s="1"/>
      <c r="K17" s="3"/>
      <c r="L17" s="6" t="s">
        <v>64</v>
      </c>
      <c r="M17" s="2">
        <f t="shared" si="2"/>
        <v>16500</v>
      </c>
      <c r="N17" s="2">
        <f t="shared" si="2"/>
        <v>16500</v>
      </c>
      <c r="O17" s="2">
        <f t="shared" si="2"/>
        <v>16500</v>
      </c>
      <c r="P17" s="5"/>
    </row>
    <row r="18" spans="1:16">
      <c r="A18" s="1" t="s">
        <v>81</v>
      </c>
      <c r="B18" s="32" t="s">
        <v>589</v>
      </c>
      <c r="C18" s="2">
        <f>50000*1.1</f>
        <v>55000.000000000007</v>
      </c>
      <c r="D18" s="2">
        <f>50000*1.1</f>
        <v>55000.000000000007</v>
      </c>
      <c r="E18" s="2">
        <f>50000*1.1</f>
        <v>55000.000000000007</v>
      </c>
      <c r="F18" s="9"/>
      <c r="G18" s="1"/>
      <c r="H18" s="1"/>
      <c r="I18" s="1"/>
      <c r="J18" s="1"/>
      <c r="K18" s="3"/>
      <c r="L18" s="6" t="s">
        <v>66</v>
      </c>
      <c r="M18" s="2">
        <f t="shared" si="2"/>
        <v>16500</v>
      </c>
      <c r="N18" s="2">
        <f t="shared" si="2"/>
        <v>16500</v>
      </c>
      <c r="O18" s="2">
        <f t="shared" si="2"/>
        <v>16500</v>
      </c>
      <c r="P18" s="5"/>
    </row>
    <row r="19" spans="1:16">
      <c r="A19" s="1" t="s">
        <v>61</v>
      </c>
      <c r="B19" s="31" t="s">
        <v>590</v>
      </c>
      <c r="C19" s="2">
        <f>150000*1.1</f>
        <v>165000</v>
      </c>
      <c r="D19" s="2">
        <f>150000*1.1</f>
        <v>165000</v>
      </c>
      <c r="E19" s="2">
        <f>150000*1.1</f>
        <v>165000</v>
      </c>
      <c r="F19" s="5"/>
      <c r="G19" s="1"/>
      <c r="H19" s="1"/>
      <c r="I19" s="1"/>
      <c r="J19" s="1"/>
      <c r="K19" s="3"/>
      <c r="L19" s="6" t="s">
        <v>68</v>
      </c>
      <c r="M19" s="2">
        <f t="shared" si="2"/>
        <v>16500</v>
      </c>
      <c r="N19" s="2">
        <f t="shared" si="2"/>
        <v>16500</v>
      </c>
      <c r="O19" s="2">
        <f t="shared" si="2"/>
        <v>16500</v>
      </c>
      <c r="P19" s="5"/>
    </row>
    <row r="20" spans="1:16">
      <c r="A20" s="1" t="s">
        <v>75</v>
      </c>
      <c r="B20" s="32" t="s">
        <v>591</v>
      </c>
      <c r="C20" s="2">
        <f>68000*1.1</f>
        <v>74800</v>
      </c>
      <c r="D20" s="2">
        <f>68000*1.1</f>
        <v>74800</v>
      </c>
      <c r="E20" s="2">
        <f>68000*1.1</f>
        <v>74800</v>
      </c>
      <c r="F20" s="5"/>
      <c r="G20" s="1"/>
      <c r="H20" s="1"/>
      <c r="I20" s="1"/>
      <c r="J20" s="1"/>
      <c r="K20" s="3"/>
      <c r="L20" s="6" t="s">
        <v>70</v>
      </c>
      <c r="M20" s="2">
        <f t="shared" si="2"/>
        <v>16500</v>
      </c>
      <c r="N20" s="2">
        <f t="shared" si="2"/>
        <v>16500</v>
      </c>
      <c r="O20" s="2">
        <f t="shared" si="2"/>
        <v>16500</v>
      </c>
      <c r="P20" s="5"/>
    </row>
    <row r="21" spans="1:16">
      <c r="A21" s="1" t="s">
        <v>48</v>
      </c>
      <c r="B21" s="31" t="s">
        <v>592</v>
      </c>
      <c r="C21" s="2">
        <f>290000*1.1</f>
        <v>319000</v>
      </c>
      <c r="D21" s="2">
        <f>290000*1.1</f>
        <v>319000</v>
      </c>
      <c r="E21" s="2">
        <f>290000*1.1</f>
        <v>319000</v>
      </c>
      <c r="F21" s="5"/>
      <c r="G21" s="5"/>
      <c r="H21" s="1"/>
      <c r="I21" s="1"/>
      <c r="J21" s="1"/>
      <c r="K21" s="3"/>
      <c r="L21" s="6" t="s">
        <v>72</v>
      </c>
      <c r="M21" s="2">
        <f t="shared" si="2"/>
        <v>16500</v>
      </c>
      <c r="N21" s="2">
        <f t="shared" si="2"/>
        <v>16500</v>
      </c>
      <c r="O21" s="2">
        <f t="shared" si="2"/>
        <v>16500</v>
      </c>
      <c r="P21" s="5"/>
    </row>
    <row r="22" spans="1:16">
      <c r="A22" s="1" t="s">
        <v>67</v>
      </c>
      <c r="B22" s="31" t="s">
        <v>593</v>
      </c>
      <c r="C22" s="2">
        <f>180000*1.1</f>
        <v>198000.00000000003</v>
      </c>
      <c r="D22" s="2">
        <f>180000*1.1</f>
        <v>198000.00000000003</v>
      </c>
      <c r="E22" s="2">
        <f>180000*1.1</f>
        <v>198000.00000000003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>
      <c r="A23" s="1" t="s">
        <v>57</v>
      </c>
      <c r="B23" s="31" t="s">
        <v>594</v>
      </c>
      <c r="C23" s="2">
        <f>105000*1.1</f>
        <v>115500.00000000001</v>
      </c>
      <c r="D23" s="2">
        <f>105000*1.1</f>
        <v>115500.00000000001</v>
      </c>
      <c r="E23" s="2">
        <f>105000*1.1</f>
        <v>115500.00000000001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>
      <c r="A24" s="1" t="s">
        <v>71</v>
      </c>
      <c r="B24" s="31" t="s">
        <v>595</v>
      </c>
      <c r="C24" s="2">
        <f>210000*1.1</f>
        <v>231000.00000000003</v>
      </c>
      <c r="D24" s="2">
        <f>210000*1.1</f>
        <v>231000.00000000003</v>
      </c>
      <c r="E24" s="2">
        <f>210000*1.1</f>
        <v>231000.00000000003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>
      <c r="A25" s="1" t="s">
        <v>69</v>
      </c>
      <c r="B25" s="31" t="s">
        <v>596</v>
      </c>
      <c r="C25" s="2">
        <f>198000*1.1</f>
        <v>217800.00000000003</v>
      </c>
      <c r="D25" s="2">
        <f>198000*1.1</f>
        <v>217800.00000000003</v>
      </c>
      <c r="E25" s="2">
        <f>198000*1.1</f>
        <v>217800.00000000003</v>
      </c>
      <c r="F25" s="1"/>
      <c r="G25" s="1"/>
      <c r="H25" s="5"/>
      <c r="I25" s="5"/>
      <c r="J25" s="5"/>
      <c r="K25" s="5"/>
      <c r="L25" s="5"/>
      <c r="M25" s="1"/>
      <c r="N25" s="1"/>
      <c r="O25" s="1"/>
      <c r="P25" s="5"/>
    </row>
    <row r="26" spans="1:16">
      <c r="A26" s="1" t="s">
        <v>78</v>
      </c>
      <c r="B26" s="32" t="s">
        <v>597</v>
      </c>
      <c r="C26" s="2">
        <f>55000*1.1</f>
        <v>60500.000000000007</v>
      </c>
      <c r="D26" s="2">
        <f>55000*1.1</f>
        <v>60500.000000000007</v>
      </c>
      <c r="E26" s="2">
        <f>55000*1.1</f>
        <v>60500.000000000007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>
      <c r="A27" s="1" t="s">
        <v>83</v>
      </c>
      <c r="B27" s="32" t="s">
        <v>598</v>
      </c>
      <c r="C27" s="2">
        <f>50000*1.1</f>
        <v>55000.000000000007</v>
      </c>
      <c r="D27" s="2">
        <f>50000*1.1</f>
        <v>55000.000000000007</v>
      </c>
      <c r="E27" s="2">
        <f>50000*1.1</f>
        <v>55000.000000000007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>
      <c r="A28" s="1" t="s">
        <v>73</v>
      </c>
      <c r="B28" s="32" t="s">
        <v>599</v>
      </c>
      <c r="C28" s="2">
        <f>70000*1.1</f>
        <v>77000</v>
      </c>
      <c r="D28" s="2">
        <f>70000*1.1</f>
        <v>77000</v>
      </c>
      <c r="E28" s="2">
        <f>70000*1.1</f>
        <v>77000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>
      <c r="A29" s="1" t="s">
        <v>82</v>
      </c>
      <c r="B29" s="32" t="s">
        <v>600</v>
      </c>
      <c r="C29" s="2">
        <f>50000*1.1</f>
        <v>55000.000000000007</v>
      </c>
      <c r="D29" s="2">
        <f>50000*1.1</f>
        <v>55000.000000000007</v>
      </c>
      <c r="E29" s="2">
        <f>50000*1.1</f>
        <v>55000.000000000007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>
      <c r="A30" s="1" t="s">
        <v>84</v>
      </c>
      <c r="B30" s="32" t="s">
        <v>601</v>
      </c>
      <c r="C30" s="2">
        <f t="shared" ref="C30:E32" si="3">55000*1.1</f>
        <v>60500.000000000007</v>
      </c>
      <c r="D30" s="2">
        <f t="shared" si="3"/>
        <v>60500.000000000007</v>
      </c>
      <c r="E30" s="2">
        <f t="shared" si="3"/>
        <v>60500.000000000007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>
      <c r="A31" s="1" t="s">
        <v>85</v>
      </c>
      <c r="B31" s="32" t="s">
        <v>602</v>
      </c>
      <c r="C31" s="2">
        <f t="shared" si="3"/>
        <v>60500.000000000007</v>
      </c>
      <c r="D31" s="2">
        <f t="shared" si="3"/>
        <v>60500.000000000007</v>
      </c>
      <c r="E31" s="2">
        <f t="shared" si="3"/>
        <v>60500.000000000007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>
      <c r="A32" s="1" t="s">
        <v>86</v>
      </c>
      <c r="B32" s="32" t="s">
        <v>603</v>
      </c>
      <c r="C32" s="2">
        <f t="shared" si="3"/>
        <v>60500.000000000007</v>
      </c>
      <c r="D32" s="2">
        <f t="shared" si="3"/>
        <v>60500.000000000007</v>
      </c>
      <c r="E32" s="2">
        <f t="shared" si="3"/>
        <v>60500.000000000007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>
      <c r="A33" s="1" t="s">
        <v>20</v>
      </c>
      <c r="B33" s="32" t="s">
        <v>604</v>
      </c>
      <c r="C33" s="2">
        <v>16500</v>
      </c>
      <c r="D33" s="29"/>
      <c r="E33" s="29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>
      <c r="A34" s="1" t="s">
        <v>88</v>
      </c>
      <c r="B34" s="32" t="s">
        <v>605</v>
      </c>
      <c r="C34" s="2">
        <f>60000*1.1</f>
        <v>66000</v>
      </c>
      <c r="D34" s="2">
        <f>60000*1.1</f>
        <v>66000</v>
      </c>
      <c r="E34" s="2">
        <f>60000*1.1</f>
        <v>66000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>
      <c r="A35" s="1" t="s">
        <v>63</v>
      </c>
      <c r="B35" s="31" t="s">
        <v>606</v>
      </c>
      <c r="C35" s="2">
        <f>160000*1.1</f>
        <v>176000</v>
      </c>
      <c r="D35" s="2">
        <f>160000*1.1</f>
        <v>176000</v>
      </c>
      <c r="E35" s="2">
        <f>160000*1.1</f>
        <v>176000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>
      <c r="A36" s="1" t="s">
        <v>65</v>
      </c>
      <c r="B36" s="31" t="s">
        <v>607</v>
      </c>
      <c r="C36" s="2">
        <f>170000*1.1</f>
        <v>187000.00000000003</v>
      </c>
      <c r="D36" s="2">
        <f>170000*1.1</f>
        <v>187000.00000000003</v>
      </c>
      <c r="E36" s="2">
        <f>170000*1.1</f>
        <v>187000.00000000003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>
      <c r="A37" s="1" t="s">
        <v>54</v>
      </c>
      <c r="B37" s="31" t="s">
        <v>608</v>
      </c>
      <c r="C37" s="2">
        <f>150000*1.1</f>
        <v>165000</v>
      </c>
      <c r="D37" s="2">
        <f>150000*1.1</f>
        <v>165000</v>
      </c>
      <c r="E37" s="2">
        <f>150000*1.1</f>
        <v>165000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>
      <c r="A38" s="1" t="s">
        <v>80</v>
      </c>
      <c r="B38" s="32" t="s">
        <v>609</v>
      </c>
      <c r="C38" s="2">
        <f>50000*1.1</f>
        <v>55000.000000000007</v>
      </c>
      <c r="D38" s="2">
        <f>50000*1.1</f>
        <v>55000.000000000007</v>
      </c>
      <c r="E38" s="2">
        <f>50000*1.1</f>
        <v>55000.000000000007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" t="s">
        <v>90</v>
      </c>
      <c r="B39" s="33" t="s">
        <v>691</v>
      </c>
      <c r="C39" s="30">
        <v>1500000</v>
      </c>
      <c r="D39" s="5"/>
      <c r="E39" s="5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"/>
      <c r="B40" s="11"/>
      <c r="C40" s="5"/>
      <c r="D40" s="5"/>
      <c r="E40" s="5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1"/>
      <c r="B41" s="11"/>
      <c r="C41" s="5"/>
      <c r="D41" s="5"/>
      <c r="E41" s="5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>
      <c r="A42" s="1"/>
      <c r="B42" s="11"/>
      <c r="C42" s="5"/>
      <c r="D42" s="5"/>
      <c r="E42" s="5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>
      <c r="A43" s="1"/>
      <c r="B43" s="11"/>
      <c r="C43" s="5"/>
      <c r="D43" s="5"/>
      <c r="E43" s="5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>
      <c r="A44" s="1"/>
      <c r="B44" s="12" t="s">
        <v>91</v>
      </c>
      <c r="C44" s="5"/>
      <c r="D44" s="5"/>
      <c r="E44" s="5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>
      <c r="A45" s="1"/>
      <c r="B45" s="12" t="s">
        <v>92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>
      <c r="A46" s="1"/>
      <c r="B46" s="12" t="s">
        <v>93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>
      <c r="A47" s="1"/>
      <c r="B47" s="12" t="s">
        <v>94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>
      <c r="A48" s="1"/>
      <c r="B48" s="12" t="s">
        <v>95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>
      <c r="A49" s="1"/>
      <c r="B49" s="12" t="s">
        <v>96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>
      <c r="H55" s="1"/>
      <c r="I55" s="1"/>
      <c r="J55" s="1"/>
      <c r="K55" s="1"/>
      <c r="L55" s="1"/>
      <c r="M55" s="1"/>
      <c r="N55" s="1"/>
      <c r="O55" s="1"/>
      <c r="P55" s="1"/>
    </row>
  </sheetData>
  <sortState xmlns:xlrd2="http://schemas.microsoft.com/office/spreadsheetml/2017/richdata2" ref="B4:E38">
    <sortCondition ref="B4:B38"/>
  </sortState>
  <mergeCells count="5">
    <mergeCell ref="M12:O12"/>
    <mergeCell ref="C2:E2"/>
    <mergeCell ref="H2:J2"/>
    <mergeCell ref="M2:O2"/>
    <mergeCell ref="H4:J4"/>
  </mergeCells>
  <pageMargins left="0.7" right="0.7" top="0.75" bottom="0.75" header="0.3" footer="0.3"/>
  <ignoredErrors>
    <ignoredError sqref="C28:E28" formula="1"/>
  </ignoredErrors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9"/>
  <dimension ref="B1:R41"/>
  <sheetViews>
    <sheetView showGridLines="0" workbookViewId="0">
      <selection activeCell="J2" sqref="J2"/>
    </sheetView>
  </sheetViews>
  <sheetFormatPr baseColWidth="10" defaultColWidth="11.54296875" defaultRowHeight="14.5"/>
  <cols>
    <col min="1" max="1" width="1.7265625" customWidth="1"/>
    <col min="2" max="2" width="20.81640625" bestFit="1" customWidth="1"/>
    <col min="3" max="3" width="1.7265625" customWidth="1"/>
    <col min="4" max="4" width="15.1796875" bestFit="1" customWidth="1"/>
    <col min="5" max="5" width="1.7265625" customWidth="1"/>
    <col min="6" max="6" width="29" bestFit="1" customWidth="1"/>
    <col min="7" max="7" width="1.7265625" customWidth="1"/>
    <col min="8" max="8" width="16.1796875" bestFit="1" customWidth="1"/>
    <col min="9" max="9" width="1.7265625" customWidth="1"/>
    <col min="10" max="10" width="19.26953125" bestFit="1" customWidth="1"/>
    <col min="11" max="11" width="1.7265625" customWidth="1"/>
    <col min="12" max="12" width="29" bestFit="1" customWidth="1"/>
    <col min="13" max="13" width="1.7265625" customWidth="1"/>
    <col min="14" max="14" width="22.81640625" bestFit="1" customWidth="1"/>
    <col min="15" max="15" width="1.7265625" customWidth="1"/>
    <col min="16" max="16" width="22.81640625" bestFit="1" customWidth="1"/>
    <col min="17" max="17" width="1.7265625" customWidth="1"/>
    <col min="18" max="18" width="22.81640625" bestFit="1" customWidth="1"/>
  </cols>
  <sheetData>
    <row r="1" spans="2:18">
      <c r="B1" s="112" t="s">
        <v>343</v>
      </c>
      <c r="D1" s="112" t="s">
        <v>345</v>
      </c>
      <c r="F1" s="113" t="s">
        <v>217</v>
      </c>
      <c r="H1" s="112" t="s">
        <v>347</v>
      </c>
      <c r="J1" s="113" t="s">
        <v>346</v>
      </c>
      <c r="L1" s="113" t="s">
        <v>378</v>
      </c>
      <c r="N1" s="113" t="s">
        <v>634</v>
      </c>
      <c r="P1" s="113" t="s">
        <v>564</v>
      </c>
      <c r="R1" s="113" t="s">
        <v>570</v>
      </c>
    </row>
    <row r="2" spans="2:18">
      <c r="B2" t="s">
        <v>612</v>
      </c>
      <c r="D2" t="s">
        <v>344</v>
      </c>
      <c r="F2" s="114" t="s">
        <v>332</v>
      </c>
      <c r="H2" t="s">
        <v>575</v>
      </c>
      <c r="J2" s="114">
        <v>0</v>
      </c>
      <c r="L2" s="114" t="s">
        <v>380</v>
      </c>
      <c r="N2" s="114" t="s">
        <v>635</v>
      </c>
      <c r="P2" s="114">
        <v>5000</v>
      </c>
      <c r="R2" s="114" t="s">
        <v>571</v>
      </c>
    </row>
    <row r="3" spans="2:18">
      <c r="B3" t="s">
        <v>355</v>
      </c>
      <c r="D3" t="s">
        <v>307</v>
      </c>
      <c r="F3" s="114" t="s">
        <v>218</v>
      </c>
      <c r="H3" t="s">
        <v>576</v>
      </c>
      <c r="J3" s="115">
        <v>10000</v>
      </c>
      <c r="L3" s="114" t="s">
        <v>379</v>
      </c>
      <c r="N3" s="115" t="s">
        <v>636</v>
      </c>
      <c r="P3" s="115">
        <v>10000</v>
      </c>
      <c r="R3" s="115" t="s">
        <v>572</v>
      </c>
    </row>
    <row r="4" spans="2:18">
      <c r="B4" t="s">
        <v>357</v>
      </c>
      <c r="D4" t="s">
        <v>381</v>
      </c>
      <c r="F4" s="114" t="s">
        <v>219</v>
      </c>
      <c r="H4" t="s">
        <v>577</v>
      </c>
      <c r="J4" s="115">
        <v>20000</v>
      </c>
      <c r="L4" s="114"/>
      <c r="N4" s="115" t="s">
        <v>637</v>
      </c>
      <c r="P4" s="115">
        <v>15000</v>
      </c>
      <c r="R4" s="115" t="s">
        <v>573</v>
      </c>
    </row>
    <row r="5" spans="2:18">
      <c r="B5" t="s">
        <v>224</v>
      </c>
      <c r="F5" s="114" t="s">
        <v>27</v>
      </c>
      <c r="H5" t="s">
        <v>578</v>
      </c>
      <c r="J5" s="115">
        <v>30000</v>
      </c>
      <c r="L5" s="114"/>
      <c r="N5" s="115" t="s">
        <v>638</v>
      </c>
      <c r="P5" s="115">
        <v>20000</v>
      </c>
      <c r="R5" s="115" t="s">
        <v>574</v>
      </c>
    </row>
    <row r="6" spans="2:18">
      <c r="F6" s="114" t="s">
        <v>220</v>
      </c>
      <c r="H6" t="s">
        <v>579</v>
      </c>
      <c r="J6" s="115">
        <v>40000</v>
      </c>
      <c r="L6" s="114"/>
      <c r="N6" s="115" t="s">
        <v>639</v>
      </c>
      <c r="P6" s="115"/>
      <c r="R6" s="115"/>
    </row>
    <row r="7" spans="2:18">
      <c r="F7" s="114" t="s">
        <v>488</v>
      </c>
      <c r="H7" t="s">
        <v>580</v>
      </c>
      <c r="J7" s="115">
        <v>50000</v>
      </c>
      <c r="N7" s="115" t="s">
        <v>640</v>
      </c>
      <c r="P7" s="115"/>
      <c r="R7" s="115"/>
    </row>
    <row r="8" spans="2:18">
      <c r="H8" t="s">
        <v>581</v>
      </c>
      <c r="J8" s="115">
        <v>60000</v>
      </c>
      <c r="N8" s="115" t="s">
        <v>641</v>
      </c>
      <c r="P8" s="115"/>
      <c r="R8" s="115"/>
    </row>
    <row r="9" spans="2:18">
      <c r="H9" t="s">
        <v>582</v>
      </c>
      <c r="J9" s="115">
        <v>70000</v>
      </c>
      <c r="N9" s="115"/>
      <c r="P9" s="115"/>
      <c r="R9" s="115"/>
    </row>
    <row r="10" spans="2:18">
      <c r="H10" t="s">
        <v>583</v>
      </c>
      <c r="J10" s="115">
        <v>80000</v>
      </c>
      <c r="N10" s="115"/>
      <c r="P10" s="115"/>
      <c r="R10" s="115"/>
    </row>
    <row r="11" spans="2:18">
      <c r="H11" t="s">
        <v>584</v>
      </c>
      <c r="J11" s="115">
        <v>90000</v>
      </c>
      <c r="N11" s="86"/>
      <c r="P11" s="115"/>
      <c r="R11" s="115"/>
    </row>
    <row r="12" spans="2:18">
      <c r="H12" t="s">
        <v>585</v>
      </c>
      <c r="J12" s="115">
        <v>100000</v>
      </c>
      <c r="N12" s="113" t="s">
        <v>627</v>
      </c>
      <c r="P12" s="115"/>
      <c r="R12" s="115"/>
    </row>
    <row r="13" spans="2:18">
      <c r="H13" t="s">
        <v>586</v>
      </c>
      <c r="J13" s="86"/>
      <c r="N13" s="114" t="s">
        <v>628</v>
      </c>
      <c r="P13" s="86"/>
      <c r="R13" s="86"/>
    </row>
    <row r="14" spans="2:18">
      <c r="H14" t="s">
        <v>587</v>
      </c>
      <c r="N14" t="s">
        <v>629</v>
      </c>
    </row>
    <row r="15" spans="2:18">
      <c r="H15" t="s">
        <v>588</v>
      </c>
    </row>
    <row r="16" spans="2:18">
      <c r="H16" t="s">
        <v>589</v>
      </c>
      <c r="N16" s="113" t="s">
        <v>642</v>
      </c>
    </row>
    <row r="17" spans="8:14">
      <c r="H17" t="s">
        <v>590</v>
      </c>
      <c r="N17" s="114" t="s">
        <v>643</v>
      </c>
    </row>
    <row r="18" spans="8:14">
      <c r="H18" t="s">
        <v>591</v>
      </c>
      <c r="N18" s="115" t="s">
        <v>644</v>
      </c>
    </row>
    <row r="19" spans="8:14">
      <c r="H19" t="s">
        <v>592</v>
      </c>
      <c r="N19" s="115" t="s">
        <v>645</v>
      </c>
    </row>
    <row r="20" spans="8:14">
      <c r="H20" t="s">
        <v>593</v>
      </c>
      <c r="N20" s="115" t="s">
        <v>646</v>
      </c>
    </row>
    <row r="21" spans="8:14">
      <c r="H21" t="s">
        <v>594</v>
      </c>
      <c r="N21" s="115" t="s">
        <v>647</v>
      </c>
    </row>
    <row r="22" spans="8:14">
      <c r="H22" t="s">
        <v>595</v>
      </c>
      <c r="N22" s="115" t="s">
        <v>648</v>
      </c>
    </row>
    <row r="23" spans="8:14">
      <c r="H23" t="s">
        <v>596</v>
      </c>
      <c r="N23" s="115" t="s">
        <v>649</v>
      </c>
    </row>
    <row r="24" spans="8:14">
      <c r="H24" t="s">
        <v>597</v>
      </c>
    </row>
    <row r="25" spans="8:14">
      <c r="H25" t="s">
        <v>598</v>
      </c>
      <c r="N25" s="113" t="s">
        <v>650</v>
      </c>
    </row>
    <row r="26" spans="8:14">
      <c r="H26" t="s">
        <v>599</v>
      </c>
      <c r="N26" s="114" t="s">
        <v>651</v>
      </c>
    </row>
    <row r="27" spans="8:14">
      <c r="H27" t="s">
        <v>600</v>
      </c>
      <c r="N27" s="115" t="s">
        <v>652</v>
      </c>
    </row>
    <row r="28" spans="8:14">
      <c r="H28" t="s">
        <v>601</v>
      </c>
      <c r="N28" s="115" t="s">
        <v>653</v>
      </c>
    </row>
    <row r="29" spans="8:14">
      <c r="H29" t="s">
        <v>602</v>
      </c>
      <c r="N29" s="115" t="s">
        <v>654</v>
      </c>
    </row>
    <row r="30" spans="8:14">
      <c r="H30" t="s">
        <v>603</v>
      </c>
      <c r="N30" s="115" t="s">
        <v>655</v>
      </c>
    </row>
    <row r="31" spans="8:14">
      <c r="H31" t="s">
        <v>604</v>
      </c>
      <c r="N31" s="115" t="s">
        <v>656</v>
      </c>
    </row>
    <row r="32" spans="8:14">
      <c r="H32" t="s">
        <v>605</v>
      </c>
      <c r="N32" s="115" t="s">
        <v>657</v>
      </c>
    </row>
    <row r="33" spans="8:14">
      <c r="H33" t="s">
        <v>606</v>
      </c>
    </row>
    <row r="34" spans="8:14">
      <c r="H34" t="s">
        <v>607</v>
      </c>
      <c r="N34" s="113" t="s">
        <v>650</v>
      </c>
    </row>
    <row r="35" spans="8:14">
      <c r="H35" t="s">
        <v>608</v>
      </c>
      <c r="N35" s="114" t="s">
        <v>658</v>
      </c>
    </row>
    <row r="36" spans="8:14">
      <c r="H36" t="s">
        <v>609</v>
      </c>
      <c r="N36" s="115" t="s">
        <v>659</v>
      </c>
    </row>
    <row r="37" spans="8:14">
      <c r="H37" t="s">
        <v>610</v>
      </c>
      <c r="N37" s="115" t="s">
        <v>660</v>
      </c>
    </row>
    <row r="38" spans="8:14">
      <c r="N38" s="115" t="s">
        <v>661</v>
      </c>
    </row>
    <row r="39" spans="8:14">
      <c r="N39" s="115" t="s">
        <v>662</v>
      </c>
    </row>
    <row r="40" spans="8:14">
      <c r="N40" s="115" t="s">
        <v>663</v>
      </c>
    </row>
    <row r="41" spans="8:14">
      <c r="N41" s="115" t="s">
        <v>664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70947F9A048694C8F792C6E85174ECA" ma:contentTypeVersion="2" ma:contentTypeDescription="Crear nuevo documento." ma:contentTypeScope="" ma:versionID="93b99c9f37b66addff2a078c7a58e2fa">
  <xsd:schema xmlns:xsd="http://www.w3.org/2001/XMLSchema" xmlns:xs="http://www.w3.org/2001/XMLSchema" xmlns:p="http://schemas.microsoft.com/office/2006/metadata/properties" xmlns:ns3="ceabdaf9-ee0a-4bee-b134-9851d0a3d1e3" targetNamespace="http://schemas.microsoft.com/office/2006/metadata/properties" ma:root="true" ma:fieldsID="0438a92833260a5f4110d1fe70321c98" ns3:_="">
    <xsd:import namespace="ceabdaf9-ee0a-4bee-b134-9851d0a3d1e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abdaf9-ee0a-4bee-b134-9851d0a3d1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3D6D60-FC60-48C9-BD6D-DCD8B5C7D7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C5CBDB-CCE1-4AC3-88A5-0371EAFBC2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abdaf9-ee0a-4bee-b134-9851d0a3d1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083654C-F7F0-4DE4-B0C0-642AD3D8A741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terms/"/>
    <ds:schemaRef ds:uri="ceabdaf9-ee0a-4bee-b134-9851d0a3d1e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10</vt:i4>
      </vt:variant>
    </vt:vector>
  </HeadingPairs>
  <TitlesOfParts>
    <vt:vector size="22" baseType="lpstr">
      <vt:lpstr>Carátula</vt:lpstr>
      <vt:lpstr>Resumen</vt:lpstr>
      <vt:lpstr>Accesorios&amp;Equipos</vt:lpstr>
      <vt:lpstr>Curse</vt:lpstr>
      <vt:lpstr>Resumen 365 nuevo</vt:lpstr>
      <vt:lpstr>Tablas&amp;Gastos</vt:lpstr>
      <vt:lpstr>Flujo (Propuesto)</vt:lpstr>
      <vt:lpstr>Traslados</vt:lpstr>
      <vt:lpstr>Tablas</vt:lpstr>
      <vt:lpstr>VR y % Depreciación</vt:lpstr>
      <vt:lpstr>Factor de Costos Km</vt:lpstr>
      <vt:lpstr>P. Circulación</vt:lpstr>
      <vt:lpstr>Tablas!Área_de_extracción</vt:lpstr>
      <vt:lpstr>'Accesorios&amp;Equipos'!Área_de_impresión</vt:lpstr>
      <vt:lpstr>Carátula!Área_de_impresión</vt:lpstr>
      <vt:lpstr>Resumen!Área_de_impresión</vt:lpstr>
      <vt:lpstr>Cambio_Neumaticos</vt:lpstr>
      <vt:lpstr>Lugar_de_Traslado</vt:lpstr>
      <vt:lpstr>Tipo_Negocio</vt:lpstr>
      <vt:lpstr>Tipo_Reemplazo</vt:lpstr>
      <vt:lpstr>Tipo_Uso</vt:lpstr>
      <vt:lpstr>Tipo_Vehiculo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Alfonso Claudio Olivari Fernández</dc:creator>
  <cp:lastModifiedBy>Hernan Eduardo Garcia Mendez</cp:lastModifiedBy>
  <cp:lastPrinted>2019-05-10T12:59:50Z</cp:lastPrinted>
  <dcterms:created xsi:type="dcterms:W3CDTF">2018-03-20T19:11:28Z</dcterms:created>
  <dcterms:modified xsi:type="dcterms:W3CDTF">2023-05-04T16:41:28Z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0x010100F70947F9A048694C8F792C6E85174ECA</vt:lpwstr>
  </property>
</Properties>
</file>