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17d9c0a80a0f48/Desktop/Finance Laboratory/.vscode/FinancialStatements/"/>
    </mc:Choice>
  </mc:AlternateContent>
  <xr:revisionPtr revIDLastSave="0" documentId="8_{185836B0-3992-4434-86DF-DE623626ACEA}" xr6:coauthVersionLast="47" xr6:coauthVersionMax="47" xr10:uidLastSave="{00000000-0000-0000-0000-000000000000}"/>
  <bookViews>
    <workbookView xWindow="3675" yWindow="255" windowWidth="32385" windowHeight="19125" xr2:uid="{CC532A25-DE04-4107-8065-077B146A3762}"/>
  </bookViews>
  <sheets>
    <sheet name="Balance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</calcChain>
</file>

<file path=xl/sharedStrings.xml><?xml version="1.0" encoding="utf-8"?>
<sst xmlns="http://schemas.openxmlformats.org/spreadsheetml/2006/main" count="161" uniqueCount="155">
  <si>
    <t>Right click to show data transparency (not supported for all values)</t>
  </si>
  <si>
    <t>Source: Bloomberg</t>
  </si>
  <si>
    <t>CASH_CONVERSION_CYCLE</t>
  </si>
  <si>
    <t>Cash Conversion Cycle</t>
  </si>
  <si>
    <t>CUR_RATIO</t>
  </si>
  <si>
    <t>Current Ratio</t>
  </si>
  <si>
    <t>TCE_RATIO</t>
  </si>
  <si>
    <t>Tangible Common Equity Ratio</t>
  </si>
  <si>
    <t>NET_DEBT_TO_SHRHLDR_EQTY</t>
  </si>
  <si>
    <t>Net Debt to Equity</t>
  </si>
  <si>
    <t>NET_DEBT</t>
  </si>
  <si>
    <t>Net Debt</t>
  </si>
  <si>
    <t>BS_OPTIONS_OUTSTANDING</t>
  </si>
  <si>
    <t>Options Outstanding at Period End</t>
  </si>
  <si>
    <t>BS_OPTIONS_GRANTED</t>
  </si>
  <si>
    <t>Options Granted During Period</t>
  </si>
  <si>
    <t>BS_TOTAL_CAPITAL_LEASES</t>
  </si>
  <si>
    <t>Capital Leases - Total</t>
  </si>
  <si>
    <t>BS_FUTURE_MIN_OPER_LEASE_OBLIG</t>
  </si>
  <si>
    <t>Future Minimum Operating Lease Obligations</t>
  </si>
  <si>
    <t>BS_NUM_OF_TSY_SH</t>
  </si>
  <si>
    <t>Number of Treasury Shares</t>
  </si>
  <si>
    <t>BS_SH_OUT</t>
  </si>
  <si>
    <t>Shares Outstanding</t>
  </si>
  <si>
    <t>US GAAP</t>
  </si>
  <si>
    <t>ACCOUNTING_STANDARD</t>
  </si>
  <si>
    <t>Accounting Standard</t>
  </si>
  <si>
    <t>Reference Items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</si>
  <si>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</si>
  <si>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</si>
  <si>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</si>
  <si>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</si>
  <si>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</si>
  <si>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</si>
  <si>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</si>
  <si>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</si>
  <si>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</si>
  <si>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</si>
  <si>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</si>
  <si>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</si>
  <si>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BS_AMT_OF_TSY_STOCK</t>
  </si>
  <si>
    <t xml:space="preserve">  - Treasury Stock</t>
  </si>
  <si>
    <t>BS_ADD_PAID_IN_CAP</t>
  </si>
  <si>
    <t xml:space="preserve">    + Additional Paid in Capital</t>
  </si>
  <si>
    <t>BS_COMMON_STOCK</t>
  </si>
  <si>
    <t xml:space="preserve">    + Common Stock</t>
  </si>
  <si>
    <t>BS_SH_CAP_AND_APIC</t>
  </si>
  <si>
    <t xml:space="preserve">  + Share Capital &amp; APIC</t>
  </si>
  <si>
    <t>PFD_EQTY_HYBRID_CAPITAL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</si>
  <si>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</si>
  <si>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</si>
  <si>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</si>
  <si>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</si>
  <si>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</si>
  <si>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OTHER_NONCURRENT_LIABS_DETAILED</t>
  </si>
  <si>
    <t xml:space="preserve">    + Misc LT Liabilities</t>
  </si>
  <si>
    <t>BS_DERIV_HEDGING_LIAB_LT</t>
  </si>
  <si>
    <t xml:space="preserve">    + Derivatives &amp; Hedging</t>
  </si>
  <si>
    <t>BS_DEFERRED_TAX_LIABILITIES_LT</t>
  </si>
  <si>
    <t xml:space="preserve">    + Deferred Tax Liabilities</t>
  </si>
  <si>
    <t>LT_DEFERRED_REVENUE</t>
  </si>
  <si>
    <t xml:space="preserve">    + Deferred Revenue</t>
  </si>
  <si>
    <t>BS_ACCRUED_LIABILITIES</t>
  </si>
  <si>
    <t xml:space="preserve">    + Accrued Liabilities</t>
  </si>
  <si>
    <t>OTHER_NONCUR_LIABS_SUB_DETAILED</t>
  </si>
  <si>
    <t xml:space="preserve">  + Other LT Liabilities</t>
  </si>
  <si>
    <t>BS_LT_OPERATING_LEASE_LIABS</t>
  </si>
  <si>
    <t xml:space="preserve">      + LT Operating Leases</t>
  </si>
  <si>
    <t>LT_CAPITAL_LEASE_OBLIGATIONS</t>
  </si>
  <si>
    <t xml:space="preserve">      + LT Finance Leases</t>
  </si>
  <si>
    <t>LT_CAPITALIZED_LEASE_LIABILITIES</t>
  </si>
  <si>
    <t xml:space="preserve">    + LT Lease Liabilities</t>
  </si>
  <si>
    <t>LONG_TERM_BORROWINGS_DETAILED</t>
  </si>
  <si>
    <t xml:space="preserve">    + LT Borrowings</t>
  </si>
  <si>
    <t>BS_LT_BORROW</t>
  </si>
  <si>
    <t xml:space="preserve">  + LT Debt</t>
  </si>
  <si>
    <t>BS_CUR_LIAB</t>
  </si>
  <si>
    <t>Total Current Liabilities</t>
  </si>
  <si>
    <t>OTHER_CURRENT_LIABS_DETAILED</t>
  </si>
  <si>
    <t xml:space="preserve">    + Misc ST Liabilities</t>
  </si>
  <si>
    <t>BS_DERIV_HEDGING_LIAB_ST</t>
  </si>
  <si>
    <t>ST_DEFERRED_REVENUE</t>
  </si>
  <si>
    <t>OTHER_CURRENT_LIABS_SUB_DETAILED</t>
  </si>
  <si>
    <t xml:space="preserve">  + Other ST Liabilities</t>
  </si>
  <si>
    <t>BS_ST_OPERATING_LEASE_LIABS</t>
  </si>
  <si>
    <t xml:space="preserve">      + ST Operating Leases</t>
  </si>
  <si>
    <t>ST_CAPITAL_LEASE_OBLIGATIONS</t>
  </si>
  <si>
    <t xml:space="preserve">      + ST Finance Leases</t>
  </si>
  <si>
    <t>ST_CAPITALIZED_LEASE_LIABILITIES</t>
  </si>
  <si>
    <t xml:space="preserve">    + ST Lease Liabilities</t>
  </si>
  <si>
    <t>SHORT_TERM_DEBT_DETAILED</t>
  </si>
  <si>
    <t xml:space="preserve">    + ST Borrowings</t>
  </si>
  <si>
    <t>BS_ST_BORROW</t>
  </si>
  <si>
    <t xml:space="preserve">  + ST Debt</t>
  </si>
  <si>
    <t>BS_ACCRUAL</t>
  </si>
  <si>
    <t xml:space="preserve">    + Other Payables &amp; Accruals</t>
  </si>
  <si>
    <t>BS_ACCT_PAYABLE</t>
  </si>
  <si>
    <t xml:space="preserve">    + Accounts Payable</t>
  </si>
  <si>
    <t>ACCT_PAYABLE_ACCRUALS_DETAILED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</si>
  <si>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</si>
  <si>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</si>
  <si>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</si>
  <si>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</si>
  <si>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</si>
  <si>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</si>
  <si>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OTHER_NONCURRENT_ASSETS_DETAILED</t>
  </si>
  <si>
    <t xml:space="preserve">    + Misc LT Assets</t>
  </si>
  <si>
    <t>BS_DERIV_HEDGING_ASST_LT</t>
  </si>
  <si>
    <t xml:space="preserve">    + Derivative &amp; Hedging Assets</t>
  </si>
  <si>
    <t>OTHER_INTANGIBLE_ASSETS_DETAILED</t>
  </si>
  <si>
    <t xml:space="preserve">    + Other Intangible Assets</t>
  </si>
  <si>
    <t>BS_GOODWILL</t>
  </si>
  <si>
    <t xml:space="preserve">    + Goodwill</t>
  </si>
  <si>
    <t>BS_DISCLOSED_INTANGIBLES</t>
  </si>
  <si>
    <t xml:space="preserve">    + Total Intangible Assets</t>
  </si>
  <si>
    <t>BS_OTHER_ASSETS_DEF_CHRG_OTHER</t>
  </si>
  <si>
    <t xml:space="preserve">  + Other LT Assets</t>
  </si>
  <si>
    <t>BS_LT_INVEST</t>
  </si>
  <si>
    <t xml:space="preserve">  + LT Investments &amp; Receivables</t>
  </si>
  <si>
    <t>BS_ACCUM_DEPR</t>
  </si>
  <si>
    <t xml:space="preserve">    - Accumulated Depreciation</t>
  </si>
  <si>
    <t>BS_GROSS_FIX_ASSET</t>
  </si>
  <si>
    <t xml:space="preserve">    + Property, Plant &amp; Equip</t>
  </si>
  <si>
    <t>BS_NET_FIX_ASSET</t>
  </si>
  <si>
    <t xml:space="preserve">  + Property, Plant &amp; Equip, Net</t>
  </si>
  <si>
    <t>BS_CUR_ASSET_REPORT</t>
  </si>
  <si>
    <t>Total Current Assets</t>
  </si>
  <si>
    <t>BS_OTHER_CUR_ASSET_LESS_PREPAY</t>
  </si>
  <si>
    <t xml:space="preserve">    + Misc ST Assets</t>
  </si>
  <si>
    <t>BS_DERIV_HEDGING_ASST_ST</t>
  </si>
  <si>
    <t>OTHER_CURRENT_ASSETS_DETAILED</t>
  </si>
  <si>
    <t xml:space="preserve">  + Other ST Assets</t>
  </si>
  <si>
    <t>BS_INVENTORIES</t>
  </si>
  <si>
    <t xml:space="preserve">  + Inventories</t>
  </si>
  <si>
    <t>NOTES_RECEIVABLE</t>
  </si>
  <si>
    <t xml:space="preserve">    + Notes Receivable, Net</t>
  </si>
  <si>
    <t>BS_ACCTS_REC_EXCL_NOTES_REC</t>
  </si>
  <si>
    <t xml:space="preserve">    + Accounts Receivable, Net</t>
  </si>
  <si>
    <t>BS_ACCT_NOTE_RCV</t>
  </si>
  <si>
    <t xml:space="preserve">  + Accounts &amp; Notes Receiv</t>
  </si>
  <si>
    <t>BS_MKT_SEC_OTHER_ST_INVEST</t>
  </si>
  <si>
    <t xml:space="preserve">    + ST Investments</t>
  </si>
  <si>
    <t>BS_CASH_NEAR_CASH_ITEM</t>
  </si>
  <si>
    <t xml:space="preserve">    + Cash &amp; Cash Equivalents</t>
  </si>
  <si>
    <t>CASH_CASH_EQTY_STI_DETAILED</t>
  </si>
  <si>
    <t xml:space="preserve">  + Cash, Cash Equivalents &amp; STI</t>
  </si>
  <si>
    <t>12/31/2023</t>
  </si>
  <si>
    <t>12/25/2022</t>
  </si>
  <si>
    <t>12/26/2021</t>
  </si>
  <si>
    <t>12 Months Ending</t>
  </si>
  <si>
    <t>FY 2023</t>
  </si>
  <si>
    <t>FY 2022</t>
  </si>
  <si>
    <t>FY 2021</t>
  </si>
  <si>
    <t>In Millions of USD except Per Share</t>
  </si>
  <si>
    <t>Cava Group Inc (CAVA US) -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</si>
</sst>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Aptos Narrow"/>
      <family val="2"/>
      <scheme val="minor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63"/>
      <name val="Arial"/>
      <family val="2"/>
    </font>
    <font>
      <b/>
      <sz val="10"/>
      <color indexed="8"/>
      <name val="Arial"/>
      <family val="2"/>
    </font>
    <font>
      <i/>
      <sz val="10"/>
      <color indexed="63"/>
      <name val="Arial"/>
      <family val="2"/>
    </font>
    <font>
      <b/>
      <sz val="10"/>
      <color indexed="9"/>
      <name val="Arial"/>
      <family val="2"/>
    </font>
    <font>
      <sz val="10"/>
      <name val="Calibri"/>
      <family val="2"/>
    </font>
    <font>
      <b/>
      <sz val="16"/>
      <color indexed="9"/>
      <name val="Arial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1" applyNumberFormat="0" applyAlignment="0" applyProtection="0"/>
    <xf numFmtId="4" fontId="2" fillId="3" borderId="2">
      <alignment horizontal="right"/>
    </xf>
    <xf numFmtId="0" fontId="3" fillId="3" borderId="3"/>
    <xf numFmtId="164" fontId="2" fillId="3" borderId="2">
      <alignment horizontal="right"/>
    </xf>
    <xf numFmtId="3" fontId="2" fillId="3" borderId="2">
      <alignment horizontal="right"/>
    </xf>
    <xf numFmtId="3" fontId="4" fillId="3" borderId="2">
      <alignment horizontal="right"/>
    </xf>
    <xf numFmtId="0" fontId="4" fillId="3" borderId="3"/>
    <xf numFmtId="164" fontId="4" fillId="3" borderId="2">
      <alignment horizontal="right"/>
    </xf>
    <xf numFmtId="164" fontId="1" fillId="3" borderId="2">
      <alignment horizontal="right"/>
    </xf>
    <xf numFmtId="0" fontId="5" fillId="3" borderId="3"/>
    <xf numFmtId="0" fontId="6" fillId="4" borderId="4">
      <alignment horizontal="right"/>
    </xf>
    <xf numFmtId="0" fontId="6" fillId="4" borderId="4">
      <alignment horizontal="left"/>
    </xf>
    <xf numFmtId="0" fontId="6" fillId="4" borderId="5">
      <alignment horizontal="right"/>
    </xf>
    <xf numFmtId="0" fontId="6" fillId="4" borderId="5">
      <alignment horizontal="left"/>
    </xf>
    <xf numFmtId="0" fontId="7" fillId="3" borderId="0" applyNumberFormat="0" applyBorder="0" applyProtection="0">
      <alignment horizontal="center"/>
    </xf>
    <xf numFmtId="0" fontId="8" fillId="4" borderId="6" applyNumberFormat="0" applyProtection="0">
      <alignment horizontal="left" vertical="center" readingOrder="1"/>
    </xf>
    <xf numFmtId="0" fontId="9" fillId="4" borderId="0"/>
  </cellStyleXfs>
  <cellXfs count="18">
    <xf numFmtId="0" fontId="0" fillId="0" borderId="0" xfId="0"/>
    <xf numFmtId="0" fontId="1" fillId="2" borderId="1" xfId="1"/>
    <xf numFmtId="4" fontId="2" fillId="3" borderId="2" xfId="2">
      <alignment horizontal="right"/>
    </xf>
    <xf numFmtId="0" fontId="3" fillId="3" borderId="3" xfId="3"/>
    <xf numFmtId="164" fontId="2" fillId="3" borderId="2" xfId="4">
      <alignment horizontal="right"/>
    </xf>
    <xf numFmtId="3" fontId="2" fillId="3" borderId="2" xfId="5">
      <alignment horizontal="right"/>
    </xf>
    <xf numFmtId="3" fontId="4" fillId="3" borderId="2" xfId="6">
      <alignment horizontal="right"/>
    </xf>
    <xf numFmtId="0" fontId="4" fillId="3" borderId="3" xfId="7"/>
    <xf numFmtId="164" fontId="4" fillId="3" borderId="2" xfId="8">
      <alignment horizontal="right"/>
    </xf>
    <xf numFmtId="164" fontId="1" fillId="3" borderId="2" xfId="9">
      <alignment horizontal="right"/>
    </xf>
    <xf numFmtId="0" fontId="5" fillId="3" borderId="3" xfId="10"/>
    <xf numFmtId="0" fontId="6" fillId="4" borderId="4" xfId="11">
      <alignment horizontal="right"/>
    </xf>
    <xf numFmtId="0" fontId="6" fillId="4" borderId="4" xfId="12">
      <alignment horizontal="left"/>
    </xf>
    <xf numFmtId="0" fontId="6" fillId="4" borderId="5" xfId="13">
      <alignment horizontal="right"/>
    </xf>
    <xf numFmtId="0" fontId="6" fillId="4" borderId="5" xfId="14">
      <alignment horizontal="left"/>
    </xf>
    <xf numFmtId="0" fontId="7" fillId="3" borderId="0" xfId="15">
      <alignment horizontal="center"/>
    </xf>
    <xf numFmtId="0" fontId="8" fillId="4" borderId="6" xfId="16">
      <alignment horizontal="left" vertical="center" readingOrder="1"/>
    </xf>
    <xf numFmtId="0" fontId="9" fillId="4" borderId="0" xfId="17"/>
  </cellXfs>
  <cellStyles count="18">
    <cellStyle name="blp_column_header" xfId="17" xr:uid="{E6510613-57B2-47E6-9AB9-C1E644F7097B}"/>
    <cellStyle name="blp_title_header_row_left" xfId="16" xr:uid="{980C0A01-09EC-481B-B494-0093BF864574}"/>
    <cellStyle name="fa_column_header_bottom 2" xfId="11" xr:uid="{96474893-AE5B-4719-8B86-B7A23A2CDC3A}"/>
    <cellStyle name="fa_column_header_bottom_left 2" xfId="12" xr:uid="{5EF94FC7-84C9-4CA8-BECD-97619F507E0D}"/>
    <cellStyle name="fa_column_header_empty" xfId="15" xr:uid="{49A604E0-5692-4AA0-AE48-EC0C2AC4CDEC}"/>
    <cellStyle name="fa_column_header_top 2" xfId="13" xr:uid="{2EF657C1-14A9-47ED-86F4-88C97A3353EF}"/>
    <cellStyle name="fa_column_header_top_left 2" xfId="14" xr:uid="{1578D933-5306-454F-BBF8-5A9F48CB3489}"/>
    <cellStyle name="fa_data_bold_0_grouped" xfId="6" xr:uid="{9AC09EC5-AD54-4D10-9724-7D9E30D683C5}"/>
    <cellStyle name="fa_data_bold_1_grouped" xfId="8" xr:uid="{9D4396E6-CF76-40AE-A6A6-5452CC41ED69}"/>
    <cellStyle name="fa_data_italic_1_grouped" xfId="9" xr:uid="{D5B7E036-86F2-4F3A-8A81-7BB26F72084B}"/>
    <cellStyle name="fa_data_standard_0_grouped" xfId="5" xr:uid="{EED49799-63FF-4F66-BF0B-74B670E1C5DC}"/>
    <cellStyle name="fa_data_standard_1_grouped" xfId="4" xr:uid="{565DB71A-0F97-4D18-A047-A97B527C394B}"/>
    <cellStyle name="fa_data_standard_2_grouped" xfId="2" xr:uid="{4BAF0823-805E-46C5-9423-AE6CE348CAE1}"/>
    <cellStyle name="fa_footer_italic" xfId="1" xr:uid="{32B73B1E-5F94-422A-BC23-F1F8E12EE575}"/>
    <cellStyle name="fa_row_header_bold 2" xfId="7" xr:uid="{82C36D69-758C-4C61-B18C-127DE223D42D}"/>
    <cellStyle name="fa_row_header_italic 2" xfId="10" xr:uid="{C4E29DFA-A822-4E55-B072-E9D81040DF96}"/>
    <cellStyle name="fa_row_header_standard 2" xfId="3" xr:uid="{FAD0BBE3-A6B8-4F5E-BA1F-FBC796890F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B409-CE50-4FBB-8F7A-D7422958C3F1}">
  <dimension ref="A1:E83"/>
  <sheetViews>
    <sheetView tabSelected="1" workbookViewId="0">
      <selection activeCell="H36" sqref="H36"/>
    </sheetView>
  </sheetViews>
  <sheetFormatPr defaultRowHeight="15" x14ac:dyDescent="0.25"/>
  <cols>
    <col min="1" max="1" width="35.140625" customWidth="1"/>
    <col min="2" max="2" width="0" hidden="1" customWidth="1"/>
    <col min="3" max="5" width="11.85546875" customWidth="1"/>
  </cols>
  <sheetData>
    <row r="1" spans="1:5" x14ac:dyDescent="0.25">
      <c r="A1" s="17"/>
      <c r="B1" s="17"/>
      <c r="C1" s="17"/>
      <c r="D1" s="17"/>
      <c r="E1" s="17"/>
    </row>
    <row r="2" spans="1:5" ht="20.25" x14ac:dyDescent="0.25">
      <c r="A2" s="16" t="s">
        <v>154</v>
      </c>
      <c r="B2" s="16"/>
      <c r="C2" s="16"/>
      <c r="D2" s="16"/>
      <c r="E2" s="16"/>
    </row>
    <row r="3" spans="1:5" x14ac:dyDescent="0.25">
      <c r="A3" s="15"/>
      <c r="B3" s="15"/>
      <c r="C3" s="15"/>
      <c r="D3" s="15"/>
      <c r="E3" s="15"/>
    </row>
    <row r="4" spans="1:5" x14ac:dyDescent="0.25">
      <c r="A4" s="14" t="s">
        <v>153</v>
      </c>
      <c r="B4" s="14"/>
      <c r="C4" s="13" t="s">
        <v>152</v>
      </c>
      <c r="D4" s="13" t="s">
        <v>151</v>
      </c>
      <c r="E4" s="13" t="s">
        <v>150</v>
      </c>
    </row>
    <row r="5" spans="1:5" x14ac:dyDescent="0.25">
      <c r="A5" s="12" t="s">
        <v>149</v>
      </c>
      <c r="B5" s="12"/>
      <c r="C5" s="11" t="s">
        <v>148</v>
      </c>
      <c r="D5" s="11" t="s">
        <v>147</v>
      </c>
      <c r="E5" s="11" t="s">
        <v>146</v>
      </c>
    </row>
    <row r="6" spans="1:5" x14ac:dyDescent="0.25">
      <c r="A6" s="7" t="s">
        <v>102</v>
      </c>
      <c r="B6" s="6"/>
      <c r="C6" s="6"/>
      <c r="D6" s="6"/>
      <c r="E6" s="6"/>
    </row>
    <row r="7" spans="1:5" x14ac:dyDescent="0.25">
      <c r="A7" s="3" t="s">
        <v>145</v>
      </c>
      <c r="B7" s="3" t="s">
        <v>144</v>
      </c>
      <c r="C7" s="4" t="e">
        <f ca="1">_xll.BDH("CAVA US Equity","CASH_CASH_EQTY_STI_DETAILED","FY 2021","FY 2021","Currency=USD","Period=FY","BEST_FPERIOD_OVERRIDE=FY","FILING_STATUS=MR","SCALING_FORMAT=MLN","Sort=A","Dates=H","DateFormat=P","Fill=—","Direction=H","UseDPDF=Y")</f>
        <v>#NAME?</v>
      </c>
      <c r="D7" s="4" t="e">
        <f ca="1">_xll.BDH("CAVA US Equity","CASH_CASH_EQTY_STI_DETAILED","FY 2022","FY 2022","Currency=USD","Period=FY","BEST_FPERIOD_OVERRIDE=FY","FILING_STATUS=MR","SCALING_FORMAT=MLN","Sort=A","Dates=H","DateFormat=P","Fill=—","Direction=H","UseDPDF=Y")</f>
        <v>#NAME?</v>
      </c>
      <c r="E7" s="4" t="e">
        <f ca="1">_xll.BDH("CAVA US Equity","CASH_CASH_EQTY_STI_DETAILED","FY 2023","FY 2023","Currency=USD","Period=FY","BEST_FPERIOD_OVERRIDE=FY","FILING_STATUS=MR","SCALING_FORMAT=MLN","Sort=A","Dates=H","DateFormat=P","Fill=—","Direction=H","UseDPDF=Y")</f>
        <v>#NAME?</v>
      </c>
    </row>
    <row r="8" spans="1:5" x14ac:dyDescent="0.25">
      <c r="A8" s="3" t="s">
        <v>143</v>
      </c>
      <c r="B8" s="3" t="s">
        <v>142</v>
      </c>
      <c r="C8" s="4" t="e">
        <f ca="1">_xll.BDH("CAVA US Equity","BS_CASH_NEAR_CASH_ITEM","FY 2021","FY 2021","Currency=USD","Period=FY","BEST_FPERIOD_OVERRIDE=FY","FILING_STATUS=MR","SCALING_FORMAT=MLN","Sort=A","Dates=H","DateFormat=P","Fill=—","Direction=H","UseDPDF=Y")</f>
        <v>#NAME?</v>
      </c>
      <c r="D8" s="4" t="e">
        <f ca="1">_xll.BDH("CAVA US Equity","BS_CASH_NEAR_CASH_ITEM","FY 2022","FY 2022","Currency=USD","Period=FY","BEST_FPERIOD_OVERRIDE=FY","FILING_STATUS=MR","SCALING_FORMAT=MLN","Sort=A","Dates=H","DateFormat=P","Fill=—","Direction=H","UseDPDF=Y")</f>
        <v>#NAME?</v>
      </c>
      <c r="E8" s="4" t="e">
        <f ca="1">_xll.BDH("CAVA US Equity","BS_CASH_NEAR_CASH_ITEM","FY 2023","FY 2023","Currency=USD","Period=FY","BEST_FPERIOD_OVERRIDE=FY","FILING_STATUS=MR","SCALING_FORMAT=MLN","Sort=A","Dates=H","DateFormat=P","Fill=—","Direction=H","UseDPDF=Y")</f>
        <v>#NAME?</v>
      </c>
    </row>
    <row r="9" spans="1:5" x14ac:dyDescent="0.25">
      <c r="A9" s="3" t="s">
        <v>141</v>
      </c>
      <c r="B9" s="3" t="s">
        <v>140</v>
      </c>
      <c r="C9" s="4" t="e">
        <f ca="1">_xll.BDH("CAVA US Equity","BS_MKT_SEC_OTHER_ST_INVEST","FY 2021","FY 2021","Currency=USD","Period=FY","BEST_FPERIOD_OVERRIDE=FY","FILING_STATUS=MR","SCALING_FORMAT=MLN","Sort=A","Dates=H","DateFormat=P","Fill=—","Direction=H","UseDPDF=Y")</f>
        <v>#NAME?</v>
      </c>
      <c r="D9" s="4" t="e">
        <f ca="1">_xll.BDH("CAVA US Equity","BS_MKT_SEC_OTHER_ST_INVEST","FY 2022","FY 2022","Currency=USD","Period=FY","BEST_FPERIOD_OVERRIDE=FY","FILING_STATUS=MR","SCALING_FORMAT=MLN","Sort=A","Dates=H","DateFormat=P","Fill=—","Direction=H","UseDPDF=Y")</f>
        <v>#NAME?</v>
      </c>
      <c r="E9" s="4" t="e">
        <f ca="1">_xll.BDH("CAVA US Equity","BS_MKT_SEC_OTHER_ST_INVEST","FY 2023","FY 2023","Currency=USD","Period=FY","BEST_FPERIOD_OVERRIDE=FY","FILING_STATUS=MR","SCALING_FORMAT=MLN","Sort=A","Dates=H","DateFormat=P","Fill=—","Direction=H","UseDPDF=Y")</f>
        <v>#NAME?</v>
      </c>
    </row>
    <row r="10" spans="1:5" x14ac:dyDescent="0.25">
      <c r="A10" s="3" t="s">
        <v>139</v>
      </c>
      <c r="B10" s="3" t="s">
        <v>138</v>
      </c>
      <c r="C10" s="4" t="e">
        <f ca="1">_xll.BDH("CAVA US Equity","BS_ACCT_NOTE_RCV","FY 2021","FY 2021","Currency=USD","Period=FY","BEST_FPERIOD_OVERRIDE=FY","FILING_STATUS=MR","SCALING_FORMAT=MLN","Sort=A","Dates=H","DateFormat=P","Fill=—","Direction=H","UseDPDF=Y")</f>
        <v>#NAME?</v>
      </c>
      <c r="D10" s="4" t="e">
        <f ca="1">_xll.BDH("CAVA US Equity","BS_ACCT_NOTE_RCV","FY 2022","FY 2022","Currency=USD","Period=FY","BEST_FPERIOD_OVERRIDE=FY","FILING_STATUS=MR","SCALING_FORMAT=MLN","Sort=A","Dates=H","DateFormat=P","Fill=—","Direction=H","UseDPDF=Y")</f>
        <v>#NAME?</v>
      </c>
      <c r="E10" s="4" t="e">
        <f ca="1">_xll.BDH("CAVA US Equity","BS_ACCT_NOTE_RCV","FY 2023","FY 2023","Currency=USD","Period=FY","BEST_FPERIOD_OVERRIDE=FY","FILING_STATUS=MR","SCALING_FORMAT=MLN","Sort=A","Dates=H","DateFormat=P","Fill=—","Direction=H","UseDPDF=Y")</f>
        <v>#NAME?</v>
      </c>
    </row>
    <row r="11" spans="1:5" x14ac:dyDescent="0.25">
      <c r="A11" s="3" t="s">
        <v>137</v>
      </c>
      <c r="B11" s="3" t="s">
        <v>136</v>
      </c>
      <c r="C11" s="4" t="e">
        <f ca="1">_xll.BDH("CAVA US Equity","BS_ACCTS_REC_EXCL_NOTES_REC","FY 2021","FY 2021","Currency=USD","Period=FY","BEST_FPERIOD_OVERRIDE=FY","FILING_STATUS=MR","SCALING_FORMAT=MLN","Sort=A","Dates=H","DateFormat=P","Fill=—","Direction=H","UseDPDF=Y")</f>
        <v>#NAME?</v>
      </c>
      <c r="D11" s="4" t="e">
        <f ca="1">_xll.BDH("CAVA US Equity","BS_ACCTS_REC_EXCL_NOTES_REC","FY 2022","FY 2022","Currency=USD","Period=FY","BEST_FPERIOD_OVERRIDE=FY","FILING_STATUS=MR","SCALING_FORMAT=MLN","Sort=A","Dates=H","DateFormat=P","Fill=—","Direction=H","UseDPDF=Y")</f>
        <v>#NAME?</v>
      </c>
      <c r="E11" s="4" t="e">
        <f ca="1">_xll.BDH("CAVA US Equity","BS_ACCTS_REC_EXCL_NOTES_REC","FY 2023","FY 2023","Currency=USD","Period=FY","BEST_FPERIOD_OVERRIDE=FY","FILING_STATUS=MR","SCALING_FORMAT=MLN","Sort=A","Dates=H","DateFormat=P","Fill=—","Direction=H","UseDPDF=Y")</f>
        <v>#NAME?</v>
      </c>
    </row>
    <row r="12" spans="1:5" x14ac:dyDescent="0.25">
      <c r="A12" s="3" t="s">
        <v>135</v>
      </c>
      <c r="B12" s="3" t="s">
        <v>134</v>
      </c>
      <c r="C12" s="4" t="e">
        <f ca="1">_xll.BDH("CAVA US Equity","NOTES_RECEIVABLE","FY 2021","FY 2021","Currency=USD","Period=FY","BEST_FPERIOD_OVERRIDE=FY","FILING_STATUS=MR","SCALING_FORMAT=MLN","Sort=A","Dates=H","DateFormat=P","Fill=—","Direction=H","UseDPDF=Y")</f>
        <v>#NAME?</v>
      </c>
      <c r="D12" s="4" t="e">
        <f ca="1">_xll.BDH("CAVA US Equity","NOTES_RECEIVABLE","FY 2022","FY 2022","Currency=USD","Period=FY","BEST_FPERIOD_OVERRIDE=FY","FILING_STATUS=MR","SCALING_FORMAT=MLN","Sort=A","Dates=H","DateFormat=P","Fill=—","Direction=H","UseDPDF=Y")</f>
        <v>#NAME?</v>
      </c>
      <c r="E12" s="4" t="e">
        <f ca="1">_xll.BDH("CAVA US Equity","NOTES_RECEIVABLE","FY 2023","FY 2023","Currency=USD","Period=FY","BEST_FPERIOD_OVERRIDE=FY","FILING_STATUS=MR","SCALING_FORMAT=MLN","Sort=A","Dates=H","DateFormat=P","Fill=—","Direction=H","UseDPDF=Y")</f>
        <v>#NAME?</v>
      </c>
    </row>
    <row r="13" spans="1:5" x14ac:dyDescent="0.25">
      <c r="A13" s="3" t="s">
        <v>133</v>
      </c>
      <c r="B13" s="3" t="s">
        <v>132</v>
      </c>
      <c r="C13" s="4" t="e">
        <f ca="1">_xll.BDH("CAVA US Equity","BS_INVENTORIES","FY 2021","FY 2021","Currency=USD","Period=FY","BEST_FPERIOD_OVERRIDE=FY","FILING_STATUS=MR","SCALING_FORMAT=MLN","Sort=A","Dates=H","DateFormat=P","Fill=—","Direction=H","UseDPDF=Y")</f>
        <v>#NAME?</v>
      </c>
      <c r="D13" s="4" t="e">
        <f ca="1">_xll.BDH("CAVA US Equity","BS_INVENTORIES","FY 2022","FY 2022","Currency=USD","Period=FY","BEST_FPERIOD_OVERRIDE=FY","FILING_STATUS=MR","SCALING_FORMAT=MLN","Sort=A","Dates=H","DateFormat=P","Fill=—","Direction=H","UseDPDF=Y")</f>
        <v>#NAME?</v>
      </c>
      <c r="E13" s="4" t="e">
        <f ca="1">_xll.BDH("CAVA US Equity","BS_INVENTORIES","FY 2023","FY 2023","Currency=USD","Period=FY","BEST_FPERIOD_OVERRIDE=FY","FILING_STATUS=MR","SCALING_FORMAT=MLN","Sort=A","Dates=H","DateFormat=P","Fill=—","Direction=H","UseDPDF=Y")</f>
        <v>#NAME?</v>
      </c>
    </row>
    <row r="14" spans="1:5" x14ac:dyDescent="0.25">
      <c r="A14" s="3" t="s">
        <v>131</v>
      </c>
      <c r="B14" s="3" t="s">
        <v>130</v>
      </c>
      <c r="C14" s="4" t="e">
        <f ca="1">_xll.BDH("CAVA US Equity","OTHER_CURRENT_ASSETS_DETAILED","FY 2021","FY 2021","Currency=USD","Period=FY","BEST_FPERIOD_OVERRIDE=FY","FILING_STATUS=MR","SCALING_FORMAT=MLN","Sort=A","Dates=H","DateFormat=P","Fill=—","Direction=H","UseDPDF=Y")</f>
        <v>#NAME?</v>
      </c>
      <c r="D14" s="4" t="e">
        <f ca="1">_xll.BDH("CAVA US Equity","OTHER_CURRENT_ASSETS_DETAILED","FY 2022","FY 2022","Currency=USD","Period=FY","BEST_FPERIOD_OVERRIDE=FY","FILING_STATUS=MR","SCALING_FORMAT=MLN","Sort=A","Dates=H","DateFormat=P","Fill=—","Direction=H","UseDPDF=Y")</f>
        <v>#NAME?</v>
      </c>
      <c r="E14" s="4" t="e">
        <f ca="1">_xll.BDH("CAVA US Equity","OTHER_CURRENT_ASSETS_DETAILED","FY 2023","FY 2023","Currency=USD","Period=FY","BEST_FPERIOD_OVERRIDE=FY","FILING_STATUS=MR","SCALING_FORMAT=MLN","Sort=A","Dates=H","DateFormat=P","Fill=—","Direction=H","UseDPDF=Y")</f>
        <v>#NAME?</v>
      </c>
    </row>
    <row r="15" spans="1:5" x14ac:dyDescent="0.25">
      <c r="A15" s="3" t="s">
        <v>108</v>
      </c>
      <c r="B15" s="3" t="s">
        <v>129</v>
      </c>
      <c r="C15" s="4" t="e">
        <f ca="1">_xll.BDH("CAVA US Equity","BS_DERIV_HEDGING_ASST_ST","FY 2021","FY 2021","Currency=USD","Period=FY","BEST_FPERIOD_OVERRIDE=FY","FILING_STATUS=MR","SCALING_FORMAT=MLN","Sort=A","Dates=H","DateFormat=P","Fill=—","Direction=H","UseDPDF=Y")</f>
        <v>#NAME?</v>
      </c>
      <c r="D15" s="4" t="e">
        <f ca="1">_xll.BDH("CAVA US Equity","BS_DERIV_HEDGING_ASST_ST","FY 2022","FY 2022","Currency=USD","Period=FY","BEST_FPERIOD_OVERRIDE=FY","FILING_STATUS=MR","SCALING_FORMAT=MLN","Sort=A","Dates=H","DateFormat=P","Fill=—","Direction=H","UseDPDF=Y")</f>
        <v>#NAME?</v>
      </c>
      <c r="E15" s="4" t="e">
        <f ca="1">_xll.BDH("CAVA US Equity","BS_DERIV_HEDGING_ASST_ST","FY 2023","FY 2023","Currency=USD","Period=FY","BEST_FPERIOD_OVERRIDE=FY","FILING_STATUS=MR","SCALING_FORMAT=MLN","Sort=A","Dates=H","DateFormat=P","Fill=—","Direction=H","UseDPDF=Y")</f>
        <v>#NAME?</v>
      </c>
    </row>
    <row r="16" spans="1:5" x14ac:dyDescent="0.25">
      <c r="A16" s="3" t="s">
        <v>128</v>
      </c>
      <c r="B16" s="3" t="s">
        <v>127</v>
      </c>
      <c r="C16" s="4" t="e">
        <f ca="1">_xll.BDH("CAVA US Equity","BS_OTHER_CUR_ASSET_LESS_PREPAY","FY 2021","FY 2021","Currency=USD","Period=FY","BEST_FPERIOD_OVERRIDE=FY","FILING_STATUS=MR","SCALING_FORMAT=MLN","Sort=A","Dates=H","DateFormat=P","Fill=—","Direction=H","UseDPDF=Y")</f>
        <v>#NAME?</v>
      </c>
      <c r="D16" s="4" t="e">
        <f ca="1">_xll.BDH("CAVA US Equity","BS_OTHER_CUR_ASSET_LESS_PREPAY","FY 2022","FY 2022","Currency=USD","Period=FY","BEST_FPERIOD_OVERRIDE=FY","FILING_STATUS=MR","SCALING_FORMAT=MLN","Sort=A","Dates=H","DateFormat=P","Fill=—","Direction=H","UseDPDF=Y")</f>
        <v>#NAME?</v>
      </c>
      <c r="E16" s="4" t="e">
        <f ca="1">_xll.BDH("CAVA US Equity","BS_OTHER_CUR_ASSET_LESS_PREPAY","FY 2023","FY 2023","Currency=USD","Period=FY","BEST_FPERIOD_OVERRIDE=FY","FILING_STATUS=MR","SCALING_FORMAT=MLN","Sort=A","Dates=H","DateFormat=P","Fill=—","Direction=H","UseDPDF=Y")</f>
        <v>#NAME?</v>
      </c>
    </row>
    <row r="17" spans="1:5" x14ac:dyDescent="0.25">
      <c r="A17" s="7" t="s">
        <v>126</v>
      </c>
      <c r="B17" s="7" t="s">
        <v>125</v>
      </c>
      <c r="C17" s="8" t="e">
        <f ca="1">_xll.BDH("CAVA US Equity","BS_CUR_ASSET_REPORT","FY 2021","FY 2021","Currency=USD","Period=FY","BEST_FPERIOD_OVERRIDE=FY","FILING_STATUS=MR","SCALING_FORMAT=MLN","Sort=A","Dates=H","DateFormat=P","Fill=—","Direction=H","UseDPDF=Y")</f>
        <v>#NAME?</v>
      </c>
      <c r="D17" s="8" t="e">
        <f ca="1">_xll.BDH("CAVA US Equity","BS_CUR_ASSET_REPORT","FY 2022","FY 2022","Currency=USD","Period=FY","BEST_FPERIOD_OVERRIDE=FY","FILING_STATUS=MR","SCALING_FORMAT=MLN","Sort=A","Dates=H","DateFormat=P","Fill=—","Direction=H","UseDPDF=Y")</f>
        <v>#NAME?</v>
      </c>
      <c r="E17" s="8" t="e">
        <f ca="1">_xll.BDH("CAVA US Equity","BS_CUR_ASSET_REPORT","FY 2023","FY 2023","Currency=USD","Period=FY","BEST_FPERIOD_OVERRIDE=FY","FILING_STATUS=MR","SCALING_FORMAT=MLN","Sort=A","Dates=H","DateFormat=P","Fill=—","Direction=H","UseDPDF=Y")</f>
        <v>#NAME?</v>
      </c>
    </row>
    <row r="18" spans="1:5" x14ac:dyDescent="0.25">
      <c r="A18" s="3" t="s">
        <v>124</v>
      </c>
      <c r="B18" s="3" t="s">
        <v>123</v>
      </c>
      <c r="C18" s="4" t="e">
        <f ca="1">_xll.BDH("CAVA US Equity","BS_NET_FIX_ASSET","FY 2021","FY 2021","Currency=USD","Period=FY","BEST_FPERIOD_OVERRIDE=FY","FILING_STATUS=MR","SCALING_FORMAT=MLN","Sort=A","Dates=H","DateFormat=P","Fill=—","Direction=H","UseDPDF=Y")</f>
        <v>#NAME?</v>
      </c>
      <c r="D18" s="4" t="e">
        <f ca="1">_xll.BDH("CAVA US Equity","BS_NET_FIX_ASSET","FY 2022","FY 2022","Currency=USD","Period=FY","BEST_FPERIOD_OVERRIDE=FY","FILING_STATUS=MR","SCALING_FORMAT=MLN","Sort=A","Dates=H","DateFormat=P","Fill=—","Direction=H","UseDPDF=Y")</f>
        <v>#NAME?</v>
      </c>
      <c r="E18" s="4" t="e">
        <f ca="1">_xll.BDH("CAVA US Equity","BS_NET_FIX_ASSET","FY 2023","FY 2023","Currency=USD","Period=FY","BEST_FPERIOD_OVERRIDE=FY","FILING_STATUS=MR","SCALING_FORMAT=MLN","Sort=A","Dates=H","DateFormat=P","Fill=—","Direction=H","UseDPDF=Y")</f>
        <v>#NAME?</v>
      </c>
    </row>
    <row r="19" spans="1:5" x14ac:dyDescent="0.25">
      <c r="A19" s="3" t="s">
        <v>122</v>
      </c>
      <c r="B19" s="3" t="s">
        <v>121</v>
      </c>
      <c r="C19" s="4" t="e">
        <f ca="1">_xll.BDH("CAVA US Equity","BS_GROSS_FIX_ASSET","FY 2021","FY 2021","Currency=USD","Period=FY","BEST_FPERIOD_OVERRIDE=FY","FILING_STATUS=MR","SCALING_FORMAT=MLN","Sort=A","Dates=H","DateFormat=P","Fill=—","Direction=H","UseDPDF=Y")</f>
        <v>#NAME?</v>
      </c>
      <c r="D19" s="4" t="e">
        <f ca="1">_xll.BDH("CAVA US Equity","BS_GROSS_FIX_ASSET","FY 2022","FY 2022","Currency=USD","Period=FY","BEST_FPERIOD_OVERRIDE=FY","FILING_STATUS=MR","SCALING_FORMAT=MLN","Sort=A","Dates=H","DateFormat=P","Fill=—","Direction=H","UseDPDF=Y")</f>
        <v>#NAME?</v>
      </c>
      <c r="E19" s="4" t="e">
        <f ca="1">_xll.BDH("CAVA US Equity","BS_GROSS_FIX_ASSET","FY 2023","FY 2023","Currency=USD","Period=FY","BEST_FPERIOD_OVERRIDE=FY","FILING_STATUS=MR","SCALING_FORMAT=MLN","Sort=A","Dates=H","DateFormat=P","Fill=—","Direction=H","UseDPDF=Y")</f>
        <v>#NAME?</v>
      </c>
    </row>
    <row r="20" spans="1:5" x14ac:dyDescent="0.25">
      <c r="A20" s="3" t="s">
        <v>120</v>
      </c>
      <c r="B20" s="3" t="s">
        <v>119</v>
      </c>
      <c r="C20" s="4" t="e">
        <f ca="1">_xll.BDH("CAVA US Equity","BS_ACCUM_DEPR","FY 2021","FY 2021","Currency=USD","Period=FY","BEST_FPERIOD_OVERRIDE=FY","FILING_STATUS=MR","SCALING_FORMAT=MLN","Sort=A","Dates=H","DateFormat=P","Fill=—","Direction=H","UseDPDF=Y")</f>
        <v>#NAME?</v>
      </c>
      <c r="D20" s="4" t="e">
        <f ca="1">_xll.BDH("CAVA US Equity","BS_ACCUM_DEPR","FY 2022","FY 2022","Currency=USD","Period=FY","BEST_FPERIOD_OVERRIDE=FY","FILING_STATUS=MR","SCALING_FORMAT=MLN","Sort=A","Dates=H","DateFormat=P","Fill=—","Direction=H","UseDPDF=Y")</f>
        <v>#NAME?</v>
      </c>
      <c r="E20" s="4" t="e">
        <f ca="1">_xll.BDH("CAVA US Equity","BS_ACCUM_DEPR","FY 2023","FY 2023","Currency=USD","Period=FY","BEST_FPERIOD_OVERRIDE=FY","FILING_STATUS=MR","SCALING_FORMAT=MLN","Sort=A","Dates=H","DateFormat=P","Fill=—","Direction=H","UseDPDF=Y")</f>
        <v>#NAME?</v>
      </c>
    </row>
    <row r="21" spans="1:5" x14ac:dyDescent="0.25">
      <c r="A21" s="3" t="s">
        <v>118</v>
      </c>
      <c r="B21" s="3" t="s">
        <v>117</v>
      </c>
      <c r="C21" s="4" t="e">
        <f ca="1">_xll.BDH("CAVA US Equity","BS_LT_INVEST","FY 2021","FY 2021","Currency=USD","Period=FY","BEST_FPERIOD_OVERRIDE=FY","FILING_STATUS=MR","SCALING_FORMAT=MLN","Sort=A","Dates=H","DateFormat=P","Fill=—","Direction=H","UseDPDF=Y")</f>
        <v>#NAME?</v>
      </c>
      <c r="D21" s="4" t="e">
        <f ca="1">_xll.BDH("CAVA US Equity","BS_LT_INVEST","FY 2022","FY 2022","Currency=USD","Period=FY","BEST_FPERIOD_OVERRIDE=FY","FILING_STATUS=MR","SCALING_FORMAT=MLN","Sort=A","Dates=H","DateFormat=P","Fill=—","Direction=H","UseDPDF=Y")</f>
        <v>#NAME?</v>
      </c>
      <c r="E21" s="4" t="e">
        <f ca="1">_xll.BDH("CAVA US Equity","BS_LT_INVEST","FY 2023","FY 2023","Currency=USD","Period=FY","BEST_FPERIOD_OVERRIDE=FY","FILING_STATUS=MR","SCALING_FORMAT=MLN","Sort=A","Dates=H","DateFormat=P","Fill=—","Direction=H","UseDPDF=Y")</f>
        <v>#NAME?</v>
      </c>
    </row>
    <row r="22" spans="1:5" x14ac:dyDescent="0.25">
      <c r="A22" s="3" t="s">
        <v>116</v>
      </c>
      <c r="B22" s="3" t="s">
        <v>115</v>
      </c>
      <c r="C22" s="4" t="e">
        <f ca="1">_xll.BDH("CAVA US Equity","BS_OTHER_ASSETS_DEF_CHRG_OTHER","FY 2021","FY 2021","Currency=USD","Period=FY","BEST_FPERIOD_OVERRIDE=FY","FILING_STATUS=MR","SCALING_FORMAT=MLN","Sort=A","Dates=H","DateFormat=P","Fill=—","Direction=H","UseDPDF=Y")</f>
        <v>#NAME?</v>
      </c>
      <c r="D22" s="4" t="e">
        <f ca="1">_xll.BDH("CAVA US Equity","BS_OTHER_ASSETS_DEF_CHRG_OTHER","FY 2022","FY 2022","Currency=USD","Period=FY","BEST_FPERIOD_OVERRIDE=FY","FILING_STATUS=MR","SCALING_FORMAT=MLN","Sort=A","Dates=H","DateFormat=P","Fill=—","Direction=H","UseDPDF=Y")</f>
        <v>#NAME?</v>
      </c>
      <c r="E22" s="4" t="e">
        <f ca="1">_xll.BDH("CAVA US Equity","BS_OTHER_ASSETS_DEF_CHRG_OTHER","FY 2023","FY 2023","Currency=USD","Period=FY","BEST_FPERIOD_OVERRIDE=FY","FILING_STATUS=MR","SCALING_FORMAT=MLN","Sort=A","Dates=H","DateFormat=P","Fill=—","Direction=H","UseDPDF=Y")</f>
        <v>#NAME?</v>
      </c>
    </row>
    <row r="23" spans="1:5" x14ac:dyDescent="0.25">
      <c r="A23" s="3" t="s">
        <v>114</v>
      </c>
      <c r="B23" s="3" t="s">
        <v>113</v>
      </c>
      <c r="C23" s="4" t="e">
        <f ca="1">_xll.BDH("CAVA US Equity","BS_DISCLOSED_INTANGIBLES","FY 2021","FY 2021","Currency=USD","Period=FY","BEST_FPERIOD_OVERRIDE=FY","FILING_STATUS=MR","SCALING_FORMAT=MLN","Sort=A","Dates=H","DateFormat=P","Fill=—","Direction=H","UseDPDF=Y")</f>
        <v>#NAME?</v>
      </c>
      <c r="D23" s="4" t="e">
        <f ca="1">_xll.BDH("CAVA US Equity","BS_DISCLOSED_INTANGIBLES","FY 2022","FY 2022","Currency=USD","Period=FY","BEST_FPERIOD_OVERRIDE=FY","FILING_STATUS=MR","SCALING_FORMAT=MLN","Sort=A","Dates=H","DateFormat=P","Fill=—","Direction=H","UseDPDF=Y")</f>
        <v>#NAME?</v>
      </c>
      <c r="E23" s="4" t="e">
        <f ca="1">_xll.BDH("CAVA US Equity","BS_DISCLOSED_INTANGIBLES","FY 2023","FY 2023","Currency=USD","Period=FY","BEST_FPERIOD_OVERRIDE=FY","FILING_STATUS=MR","SCALING_FORMAT=MLN","Sort=A","Dates=H","DateFormat=P","Fill=—","Direction=H","UseDPDF=Y")</f>
        <v>#NAME?</v>
      </c>
    </row>
    <row r="24" spans="1:5" x14ac:dyDescent="0.25">
      <c r="A24" s="10" t="s">
        <v>112</v>
      </c>
      <c r="B24" s="10" t="s">
        <v>111</v>
      </c>
      <c r="C24" s="9" t="e">
        <f ca="1">_xll.BDH("CAVA US Equity","BS_GOODWILL","FY 2021","FY 2021","Currency=USD","Period=FY","BEST_FPERIOD_OVERRIDE=FY","FILING_STATUS=MR","SCALING_FORMAT=MLN","Sort=A","Dates=H","DateFormat=P","Fill=—","Direction=H","UseDPDF=Y")</f>
        <v>#NAME?</v>
      </c>
      <c r="D24" s="9" t="e">
        <f ca="1">_xll.BDH("CAVA US Equity","BS_GOODWILL","FY 2022","FY 2022","Currency=USD","Period=FY","BEST_FPERIOD_OVERRIDE=FY","FILING_STATUS=MR","SCALING_FORMAT=MLN","Sort=A","Dates=H","DateFormat=P","Fill=—","Direction=H","UseDPDF=Y")</f>
        <v>#NAME?</v>
      </c>
      <c r="E24" s="9" t="e">
        <f ca="1">_xll.BDH("CAVA US Equity","BS_GOODWILL","FY 2023","FY 2023","Currency=USD","Period=FY","BEST_FPERIOD_OVERRIDE=FY","FILING_STATUS=MR","SCALING_FORMAT=MLN","Sort=A","Dates=H","DateFormat=P","Fill=—","Direction=H","UseDPDF=Y")</f>
        <v>#NAME?</v>
      </c>
    </row>
    <row r="25" spans="1:5" x14ac:dyDescent="0.25">
      <c r="A25" s="10" t="s">
        <v>110</v>
      </c>
      <c r="B25" s="10" t="s">
        <v>109</v>
      </c>
      <c r="C25" s="9" t="e">
        <f ca="1">_xll.BDH("CAVA US Equity","OTHER_INTANGIBLE_ASSETS_DETAILED","FY 2021","FY 2021","Currency=USD","Period=FY","BEST_FPERIOD_OVERRIDE=FY","FILING_STATUS=MR","SCALING_FORMAT=MLN","Sort=A","Dates=H","DateFormat=P","Fill=—","Direction=H","UseDPDF=Y")</f>
        <v>#NAME?</v>
      </c>
      <c r="D25" s="9" t="e">
        <f ca="1">_xll.BDH("CAVA US Equity","OTHER_INTANGIBLE_ASSETS_DETAILED","FY 2022","FY 2022","Currency=USD","Period=FY","BEST_FPERIOD_OVERRIDE=FY","FILING_STATUS=MR","SCALING_FORMAT=MLN","Sort=A","Dates=H","DateFormat=P","Fill=—","Direction=H","UseDPDF=Y")</f>
        <v>#NAME?</v>
      </c>
      <c r="E25" s="9" t="e">
        <f ca="1">_xll.BDH("CAVA US Equity","OTHER_INTANGIBLE_ASSETS_DETAILED","FY 2023","FY 2023","Currency=USD","Period=FY","BEST_FPERIOD_OVERRIDE=FY","FILING_STATUS=MR","SCALING_FORMAT=MLN","Sort=A","Dates=H","DateFormat=P","Fill=—","Direction=H","UseDPDF=Y")</f>
        <v>#NAME?</v>
      </c>
    </row>
    <row r="26" spans="1:5" x14ac:dyDescent="0.25">
      <c r="A26" s="3" t="s">
        <v>108</v>
      </c>
      <c r="B26" s="3" t="s">
        <v>107</v>
      </c>
      <c r="C26" s="4" t="e">
        <f ca="1">_xll.BDH("CAVA US Equity","BS_DERIV_HEDGING_ASST_LT","FY 2021","FY 2021","Currency=USD","Period=FY","BEST_FPERIOD_OVERRIDE=FY","FILING_STATUS=MR","SCALING_FORMAT=MLN","Sort=A","Dates=H","DateFormat=P","Fill=—","Direction=H","UseDPDF=Y")</f>
        <v>#NAME?</v>
      </c>
      <c r="D26" s="4" t="e">
        <f ca="1">_xll.BDH("CAVA US Equity","BS_DERIV_HEDGING_ASST_LT","FY 2022","FY 2022","Currency=USD","Period=FY","BEST_FPERIOD_OVERRIDE=FY","FILING_STATUS=MR","SCALING_FORMAT=MLN","Sort=A","Dates=H","DateFormat=P","Fill=—","Direction=H","UseDPDF=Y")</f>
        <v>#NAME?</v>
      </c>
      <c r="E26" s="4" t="e">
        <f ca="1">_xll.BDH("CAVA US Equity","BS_DERIV_HEDGING_ASST_LT","FY 2023","FY 2023","Currency=USD","Period=FY","BEST_FPERIOD_OVERRIDE=FY","FILING_STATUS=MR","SCALING_FORMAT=MLN","Sort=A","Dates=H","DateFormat=P","Fill=—","Direction=H","UseDPDF=Y")</f>
        <v>#NAME?</v>
      </c>
    </row>
    <row r="27" spans="1:5" x14ac:dyDescent="0.25">
      <c r="A27" s="3" t="s">
        <v>106</v>
      </c>
      <c r="B27" s="3" t="s">
        <v>105</v>
      </c>
      <c r="C27" s="4" t="e">
        <f ca="1">_xll.BDH("CAVA US Equity","OTHER_NONCURRENT_ASSETS_DETAILED","FY 2021","FY 2021","Currency=USD","Period=FY","BEST_FPERIOD_OVERRIDE=FY","FILING_STATUS=MR","SCALING_FORMAT=MLN","Sort=A","Dates=H","DateFormat=P","Fill=—","Direction=H","UseDPDF=Y")</f>
        <v>#NAME?</v>
      </c>
      <c r="D27" s="4" t="e">
        <f ca="1">_xll.BDH("CAVA US Equity","OTHER_NONCURRENT_ASSETS_DETAILED","FY 2022","FY 2022","Currency=USD","Period=FY","BEST_FPERIOD_OVERRIDE=FY","FILING_STATUS=MR","SCALING_FORMAT=MLN","Sort=A","Dates=H","DateFormat=P","Fill=—","Direction=H","UseDPDF=Y")</f>
        <v>#NAME?</v>
      </c>
      <c r="E27" s="4" t="e">
        <f ca="1">_xll.BDH("CAVA US Equity","OTHER_NONCURRENT_ASSETS_DETAILED","FY 2023","FY 2023","Currency=USD","Period=FY","BEST_FPERIOD_OVERRIDE=FY","FILING_STATUS=MR","SCALING_FORMAT=MLN","Sort=A","Dates=H","DateFormat=P","Fill=—","Direction=H","UseDPDF=Y")</f>
        <v>#NAME?</v>
      </c>
    </row>
    <row r="28" spans="1:5" x14ac:dyDescent="0.25">
      <c r="A28" s="7" t="s">
        <v>104</v>
      </c>
      <c r="B28" s="7" t="s">
        <v>103</v>
      </c>
      <c r="C28" s="8" t="e">
        <f ca="1">_xll.BDH("CAVA US Equity","BS_TOT_NON_CUR_ASSET","FY 2021","FY 2021","Currency=USD","Period=FY","BEST_FPERIOD_OVERRIDE=FY","FILING_STATUS=MR","SCALING_FORMAT=MLN","Sort=A","Dates=H","DateFormat=P","Fill=—","Direction=H","UseDPDF=Y")</f>
        <v>#NAME?</v>
      </c>
      <c r="D28" s="8" t="e">
        <f ca="1">_xll.BDH("CAVA US Equity","BS_TOT_NON_CUR_ASSET","FY 2022","FY 2022","Currency=USD","Period=FY","BEST_FPERIOD_OVERRIDE=FY","FILING_STATUS=MR","SCALING_FORMAT=MLN","Sort=A","Dates=H","DateFormat=P","Fill=—","Direction=H","UseDPDF=Y")</f>
        <v>#NAME?</v>
      </c>
      <c r="E28" s="8" t="e">
        <f ca="1">_xll.BDH("CAVA US Equity","BS_TOT_NON_CUR_ASSET","FY 2023","FY 2023","Currency=USD","Period=FY","BEST_FPERIOD_OVERRIDE=FY","FILING_STATUS=MR","SCALING_FORMAT=MLN","Sort=A","Dates=H","DateFormat=P","Fill=—","Direction=H","UseDPDF=Y")</f>
        <v>#NAME?</v>
      </c>
    </row>
    <row r="29" spans="1:5" x14ac:dyDescent="0.25">
      <c r="A29" s="7" t="s">
        <v>102</v>
      </c>
      <c r="B29" s="7" t="s">
        <v>101</v>
      </c>
      <c r="C29" s="8" t="e">
        <f ca="1">_xll.BDH("CAVA US Equity","BS_TOT_ASSET","FY 2021","FY 2021","Currency=USD","Period=FY","BEST_FPERIOD_OVERRIDE=FY","FILING_STATUS=MR","SCALING_FORMAT=MLN","Sort=A","Dates=H","DateFormat=P","Fill=—","Direction=H","UseDPDF=Y")</f>
        <v>#NAME?</v>
      </c>
      <c r="D29" s="8" t="e">
        <f ca="1">_xll.BDH("CAVA US Equity","BS_TOT_ASSET","FY 2022","FY 2022","Currency=USD","Period=FY","BEST_FPERIOD_OVERRIDE=FY","FILING_STATUS=MR","SCALING_FORMAT=MLN","Sort=A","Dates=H","DateFormat=P","Fill=—","Direction=H","UseDPDF=Y")</f>
        <v>#NAME?</v>
      </c>
      <c r="E29" s="8" t="e">
        <f ca="1">_xll.BDH("CAVA US Equity","BS_TOT_ASSET","FY 2023","FY 2023","Currency=USD","Period=FY","BEST_FPERIOD_OVERRIDE=FY","FILING_STATUS=MR","SCALING_FORMAT=MLN","Sort=A","Dates=H","DateFormat=P","Fill=—","Direction=H","UseDPDF=Y")</f>
        <v>#NAME?</v>
      </c>
    </row>
    <row r="30" spans="1:5" x14ac:dyDescent="0.25">
      <c r="A30" s="7"/>
      <c r="B30" s="6"/>
      <c r="C30" s="6"/>
      <c r="D30" s="6"/>
      <c r="E30" s="6"/>
    </row>
    <row r="31" spans="1:5" x14ac:dyDescent="0.25">
      <c r="A31" s="7" t="s">
        <v>100</v>
      </c>
      <c r="B31" s="6"/>
      <c r="C31" s="6"/>
      <c r="D31" s="6"/>
      <c r="E31" s="6"/>
    </row>
    <row r="32" spans="1:5" x14ac:dyDescent="0.25">
      <c r="A32" s="3" t="s">
        <v>99</v>
      </c>
      <c r="B32" s="3" t="s">
        <v>98</v>
      </c>
      <c r="C32" s="4" t="e">
        <f ca="1">_xll.BDH("CAVA US Equity","ACCT_PAYABLE_ACCRUALS_DETAILED","FY 2021","FY 2021","Currency=USD","Period=FY","BEST_FPERIOD_OVERRIDE=FY","FILING_STATUS=MR","SCALING_FORMAT=MLN","Sort=A","Dates=H","DateFormat=P","Fill=—","Direction=H","UseDPDF=Y")</f>
        <v>#NAME?</v>
      </c>
      <c r="D32" s="4" t="e">
        <f ca="1">_xll.BDH("CAVA US Equity","ACCT_PAYABLE_ACCRUALS_DETAILED","FY 2022","FY 2022","Currency=USD","Period=FY","BEST_FPERIOD_OVERRIDE=FY","FILING_STATUS=MR","SCALING_FORMAT=MLN","Sort=A","Dates=H","DateFormat=P","Fill=—","Direction=H","UseDPDF=Y")</f>
        <v>#NAME?</v>
      </c>
      <c r="E32" s="4" t="e">
        <f ca="1">_xll.BDH("CAVA US Equity","ACCT_PAYABLE_ACCRUALS_DETAILED","FY 2023","FY 2023","Currency=USD","Period=FY","BEST_FPERIOD_OVERRIDE=FY","FILING_STATUS=MR","SCALING_FORMAT=MLN","Sort=A","Dates=H","DateFormat=P","Fill=—","Direction=H","UseDPDF=Y")</f>
        <v>#NAME?</v>
      </c>
    </row>
    <row r="33" spans="1:5" x14ac:dyDescent="0.25">
      <c r="A33" s="3" t="s">
        <v>97</v>
      </c>
      <c r="B33" s="3" t="s">
        <v>96</v>
      </c>
      <c r="C33" s="4" t="e">
        <f ca="1">_xll.BDH("CAVA US Equity","BS_ACCT_PAYABLE","FY 2021","FY 2021","Currency=USD","Period=FY","BEST_FPERIOD_OVERRIDE=FY","FILING_STATUS=MR","SCALING_FORMAT=MLN","Sort=A","Dates=H","DateFormat=P","Fill=—","Direction=H","UseDPDF=Y")</f>
        <v>#NAME?</v>
      </c>
      <c r="D33" s="4" t="e">
        <f ca="1">_xll.BDH("CAVA US Equity","BS_ACCT_PAYABLE","FY 2022","FY 2022","Currency=USD","Period=FY","BEST_FPERIOD_OVERRIDE=FY","FILING_STATUS=MR","SCALING_FORMAT=MLN","Sort=A","Dates=H","DateFormat=P","Fill=—","Direction=H","UseDPDF=Y")</f>
        <v>#NAME?</v>
      </c>
      <c r="E33" s="4" t="e">
        <f ca="1">_xll.BDH("CAVA US Equity","BS_ACCT_PAYABLE","FY 2023","FY 2023","Currency=USD","Period=FY","BEST_FPERIOD_OVERRIDE=FY","FILING_STATUS=MR","SCALING_FORMAT=MLN","Sort=A","Dates=H","DateFormat=P","Fill=—","Direction=H","UseDPDF=Y")</f>
        <v>#NAME?</v>
      </c>
    </row>
    <row r="34" spans="1:5" x14ac:dyDescent="0.25">
      <c r="A34" s="3" t="s">
        <v>95</v>
      </c>
      <c r="B34" s="3" t="s">
        <v>94</v>
      </c>
      <c r="C34" s="4" t="e">
        <f ca="1">_xll.BDH("CAVA US Equity","BS_ACCRUAL","FY 2021","FY 2021","Currency=USD","Period=FY","BEST_FPERIOD_OVERRIDE=FY","FILING_STATUS=MR","SCALING_FORMAT=MLN","Sort=A","Dates=H","DateFormat=P","Fill=—","Direction=H","UseDPDF=Y")</f>
        <v>#NAME?</v>
      </c>
      <c r="D34" s="4" t="e">
        <f ca="1">_xll.BDH("CAVA US Equity","BS_ACCRUAL","FY 2022","FY 2022","Currency=USD","Period=FY","BEST_FPERIOD_OVERRIDE=FY","FILING_STATUS=MR","SCALING_FORMAT=MLN","Sort=A","Dates=H","DateFormat=P","Fill=—","Direction=H","UseDPDF=Y")</f>
        <v>#NAME?</v>
      </c>
      <c r="E34" s="4" t="e">
        <f ca="1">_xll.BDH("CAVA US Equity","BS_ACCRUAL","FY 2023","FY 2023","Currency=USD","Period=FY","BEST_FPERIOD_OVERRIDE=FY","FILING_STATUS=MR","SCALING_FORMAT=MLN","Sort=A","Dates=H","DateFormat=P","Fill=—","Direction=H","UseDPDF=Y")</f>
        <v>#NAME?</v>
      </c>
    </row>
    <row r="35" spans="1:5" x14ac:dyDescent="0.25">
      <c r="A35" s="3" t="s">
        <v>93</v>
      </c>
      <c r="B35" s="3" t="s">
        <v>92</v>
      </c>
      <c r="C35" s="4" t="e">
        <f ca="1">_xll.BDH("CAVA US Equity","BS_ST_BORROW","FY 2021","FY 2021","Currency=USD","Period=FY","BEST_FPERIOD_OVERRIDE=FY","FILING_STATUS=MR","SCALING_FORMAT=MLN","Sort=A","Dates=H","DateFormat=P","Fill=—","Direction=H","UseDPDF=Y")</f>
        <v>#NAME?</v>
      </c>
      <c r="D35" s="4" t="e">
        <f ca="1">_xll.BDH("CAVA US Equity","BS_ST_BORROW","FY 2022","FY 2022","Currency=USD","Period=FY","BEST_FPERIOD_OVERRIDE=FY","FILING_STATUS=MR","SCALING_FORMAT=MLN","Sort=A","Dates=H","DateFormat=P","Fill=—","Direction=H","UseDPDF=Y")</f>
        <v>#NAME?</v>
      </c>
      <c r="E35" s="4" t="e">
        <f ca="1">_xll.BDH("CAVA US Equity","BS_ST_BORROW","FY 2023","FY 2023","Currency=USD","Period=FY","BEST_FPERIOD_OVERRIDE=FY","FILING_STATUS=MR","SCALING_FORMAT=MLN","Sort=A","Dates=H","DateFormat=P","Fill=—","Direction=H","UseDPDF=Y")</f>
        <v>#NAME?</v>
      </c>
    </row>
    <row r="36" spans="1:5" x14ac:dyDescent="0.25">
      <c r="A36" s="3" t="s">
        <v>91</v>
      </c>
      <c r="B36" s="3" t="s">
        <v>90</v>
      </c>
      <c r="C36" s="4" t="e">
        <f ca="1">_xll.BDH("CAVA US Equity","SHORT_TERM_DEBT_DETAILED","FY 2021","FY 2021","Currency=USD","Period=FY","BEST_FPERIOD_OVERRIDE=FY","FILING_STATUS=MR","SCALING_FORMAT=MLN","Sort=A","Dates=H","DateFormat=P","Fill=—","Direction=H","UseDPDF=Y")</f>
        <v>#NAME?</v>
      </c>
      <c r="D36" s="4" t="e">
        <f ca="1">_xll.BDH("CAVA US Equity","SHORT_TERM_DEBT_DETAILED","FY 2022","FY 2022","Currency=USD","Period=FY","BEST_FPERIOD_OVERRIDE=FY","FILING_STATUS=MR","SCALING_FORMAT=MLN","Sort=A","Dates=H","DateFormat=P","Fill=—","Direction=H","UseDPDF=Y")</f>
        <v>#NAME?</v>
      </c>
      <c r="E36" s="4" t="e">
        <f ca="1">_xll.BDH("CAVA US Equity","SHORT_TERM_DEBT_DETAILED","FY 2023","FY 2023","Currency=USD","Period=FY","BEST_FPERIOD_OVERRIDE=FY","FILING_STATUS=MR","SCALING_FORMAT=MLN","Sort=A","Dates=H","DateFormat=P","Fill=—","Direction=H","UseDPDF=Y")</f>
        <v>#NAME?</v>
      </c>
    </row>
    <row r="37" spans="1:5" x14ac:dyDescent="0.25">
      <c r="A37" s="3" t="s">
        <v>89</v>
      </c>
      <c r="B37" s="3" t="s">
        <v>88</v>
      </c>
      <c r="C37" s="4" t="e">
        <f ca="1">_xll.BDH("CAVA US Equity","ST_CAPITALIZED_LEASE_LIABILITIES","FY 2021","FY 2021","Currency=USD","Period=FY","BEST_FPERIOD_OVERRIDE=FY","FILING_STATUS=MR","SCALING_FORMAT=MLN","Sort=A","Dates=H","DateFormat=P","Fill=—","Direction=H","UseDPDF=Y")</f>
        <v>#NAME?</v>
      </c>
      <c r="D37" s="4" t="e">
        <f ca="1">_xll.BDH("CAVA US Equity","ST_CAPITALIZED_LEASE_LIABILITIES","FY 2022","FY 2022","Currency=USD","Period=FY","BEST_FPERIOD_OVERRIDE=FY","FILING_STATUS=MR","SCALING_FORMAT=MLN","Sort=A","Dates=H","DateFormat=P","Fill=—","Direction=H","UseDPDF=Y")</f>
        <v>#NAME?</v>
      </c>
      <c r="E37" s="4" t="e">
        <f ca="1">_xll.BDH("CAVA US Equity","ST_CAPITALIZED_LEASE_LIABILITIES","FY 2023","FY 2023","Currency=USD","Period=FY","BEST_FPERIOD_OVERRIDE=FY","FILING_STATUS=MR","SCALING_FORMAT=MLN","Sort=A","Dates=H","DateFormat=P","Fill=—","Direction=H","UseDPDF=Y")</f>
        <v>#NAME?</v>
      </c>
    </row>
    <row r="38" spans="1:5" x14ac:dyDescent="0.25">
      <c r="A38" s="10" t="s">
        <v>87</v>
      </c>
      <c r="B38" s="10" t="s">
        <v>86</v>
      </c>
      <c r="C38" s="9" t="e">
        <f ca="1">_xll.BDH("CAVA US Equity","ST_CAPITAL_LEASE_OBLIGATIONS","FY 2021","FY 2021","Currency=USD","Period=FY","BEST_FPERIOD_OVERRIDE=FY","FILING_STATUS=MR","SCALING_FORMAT=MLN","Sort=A","Dates=H","DateFormat=P","Fill=—","Direction=H","UseDPDF=Y")</f>
        <v>#NAME?</v>
      </c>
      <c r="D38" s="9" t="e">
        <f ca="1">_xll.BDH("CAVA US Equity","ST_CAPITAL_LEASE_OBLIGATIONS","FY 2022","FY 2022","Currency=USD","Period=FY","BEST_FPERIOD_OVERRIDE=FY","FILING_STATUS=MR","SCALING_FORMAT=MLN","Sort=A","Dates=H","DateFormat=P","Fill=—","Direction=H","UseDPDF=Y")</f>
        <v>#NAME?</v>
      </c>
      <c r="E38" s="9" t="e">
        <f ca="1">_xll.BDH("CAVA US Equity","ST_CAPITAL_LEASE_OBLIGATIONS","FY 2023","FY 2023","Currency=USD","Period=FY","BEST_FPERIOD_OVERRIDE=FY","FILING_STATUS=MR","SCALING_FORMAT=MLN","Sort=A","Dates=H","DateFormat=P","Fill=—","Direction=H","UseDPDF=Y")</f>
        <v>#NAME?</v>
      </c>
    </row>
    <row r="39" spans="1:5" x14ac:dyDescent="0.25">
      <c r="A39" s="10" t="s">
        <v>85</v>
      </c>
      <c r="B39" s="10" t="s">
        <v>84</v>
      </c>
      <c r="C39" s="9" t="e">
        <f ca="1">_xll.BDH("CAVA US Equity","BS_ST_OPERATING_LEASE_LIABS","FY 2021","FY 2021","Currency=USD","Period=FY","BEST_FPERIOD_OVERRIDE=FY","FILING_STATUS=MR","SCALING_FORMAT=MLN","Sort=A","Dates=H","DateFormat=P","Fill=—","Direction=H","UseDPDF=Y")</f>
        <v>#NAME?</v>
      </c>
      <c r="D39" s="9" t="e">
        <f ca="1">_xll.BDH("CAVA US Equity","BS_ST_OPERATING_LEASE_LIABS","FY 2022","FY 2022","Currency=USD","Period=FY","BEST_FPERIOD_OVERRIDE=FY","FILING_STATUS=MR","SCALING_FORMAT=MLN","Sort=A","Dates=H","DateFormat=P","Fill=—","Direction=H","UseDPDF=Y")</f>
        <v>#NAME?</v>
      </c>
      <c r="E39" s="9" t="e">
        <f ca="1">_xll.BDH("CAVA US Equity","BS_ST_OPERATING_LEASE_LIABS","FY 2023","FY 2023","Currency=USD","Period=FY","BEST_FPERIOD_OVERRIDE=FY","FILING_STATUS=MR","SCALING_FORMAT=MLN","Sort=A","Dates=H","DateFormat=P","Fill=—","Direction=H","UseDPDF=Y")</f>
        <v>#NAME?</v>
      </c>
    </row>
    <row r="40" spans="1:5" x14ac:dyDescent="0.25">
      <c r="A40" s="3" t="s">
        <v>83</v>
      </c>
      <c r="B40" s="3" t="s">
        <v>82</v>
      </c>
      <c r="C40" s="4" t="e">
        <f ca="1">_xll.BDH("CAVA US Equity","OTHER_CURRENT_LIABS_SUB_DETAILED","FY 2021","FY 2021","Currency=USD","Period=FY","BEST_FPERIOD_OVERRIDE=FY","FILING_STATUS=MR","SCALING_FORMAT=MLN","Sort=A","Dates=H","DateFormat=P","Fill=—","Direction=H","UseDPDF=Y")</f>
        <v>#NAME?</v>
      </c>
      <c r="D40" s="4" t="e">
        <f ca="1">_xll.BDH("CAVA US Equity","OTHER_CURRENT_LIABS_SUB_DETAILED","FY 2022","FY 2022","Currency=USD","Period=FY","BEST_FPERIOD_OVERRIDE=FY","FILING_STATUS=MR","SCALING_FORMAT=MLN","Sort=A","Dates=H","DateFormat=P","Fill=—","Direction=H","UseDPDF=Y")</f>
        <v>#NAME?</v>
      </c>
      <c r="E40" s="4" t="e">
        <f ca="1">_xll.BDH("CAVA US Equity","OTHER_CURRENT_LIABS_SUB_DETAILED","FY 2023","FY 2023","Currency=USD","Period=FY","BEST_FPERIOD_OVERRIDE=FY","FILING_STATUS=MR","SCALING_FORMAT=MLN","Sort=A","Dates=H","DateFormat=P","Fill=—","Direction=H","UseDPDF=Y")</f>
        <v>#NAME?</v>
      </c>
    </row>
    <row r="41" spans="1:5" x14ac:dyDescent="0.25">
      <c r="A41" s="3" t="s">
        <v>61</v>
      </c>
      <c r="B41" s="3" t="s">
        <v>81</v>
      </c>
      <c r="C41" s="4" t="e">
        <f ca="1">_xll.BDH("CAVA US Equity","ST_DEFERRED_REVENUE","FY 2021","FY 2021","Currency=USD","Period=FY","BEST_FPERIOD_OVERRIDE=FY","FILING_STATUS=MR","SCALING_FORMAT=MLN","Sort=A","Dates=H","DateFormat=P","Fill=—","Direction=H","UseDPDF=Y")</f>
        <v>#NAME?</v>
      </c>
      <c r="D41" s="4" t="e">
        <f ca="1">_xll.BDH("CAVA US Equity","ST_DEFERRED_REVENUE","FY 2022","FY 2022","Currency=USD","Period=FY","BEST_FPERIOD_OVERRIDE=FY","FILING_STATUS=MR","SCALING_FORMAT=MLN","Sort=A","Dates=H","DateFormat=P","Fill=—","Direction=H","UseDPDF=Y")</f>
        <v>#NAME?</v>
      </c>
      <c r="E41" s="4" t="e">
        <f ca="1">_xll.BDH("CAVA US Equity","ST_DEFERRED_REVENUE","FY 2023","FY 2023","Currency=USD","Period=FY","BEST_FPERIOD_OVERRIDE=FY","FILING_STATUS=MR","SCALING_FORMAT=MLN","Sort=A","Dates=H","DateFormat=P","Fill=—","Direction=H","UseDPDF=Y")</f>
        <v>#NAME?</v>
      </c>
    </row>
    <row r="42" spans="1:5" x14ac:dyDescent="0.25">
      <c r="A42" s="3" t="s">
        <v>57</v>
      </c>
      <c r="B42" s="3" t="s">
        <v>80</v>
      </c>
      <c r="C42" s="4" t="e">
        <f ca="1">_xll.BDH("CAVA US Equity","BS_DERIV_HEDGING_LIAB_ST","FY 2021","FY 2021","Currency=USD","Period=FY","BEST_FPERIOD_OVERRIDE=FY","FILING_STATUS=MR","SCALING_FORMAT=MLN","Sort=A","Dates=H","DateFormat=P","Fill=—","Direction=H","UseDPDF=Y")</f>
        <v>#NAME?</v>
      </c>
      <c r="D42" s="4" t="e">
        <f ca="1">_xll.BDH("CAVA US Equity","BS_DERIV_HEDGING_LIAB_ST","FY 2022","FY 2022","Currency=USD","Period=FY","BEST_FPERIOD_OVERRIDE=FY","FILING_STATUS=MR","SCALING_FORMAT=MLN","Sort=A","Dates=H","DateFormat=P","Fill=—","Direction=H","UseDPDF=Y")</f>
        <v>#NAME?</v>
      </c>
      <c r="E42" s="4" t="e">
        <f ca="1">_xll.BDH("CAVA US Equity","BS_DERIV_HEDGING_LIAB_ST","FY 2023","FY 2023","Currency=USD","Period=FY","BEST_FPERIOD_OVERRIDE=FY","FILING_STATUS=MR","SCALING_FORMAT=MLN","Sort=A","Dates=H","DateFormat=P","Fill=—","Direction=H","UseDPDF=Y")</f>
        <v>#NAME?</v>
      </c>
    </row>
    <row r="43" spans="1:5" x14ac:dyDescent="0.25">
      <c r="A43" s="3" t="s">
        <v>79</v>
      </c>
      <c r="B43" s="3" t="s">
        <v>78</v>
      </c>
      <c r="C43" s="4" t="e">
        <f ca="1">_xll.BDH("CAVA US Equity","OTHER_CURRENT_LIABS_DETAILED","FY 2021","FY 2021","Currency=USD","Period=FY","BEST_FPERIOD_OVERRIDE=FY","FILING_STATUS=MR","SCALING_FORMAT=MLN","Sort=A","Dates=H","DateFormat=P","Fill=—","Direction=H","UseDPDF=Y")</f>
        <v>#NAME?</v>
      </c>
      <c r="D43" s="4" t="e">
        <f ca="1">_xll.BDH("CAVA US Equity","OTHER_CURRENT_LIABS_DETAILED","FY 2022","FY 2022","Currency=USD","Period=FY","BEST_FPERIOD_OVERRIDE=FY","FILING_STATUS=MR","SCALING_FORMAT=MLN","Sort=A","Dates=H","DateFormat=P","Fill=—","Direction=H","UseDPDF=Y")</f>
        <v>#NAME?</v>
      </c>
      <c r="E43" s="4" t="e">
        <f ca="1">_xll.BDH("CAVA US Equity","OTHER_CURRENT_LIABS_DETAILED","FY 2023","FY 2023","Currency=USD","Period=FY","BEST_FPERIOD_OVERRIDE=FY","FILING_STATUS=MR","SCALING_FORMAT=MLN","Sort=A","Dates=H","DateFormat=P","Fill=—","Direction=H","UseDPDF=Y")</f>
        <v>#NAME?</v>
      </c>
    </row>
    <row r="44" spans="1:5" x14ac:dyDescent="0.25">
      <c r="A44" s="7" t="s">
        <v>77</v>
      </c>
      <c r="B44" s="7" t="s">
        <v>76</v>
      </c>
      <c r="C44" s="8" t="e">
        <f ca="1">_xll.BDH("CAVA US Equity","BS_CUR_LIAB","FY 2021","FY 2021","Currency=USD","Period=FY","BEST_FPERIOD_OVERRIDE=FY","FILING_STATUS=MR","SCALING_FORMAT=MLN","Sort=A","Dates=H","DateFormat=P","Fill=—","Direction=H","UseDPDF=Y")</f>
        <v>#NAME?</v>
      </c>
      <c r="D44" s="8" t="e">
        <f ca="1">_xll.BDH("CAVA US Equity","BS_CUR_LIAB","FY 2022","FY 2022","Currency=USD","Period=FY","BEST_FPERIOD_OVERRIDE=FY","FILING_STATUS=MR","SCALING_FORMAT=MLN","Sort=A","Dates=H","DateFormat=P","Fill=—","Direction=H","UseDPDF=Y")</f>
        <v>#NAME?</v>
      </c>
      <c r="E44" s="8" t="e">
        <f ca="1">_xll.BDH("CAVA US Equity","BS_CUR_LIAB","FY 2023","FY 2023","Currency=USD","Period=FY","BEST_FPERIOD_OVERRIDE=FY","FILING_STATUS=MR","SCALING_FORMAT=MLN","Sort=A","Dates=H","DateFormat=P","Fill=—","Direction=H","UseDPDF=Y")</f>
        <v>#NAME?</v>
      </c>
    </row>
    <row r="45" spans="1:5" x14ac:dyDescent="0.25">
      <c r="A45" s="3" t="s">
        <v>75</v>
      </c>
      <c r="B45" s="3" t="s">
        <v>74</v>
      </c>
      <c r="C45" s="4" t="e">
        <f ca="1">_xll.BDH("CAVA US Equity","BS_LT_BORROW","FY 2021","FY 2021","Currency=USD","Period=FY","BEST_FPERIOD_OVERRIDE=FY","FILING_STATUS=MR","SCALING_FORMAT=MLN","Sort=A","Dates=H","DateFormat=P","Fill=—","Direction=H","UseDPDF=Y")</f>
        <v>#NAME?</v>
      </c>
      <c r="D45" s="4" t="e">
        <f ca="1">_xll.BDH("CAVA US Equity","BS_LT_BORROW","FY 2022","FY 2022","Currency=USD","Period=FY","BEST_FPERIOD_OVERRIDE=FY","FILING_STATUS=MR","SCALING_FORMAT=MLN","Sort=A","Dates=H","DateFormat=P","Fill=—","Direction=H","UseDPDF=Y")</f>
        <v>#NAME?</v>
      </c>
      <c r="E45" s="4" t="e">
        <f ca="1">_xll.BDH("CAVA US Equity","BS_LT_BORROW","FY 2023","FY 2023","Currency=USD","Period=FY","BEST_FPERIOD_OVERRIDE=FY","FILING_STATUS=MR","SCALING_FORMAT=MLN","Sort=A","Dates=H","DateFormat=P","Fill=—","Direction=H","UseDPDF=Y")</f>
        <v>#NAME?</v>
      </c>
    </row>
    <row r="46" spans="1:5" x14ac:dyDescent="0.25">
      <c r="A46" s="3" t="s">
        <v>73</v>
      </c>
      <c r="B46" s="3" t="s">
        <v>72</v>
      </c>
      <c r="C46" s="4" t="e">
        <f ca="1">_xll.BDH("CAVA US Equity","LONG_TERM_BORROWINGS_DETAILED","FY 2021","FY 2021","Currency=USD","Period=FY","BEST_FPERIOD_OVERRIDE=FY","FILING_STATUS=MR","SCALING_FORMAT=MLN","Sort=A","Dates=H","DateFormat=P","Fill=—","Direction=H","UseDPDF=Y")</f>
        <v>#NAME?</v>
      </c>
      <c r="D46" s="4" t="e">
        <f ca="1">_xll.BDH("CAVA US Equity","LONG_TERM_BORROWINGS_DETAILED","FY 2022","FY 2022","Currency=USD","Period=FY","BEST_FPERIOD_OVERRIDE=FY","FILING_STATUS=MR","SCALING_FORMAT=MLN","Sort=A","Dates=H","DateFormat=P","Fill=—","Direction=H","UseDPDF=Y")</f>
        <v>#NAME?</v>
      </c>
      <c r="E46" s="4" t="e">
        <f ca="1">_xll.BDH("CAVA US Equity","LONG_TERM_BORROWINGS_DETAILED","FY 2023","FY 2023","Currency=USD","Period=FY","BEST_FPERIOD_OVERRIDE=FY","FILING_STATUS=MR","SCALING_FORMAT=MLN","Sort=A","Dates=H","DateFormat=P","Fill=—","Direction=H","UseDPDF=Y")</f>
        <v>#NAME?</v>
      </c>
    </row>
    <row r="47" spans="1:5" x14ac:dyDescent="0.25">
      <c r="A47" s="3" t="s">
        <v>71</v>
      </c>
      <c r="B47" s="3" t="s">
        <v>70</v>
      </c>
      <c r="C47" s="4" t="e">
        <f ca="1">_xll.BDH("CAVA US Equity","LT_CAPITALIZED_LEASE_LIABILITIES","FY 2021","FY 2021","Currency=USD","Period=FY","BEST_FPERIOD_OVERRIDE=FY","FILING_STATUS=MR","SCALING_FORMAT=MLN","Sort=A","Dates=H","DateFormat=P","Fill=—","Direction=H","UseDPDF=Y")</f>
        <v>#NAME?</v>
      </c>
      <c r="D47" s="4" t="e">
        <f ca="1">_xll.BDH("CAVA US Equity","LT_CAPITALIZED_LEASE_LIABILITIES","FY 2022","FY 2022","Currency=USD","Period=FY","BEST_FPERIOD_OVERRIDE=FY","FILING_STATUS=MR","SCALING_FORMAT=MLN","Sort=A","Dates=H","DateFormat=P","Fill=—","Direction=H","UseDPDF=Y")</f>
        <v>#NAME?</v>
      </c>
      <c r="E47" s="4" t="e">
        <f ca="1">_xll.BDH("CAVA US Equity","LT_CAPITALIZED_LEASE_LIABILITIES","FY 2023","FY 2023","Currency=USD","Period=FY","BEST_FPERIOD_OVERRIDE=FY","FILING_STATUS=MR","SCALING_FORMAT=MLN","Sort=A","Dates=H","DateFormat=P","Fill=—","Direction=H","UseDPDF=Y")</f>
        <v>#NAME?</v>
      </c>
    </row>
    <row r="48" spans="1:5" x14ac:dyDescent="0.25">
      <c r="A48" s="10" t="s">
        <v>69</v>
      </c>
      <c r="B48" s="10" t="s">
        <v>68</v>
      </c>
      <c r="C48" s="9" t="e">
        <f ca="1">_xll.BDH("CAVA US Equity","LT_CAPITAL_LEASE_OBLIGATIONS","FY 2021","FY 2021","Currency=USD","Period=FY","BEST_FPERIOD_OVERRIDE=FY","FILING_STATUS=MR","SCALING_FORMAT=MLN","Sort=A","Dates=H","DateFormat=P","Fill=—","Direction=H","UseDPDF=Y")</f>
        <v>#NAME?</v>
      </c>
      <c r="D48" s="9" t="e">
        <f ca="1">_xll.BDH("CAVA US Equity","LT_CAPITAL_LEASE_OBLIGATIONS","FY 2022","FY 2022","Currency=USD","Period=FY","BEST_FPERIOD_OVERRIDE=FY","FILING_STATUS=MR","SCALING_FORMAT=MLN","Sort=A","Dates=H","DateFormat=P","Fill=—","Direction=H","UseDPDF=Y")</f>
        <v>#NAME?</v>
      </c>
      <c r="E48" s="9" t="e">
        <f ca="1">_xll.BDH("CAVA US Equity","LT_CAPITAL_LEASE_OBLIGATIONS","FY 2023","FY 2023","Currency=USD","Period=FY","BEST_FPERIOD_OVERRIDE=FY","FILING_STATUS=MR","SCALING_FORMAT=MLN","Sort=A","Dates=H","DateFormat=P","Fill=—","Direction=H","UseDPDF=Y")</f>
        <v>#NAME?</v>
      </c>
    </row>
    <row r="49" spans="1:5" x14ac:dyDescent="0.25">
      <c r="A49" s="10" t="s">
        <v>67</v>
      </c>
      <c r="B49" s="10" t="s">
        <v>66</v>
      </c>
      <c r="C49" s="9" t="e">
        <f ca="1">_xll.BDH("CAVA US Equity","BS_LT_OPERATING_LEASE_LIABS","FY 2021","FY 2021","Currency=USD","Period=FY","BEST_FPERIOD_OVERRIDE=FY","FILING_STATUS=MR","SCALING_FORMAT=MLN","Sort=A","Dates=H","DateFormat=P","Fill=—","Direction=H","UseDPDF=Y")</f>
        <v>#NAME?</v>
      </c>
      <c r="D49" s="9" t="e">
        <f ca="1">_xll.BDH("CAVA US Equity","BS_LT_OPERATING_LEASE_LIABS","FY 2022","FY 2022","Currency=USD","Period=FY","BEST_FPERIOD_OVERRIDE=FY","FILING_STATUS=MR","SCALING_FORMAT=MLN","Sort=A","Dates=H","DateFormat=P","Fill=—","Direction=H","UseDPDF=Y")</f>
        <v>#NAME?</v>
      </c>
      <c r="E49" s="9" t="e">
        <f ca="1">_xll.BDH("CAVA US Equity","BS_LT_OPERATING_LEASE_LIABS","FY 2023","FY 2023","Currency=USD","Period=FY","BEST_FPERIOD_OVERRIDE=FY","FILING_STATUS=MR","SCALING_FORMAT=MLN","Sort=A","Dates=H","DateFormat=P","Fill=—","Direction=H","UseDPDF=Y")</f>
        <v>#NAME?</v>
      </c>
    </row>
    <row r="50" spans="1:5" x14ac:dyDescent="0.25">
      <c r="A50" s="3" t="s">
        <v>65</v>
      </c>
      <c r="B50" s="3" t="s">
        <v>64</v>
      </c>
      <c r="C50" s="4" t="e">
        <f ca="1">_xll.BDH("CAVA US Equity","OTHER_NONCUR_LIABS_SUB_DETAILED","FY 2021","FY 2021","Currency=USD","Period=FY","BEST_FPERIOD_OVERRIDE=FY","FILING_STATUS=MR","SCALING_FORMAT=MLN","Sort=A","Dates=H","DateFormat=P","Fill=—","Direction=H","UseDPDF=Y")</f>
        <v>#NAME?</v>
      </c>
      <c r="D50" s="4" t="e">
        <f ca="1">_xll.BDH("CAVA US Equity","OTHER_NONCUR_LIABS_SUB_DETAILED","FY 2022","FY 2022","Currency=USD","Period=FY","BEST_FPERIOD_OVERRIDE=FY","FILING_STATUS=MR","SCALING_FORMAT=MLN","Sort=A","Dates=H","DateFormat=P","Fill=—","Direction=H","UseDPDF=Y")</f>
        <v>#NAME?</v>
      </c>
      <c r="E50" s="4" t="e">
        <f ca="1">_xll.BDH("CAVA US Equity","OTHER_NONCUR_LIABS_SUB_DETAILED","FY 2023","FY 2023","Currency=USD","Period=FY","BEST_FPERIOD_OVERRIDE=FY","FILING_STATUS=MR","SCALING_FORMAT=MLN","Sort=A","Dates=H","DateFormat=P","Fill=—","Direction=H","UseDPDF=Y")</f>
        <v>#NAME?</v>
      </c>
    </row>
    <row r="51" spans="1:5" x14ac:dyDescent="0.25">
      <c r="A51" s="3" t="s">
        <v>63</v>
      </c>
      <c r="B51" s="3" t="s">
        <v>62</v>
      </c>
      <c r="C51" s="4" t="e">
        <f ca="1">_xll.BDH("CAVA US Equity","BS_ACCRUED_LIABILITIES","FY 2021","FY 2021","Currency=USD","Period=FY","BEST_FPERIOD_OVERRIDE=FY","FILING_STATUS=MR","SCALING_FORMAT=MLN","Sort=A","Dates=H","DateFormat=P","Fill=—","Direction=H","UseDPDF=Y")</f>
        <v>#NAME?</v>
      </c>
      <c r="D51" s="4" t="e">
        <f ca="1">_xll.BDH("CAVA US Equity","BS_ACCRUED_LIABILITIES","FY 2022","FY 2022","Currency=USD","Period=FY","BEST_FPERIOD_OVERRIDE=FY","FILING_STATUS=MR","SCALING_FORMAT=MLN","Sort=A","Dates=H","DateFormat=P","Fill=—","Direction=H","UseDPDF=Y")</f>
        <v>#NAME?</v>
      </c>
      <c r="E51" s="4" t="e">
        <f ca="1">_xll.BDH("CAVA US Equity","BS_ACCRUED_LIABILITIES","FY 2023","FY 2023","Currency=USD","Period=FY","BEST_FPERIOD_OVERRIDE=FY","FILING_STATUS=MR","SCALING_FORMAT=MLN","Sort=A","Dates=H","DateFormat=P","Fill=—","Direction=H","UseDPDF=Y")</f>
        <v>#NAME?</v>
      </c>
    </row>
    <row r="52" spans="1:5" x14ac:dyDescent="0.25">
      <c r="A52" s="3" t="s">
        <v>61</v>
      </c>
      <c r="B52" s="3" t="s">
        <v>60</v>
      </c>
      <c r="C52" s="4" t="e">
        <f ca="1">_xll.BDH("CAVA US Equity","LT_DEFERRED_REVENUE","FY 2021","FY 2021","Currency=USD","Period=FY","BEST_FPERIOD_OVERRIDE=FY","FILING_STATUS=MR","SCALING_FORMAT=MLN","Sort=A","Dates=H","DateFormat=P","Fill=—","Direction=H","UseDPDF=Y")</f>
        <v>#NAME?</v>
      </c>
      <c r="D52" s="4" t="e">
        <f ca="1">_xll.BDH("CAVA US Equity","LT_DEFERRED_REVENUE","FY 2022","FY 2022","Currency=USD","Period=FY","BEST_FPERIOD_OVERRIDE=FY","FILING_STATUS=MR","SCALING_FORMAT=MLN","Sort=A","Dates=H","DateFormat=P","Fill=—","Direction=H","UseDPDF=Y")</f>
        <v>#NAME?</v>
      </c>
      <c r="E52" s="4" t="e">
        <f ca="1">_xll.BDH("CAVA US Equity","LT_DEFERRED_REVENUE","FY 2023","FY 2023","Currency=USD","Period=FY","BEST_FPERIOD_OVERRIDE=FY","FILING_STATUS=MR","SCALING_FORMAT=MLN","Sort=A","Dates=H","DateFormat=P","Fill=—","Direction=H","UseDPDF=Y")</f>
        <v>#NAME?</v>
      </c>
    </row>
    <row r="53" spans="1:5" x14ac:dyDescent="0.25">
      <c r="A53" s="3" t="s">
        <v>59</v>
      </c>
      <c r="B53" s="3" t="s">
        <v>58</v>
      </c>
      <c r="C53" s="4" t="e">
        <f ca="1">_xll.BDH("CAVA US Equity","BS_DEFERRED_TAX_LIABILITIES_LT","FY 2021","FY 2021","Currency=USD","Period=FY","BEST_FPERIOD_OVERRIDE=FY","FILING_STATUS=MR","SCALING_FORMAT=MLN","Sort=A","Dates=H","DateFormat=P","Fill=—","Direction=H","UseDPDF=Y")</f>
        <v>#NAME?</v>
      </c>
      <c r="D53" s="4" t="e">
        <f ca="1">_xll.BDH("CAVA US Equity","BS_DEFERRED_TAX_LIABILITIES_LT","FY 2022","FY 2022","Currency=USD","Period=FY","BEST_FPERIOD_OVERRIDE=FY","FILING_STATUS=MR","SCALING_FORMAT=MLN","Sort=A","Dates=H","DateFormat=P","Fill=—","Direction=H","UseDPDF=Y")</f>
        <v>#NAME?</v>
      </c>
      <c r="E53" s="4" t="e">
        <f ca="1">_xll.BDH("CAVA US Equity","BS_DEFERRED_TAX_LIABILITIES_LT","FY 2023","FY 2023","Currency=USD","Period=FY","BEST_FPERIOD_OVERRIDE=FY","FILING_STATUS=MR","SCALING_FORMAT=MLN","Sort=A","Dates=H","DateFormat=P","Fill=—","Direction=H","UseDPDF=Y")</f>
        <v>#NAME?</v>
      </c>
    </row>
    <row r="54" spans="1:5" x14ac:dyDescent="0.25">
      <c r="A54" s="3" t="s">
        <v>57</v>
      </c>
      <c r="B54" s="3" t="s">
        <v>56</v>
      </c>
      <c r="C54" s="4" t="e">
        <f ca="1">_xll.BDH("CAVA US Equity","BS_DERIV_HEDGING_LIAB_LT","FY 2021","FY 2021","Currency=USD","Period=FY","BEST_FPERIOD_OVERRIDE=FY","FILING_STATUS=MR","SCALING_FORMAT=MLN","Sort=A","Dates=H","DateFormat=P","Fill=—","Direction=H","UseDPDF=Y")</f>
        <v>#NAME?</v>
      </c>
      <c r="D54" s="4" t="e">
        <f ca="1">_xll.BDH("CAVA US Equity","BS_DERIV_HEDGING_LIAB_LT","FY 2022","FY 2022","Currency=USD","Period=FY","BEST_FPERIOD_OVERRIDE=FY","FILING_STATUS=MR","SCALING_FORMAT=MLN","Sort=A","Dates=H","DateFormat=P","Fill=—","Direction=H","UseDPDF=Y")</f>
        <v>#NAME?</v>
      </c>
      <c r="E54" s="4" t="e">
        <f ca="1">_xll.BDH("CAVA US Equity","BS_DERIV_HEDGING_LIAB_LT","FY 2023","FY 2023","Currency=USD","Period=FY","BEST_FPERIOD_OVERRIDE=FY","FILING_STATUS=MR","SCALING_FORMAT=MLN","Sort=A","Dates=H","DateFormat=P","Fill=—","Direction=H","UseDPDF=Y")</f>
        <v>#NAME?</v>
      </c>
    </row>
    <row r="55" spans="1:5" x14ac:dyDescent="0.25">
      <c r="A55" s="3" t="s">
        <v>55</v>
      </c>
      <c r="B55" s="3" t="s">
        <v>54</v>
      </c>
      <c r="C55" s="4" t="e">
        <f ca="1">_xll.BDH("CAVA US Equity","OTHER_NONCURRENT_LIABS_DETAILED","FY 2021","FY 2021","Currency=USD","Period=FY","BEST_FPERIOD_OVERRIDE=FY","FILING_STATUS=MR","SCALING_FORMAT=MLN","Sort=A","Dates=H","DateFormat=P","Fill=—","Direction=H","UseDPDF=Y")</f>
        <v>#NAME?</v>
      </c>
      <c r="D55" s="4" t="e">
        <f ca="1">_xll.BDH("CAVA US Equity","OTHER_NONCURRENT_LIABS_DETAILED","FY 2022","FY 2022","Currency=USD","Period=FY","BEST_FPERIOD_OVERRIDE=FY","FILING_STATUS=MR","SCALING_FORMAT=MLN","Sort=A","Dates=H","DateFormat=P","Fill=—","Direction=H","UseDPDF=Y")</f>
        <v>#NAME?</v>
      </c>
      <c r="E55" s="4" t="e">
        <f ca="1">_xll.BDH("CAVA US Equity","OTHER_NONCURRENT_LIABS_DETAILED","FY 2023","FY 2023","Currency=USD","Period=FY","BEST_FPERIOD_OVERRIDE=FY","FILING_STATUS=MR","SCALING_FORMAT=MLN","Sort=A","Dates=H","DateFormat=P","Fill=—","Direction=H","UseDPDF=Y")</f>
        <v>#NAME?</v>
      </c>
    </row>
    <row r="56" spans="1:5" x14ac:dyDescent="0.25">
      <c r="A56" s="7" t="s">
        <v>53</v>
      </c>
      <c r="B56" s="7" t="s">
        <v>52</v>
      </c>
      <c r="C56" s="8" t="e">
        <f ca="1">_xll.BDH("CAVA US Equity","NON_CUR_LIAB","FY 2021","FY 2021","Currency=USD","Period=FY","BEST_FPERIOD_OVERRIDE=FY","FILING_STATUS=MR","SCALING_FORMAT=MLN","Sort=A","Dates=H","DateFormat=P","Fill=—","Direction=H","UseDPDF=Y")</f>
        <v>#NAME?</v>
      </c>
      <c r="D56" s="8" t="e">
        <f ca="1">_xll.BDH("CAVA US Equity","NON_CUR_LIAB","FY 2022","FY 2022","Currency=USD","Period=FY","BEST_FPERIOD_OVERRIDE=FY","FILING_STATUS=MR","SCALING_FORMAT=MLN","Sort=A","Dates=H","DateFormat=P","Fill=—","Direction=H","UseDPDF=Y")</f>
        <v>#NAME?</v>
      </c>
      <c r="E56" s="8" t="e">
        <f ca="1">_xll.BDH("CAVA US Equity","NON_CUR_LIAB","FY 2023","FY 2023","Currency=USD","Period=FY","BEST_FPERIOD_OVERRIDE=FY","FILING_STATUS=MR","SCALING_FORMAT=MLN","Sort=A","Dates=H","DateFormat=P","Fill=—","Direction=H","UseDPDF=Y")</f>
        <v>#NAME?</v>
      </c>
    </row>
    <row r="57" spans="1:5" x14ac:dyDescent="0.25">
      <c r="A57" s="7" t="s">
        <v>51</v>
      </c>
      <c r="B57" s="7" t="s">
        <v>50</v>
      </c>
      <c r="C57" s="8" t="e">
        <f ca="1">_xll.BDH("CAVA US Equity","BS_TOT_LIAB2","FY 2021","FY 2021","Currency=USD","Period=FY","BEST_FPERIOD_OVERRIDE=FY","FILING_STATUS=MR","SCALING_FORMAT=MLN","Sort=A","Dates=H","DateFormat=P","Fill=—","Direction=H","UseDPDF=Y")</f>
        <v>#NAME?</v>
      </c>
      <c r="D57" s="8" t="e">
        <f ca="1">_xll.BDH("CAVA US Equity","BS_TOT_LIAB2","FY 2022","FY 2022","Currency=USD","Period=FY","BEST_FPERIOD_OVERRIDE=FY","FILING_STATUS=MR","SCALING_FORMAT=MLN","Sort=A","Dates=H","DateFormat=P","Fill=—","Direction=H","UseDPDF=Y")</f>
        <v>#NAME?</v>
      </c>
      <c r="E57" s="8" t="e">
        <f ca="1">_xll.BDH("CAVA US Equity","BS_TOT_LIAB2","FY 2023","FY 2023","Currency=USD","Period=FY","BEST_FPERIOD_OVERRIDE=FY","FILING_STATUS=MR","SCALING_FORMAT=MLN","Sort=A","Dates=H","DateFormat=P","Fill=—","Direction=H","UseDPDF=Y")</f>
        <v>#NAME?</v>
      </c>
    </row>
    <row r="58" spans="1:5" x14ac:dyDescent="0.25">
      <c r="A58" s="3" t="s">
        <v>49</v>
      </c>
      <c r="B58" s="3" t="s">
        <v>48</v>
      </c>
      <c r="C58" s="4" t="e">
        <f ca="1">_xll.BDH("CAVA US Equity","PFD_EQTY_HYBRID_CAPITAL","FY 2021","FY 2021","Currency=USD","Period=FY","BEST_FPERIOD_OVERRIDE=FY","FILING_STATUS=MR","SCALING_FORMAT=MLN","Sort=A","Dates=H","DateFormat=P","Fill=—","Direction=H","UseDPDF=Y")</f>
        <v>#NAME?</v>
      </c>
      <c r="D58" s="4" t="e">
        <f ca="1">_xll.BDH("CAVA US Equity","PFD_EQTY_HYBRID_CAPITAL","FY 2022","FY 2022","Currency=USD","Period=FY","BEST_FPERIOD_OVERRIDE=FY","FILING_STATUS=MR","SCALING_FORMAT=MLN","Sort=A","Dates=H","DateFormat=P","Fill=—","Direction=H","UseDPDF=Y")</f>
        <v>#NAME?</v>
      </c>
      <c r="E58" s="4" t="e">
        <f ca="1">_xll.BDH("CAVA US Equity","PFD_EQTY_HYBRID_CAPITAL","FY 2023","FY 2023","Currency=USD","Period=FY","BEST_FPERIOD_OVERRIDE=FY","FILING_STATUS=MR","SCALING_FORMAT=MLN","Sort=A","Dates=H","DateFormat=P","Fill=—","Direction=H","UseDPDF=Y")</f>
        <v>#NAME?</v>
      </c>
    </row>
    <row r="59" spans="1:5" x14ac:dyDescent="0.25">
      <c r="A59" s="3" t="s">
        <v>47</v>
      </c>
      <c r="B59" s="3" t="s">
        <v>46</v>
      </c>
      <c r="C59" s="4" t="e">
        <f ca="1">_xll.BDH("CAVA US Equity","BS_SH_CAP_AND_APIC","FY 2021","FY 2021","Currency=USD","Period=FY","BEST_FPERIOD_OVERRIDE=FY","FILING_STATUS=MR","SCALING_FORMAT=MLN","Sort=A","Dates=H","DateFormat=P","Fill=—","Direction=H","UseDPDF=Y")</f>
        <v>#NAME?</v>
      </c>
      <c r="D59" s="4" t="e">
        <f ca="1">_xll.BDH("CAVA US Equity","BS_SH_CAP_AND_APIC","FY 2022","FY 2022","Currency=USD","Period=FY","BEST_FPERIOD_OVERRIDE=FY","FILING_STATUS=MR","SCALING_FORMAT=MLN","Sort=A","Dates=H","DateFormat=P","Fill=—","Direction=H","UseDPDF=Y")</f>
        <v>#NAME?</v>
      </c>
      <c r="E59" s="4" t="e">
        <f ca="1">_xll.BDH("CAVA US Equity","BS_SH_CAP_AND_APIC","FY 2023","FY 2023","Currency=USD","Period=FY","BEST_FPERIOD_OVERRIDE=FY","FILING_STATUS=MR","SCALING_FORMAT=MLN","Sort=A","Dates=H","DateFormat=P","Fill=—","Direction=H","UseDPDF=Y")</f>
        <v>#NAME?</v>
      </c>
    </row>
    <row r="60" spans="1:5" x14ac:dyDescent="0.25">
      <c r="A60" s="3" t="s">
        <v>45</v>
      </c>
      <c r="B60" s="3" t="s">
        <v>44</v>
      </c>
      <c r="C60" s="4" t="e">
        <f ca="1">_xll.BDH("CAVA US Equity","BS_COMMON_STOCK","FY 2021","FY 2021","Currency=USD","Period=FY","BEST_FPERIOD_OVERRIDE=FY","FILING_STATUS=MR","SCALING_FORMAT=MLN","Sort=A","Dates=H","DateFormat=P","Fill=—","Direction=H","UseDPDF=Y")</f>
        <v>#NAME?</v>
      </c>
      <c r="D60" s="4" t="e">
        <f ca="1">_xll.BDH("CAVA US Equity","BS_COMMON_STOCK","FY 2022","FY 2022","Currency=USD","Period=FY","BEST_FPERIOD_OVERRIDE=FY","FILING_STATUS=MR","SCALING_FORMAT=MLN","Sort=A","Dates=H","DateFormat=P","Fill=—","Direction=H","UseDPDF=Y")</f>
        <v>#NAME?</v>
      </c>
      <c r="E60" s="4" t="e">
        <f ca="1">_xll.BDH("CAVA US Equity","BS_COMMON_STOCK","FY 2023","FY 2023","Currency=USD","Period=FY","BEST_FPERIOD_OVERRIDE=FY","FILING_STATUS=MR","SCALING_FORMAT=MLN","Sort=A","Dates=H","DateFormat=P","Fill=—","Direction=H","UseDPDF=Y")</f>
        <v>#NAME?</v>
      </c>
    </row>
    <row r="61" spans="1:5" x14ac:dyDescent="0.25">
      <c r="A61" s="3" t="s">
        <v>43</v>
      </c>
      <c r="B61" s="3" t="s">
        <v>42</v>
      </c>
      <c r="C61" s="4" t="e">
        <f ca="1">_xll.BDH("CAVA US Equity","BS_ADD_PAID_IN_CAP","FY 2021","FY 2021","Currency=USD","Period=FY","BEST_FPERIOD_OVERRIDE=FY","FILING_STATUS=MR","SCALING_FORMAT=MLN","Sort=A","Dates=H","DateFormat=P","Fill=—","Direction=H","UseDPDF=Y")</f>
        <v>#NAME?</v>
      </c>
      <c r="D61" s="4" t="e">
        <f ca="1">_xll.BDH("CAVA US Equity","BS_ADD_PAID_IN_CAP","FY 2022","FY 2022","Currency=USD","Period=FY","BEST_FPERIOD_OVERRIDE=FY","FILING_STATUS=MR","SCALING_FORMAT=MLN","Sort=A","Dates=H","DateFormat=P","Fill=—","Direction=H","UseDPDF=Y")</f>
        <v>#NAME?</v>
      </c>
      <c r="E61" s="4" t="e">
        <f ca="1">_xll.BDH("CAVA US Equity","BS_ADD_PAID_IN_CAP","FY 2023","FY 2023","Currency=USD","Period=FY","BEST_FPERIOD_OVERRIDE=FY","FILING_STATUS=MR","SCALING_FORMAT=MLN","Sort=A","Dates=H","DateFormat=P","Fill=—","Direction=H","UseDPDF=Y")</f>
        <v>#NAME?</v>
      </c>
    </row>
    <row r="62" spans="1:5" x14ac:dyDescent="0.25">
      <c r="A62" s="3" t="s">
        <v>41</v>
      </c>
      <c r="B62" s="3" t="s">
        <v>40</v>
      </c>
      <c r="C62" s="4" t="e">
        <f ca="1">_xll.BDH("CAVA US Equity","BS_AMT_OF_TSY_STOCK","FY 2021","FY 2021","Currency=USD","Period=FY","BEST_FPERIOD_OVERRIDE=FY","FILING_STATUS=MR","SCALING_FORMAT=MLN","Sort=A","Dates=H","DateFormat=P","Fill=—","Direction=H","UseDPDF=Y")</f>
        <v>#NAME?</v>
      </c>
      <c r="D62" s="4" t="e">
        <f ca="1">_xll.BDH("CAVA US Equity","BS_AMT_OF_TSY_STOCK","FY 2022","FY 2022","Currency=USD","Period=FY","BEST_FPERIOD_OVERRIDE=FY","FILING_STATUS=MR","SCALING_FORMAT=MLN","Sort=A","Dates=H","DateFormat=P","Fill=—","Direction=H","UseDPDF=Y")</f>
        <v>#NAME?</v>
      </c>
      <c r="E62" s="4" t="e">
        <f ca="1">_xll.BDH("CAVA US Equity","BS_AMT_OF_TSY_STOCK","FY 2023","FY 2023","Currency=USD","Period=FY","BEST_FPERIOD_OVERRIDE=FY","FILING_STATUS=MR","SCALING_FORMAT=MLN","Sort=A","Dates=H","DateFormat=P","Fill=—","Direction=H","UseDPDF=Y")</f>
        <v>#NAME?</v>
      </c>
    </row>
    <row r="63" spans="1:5" x14ac:dyDescent="0.25">
      <c r="A63" s="3" t="s">
        <v>39</v>
      </c>
      <c r="B63" s="3" t="s">
        <v>38</v>
      </c>
      <c r="C63" s="4" t="e">
        <f ca="1">_xll.BDH("CAVA US Equity","BS_PURE_RETAINED_EARNINGS","FY 2021","FY 2021","Currency=USD","Period=FY","BEST_FPERIOD_OVERRIDE=FY","FILING_STATUS=MR","SCALING_FORMAT=MLN","Sort=A","Dates=H","DateFormat=P","Fill=—","Direction=H","UseDPDF=Y")</f>
        <v>#NAME?</v>
      </c>
      <c r="D63" s="4" t="e">
        <f ca="1">_xll.BDH("CAVA US Equity","BS_PURE_RETAINED_EARNINGS","FY 2022","FY 2022","Currency=USD","Period=FY","BEST_FPERIOD_OVERRIDE=FY","FILING_STATUS=MR","SCALING_FORMAT=MLN","Sort=A","Dates=H","DateFormat=P","Fill=—","Direction=H","UseDPDF=Y")</f>
        <v>#NAME?</v>
      </c>
      <c r="E63" s="4" t="e">
        <f ca="1">_xll.BDH("CAVA US Equity","BS_PURE_RETAINED_EARNINGS","FY 2023","FY 2023","Currency=USD","Period=FY","BEST_FPERIOD_OVERRIDE=FY","FILING_STATUS=MR","SCALING_FORMAT=MLN","Sort=A","Dates=H","DateFormat=P","Fill=—","Direction=H","UseDPDF=Y")</f>
        <v>#NAME?</v>
      </c>
    </row>
    <row r="64" spans="1:5" x14ac:dyDescent="0.25">
      <c r="A64" s="3" t="s">
        <v>37</v>
      </c>
      <c r="B64" s="3" t="s">
        <v>36</v>
      </c>
      <c r="C64" s="4" t="e">
        <f ca="1">_xll.BDH("CAVA US Equity","OTHER_EQUITY_RATIO","FY 2021","FY 2021","Currency=USD","Period=FY","BEST_FPERIOD_OVERRIDE=FY","FILING_STATUS=MR","SCALING_FORMAT=MLN","Sort=A","Dates=H","DateFormat=P","Fill=—","Direction=H","UseDPDF=Y")</f>
        <v>#NAME?</v>
      </c>
      <c r="D64" s="4" t="e">
        <f ca="1">_xll.BDH("CAVA US Equity","OTHER_EQUITY_RATIO","FY 2022","FY 2022","Currency=USD","Period=FY","BEST_FPERIOD_OVERRIDE=FY","FILING_STATUS=MR","SCALING_FORMAT=MLN","Sort=A","Dates=H","DateFormat=P","Fill=—","Direction=H","UseDPDF=Y")</f>
        <v>#NAME?</v>
      </c>
      <c r="E64" s="4" t="e">
        <f ca="1">_xll.BDH("CAVA US Equity","OTHER_EQUITY_RATIO","FY 2023","FY 2023","Currency=USD","Period=FY","BEST_FPERIOD_OVERRIDE=FY","FILING_STATUS=MR","SCALING_FORMAT=MLN","Sort=A","Dates=H","DateFormat=P","Fill=—","Direction=H","UseDPDF=Y")</f>
        <v>#NAME?</v>
      </c>
    </row>
    <row r="65" spans="1:5" x14ac:dyDescent="0.25">
      <c r="A65" s="7" t="s">
        <v>35</v>
      </c>
      <c r="B65" s="7" t="s">
        <v>34</v>
      </c>
      <c r="C65" s="8" t="e">
        <f ca="1">_xll.BDH("CAVA US Equity","EQTY_BEF_MINORITY_INT_DETAILED","FY 2021","FY 2021","Currency=USD","Period=FY","BEST_FPERIOD_OVERRIDE=FY","FILING_STATUS=MR","SCALING_FORMAT=MLN","Sort=A","Dates=H","DateFormat=P","Fill=—","Direction=H","UseDPDF=Y")</f>
        <v>#NAME?</v>
      </c>
      <c r="D65" s="8" t="e">
        <f ca="1">_xll.BDH("CAVA US Equity","EQTY_BEF_MINORITY_INT_DETAILED","FY 2022","FY 2022","Currency=USD","Period=FY","BEST_FPERIOD_OVERRIDE=FY","FILING_STATUS=MR","SCALING_FORMAT=MLN","Sort=A","Dates=H","DateFormat=P","Fill=—","Direction=H","UseDPDF=Y")</f>
        <v>#NAME?</v>
      </c>
      <c r="E65" s="8" t="e">
        <f ca="1">_xll.BDH("CAVA US Equity","EQTY_BEF_MINORITY_INT_DETAILED","FY 2023","FY 2023","Currency=USD","Period=FY","BEST_FPERIOD_OVERRIDE=FY","FILING_STATUS=MR","SCALING_FORMAT=MLN","Sort=A","Dates=H","DateFormat=P","Fill=—","Direction=H","UseDPDF=Y")</f>
        <v>#NAME?</v>
      </c>
    </row>
    <row r="66" spans="1:5" x14ac:dyDescent="0.25">
      <c r="A66" s="3" t="s">
        <v>33</v>
      </c>
      <c r="B66" s="3" t="s">
        <v>32</v>
      </c>
      <c r="C66" s="4" t="e">
        <f ca="1">_xll.BDH("CAVA US Equity","MINORITY_NONCONTROLLING_INTEREST","FY 2021","FY 2021","Currency=USD","Period=FY","BEST_FPERIOD_OVERRIDE=FY","FILING_STATUS=MR","SCALING_FORMAT=MLN","Sort=A","Dates=H","DateFormat=P","Fill=—","Direction=H","UseDPDF=Y")</f>
        <v>#NAME?</v>
      </c>
      <c r="D66" s="4" t="e">
        <f ca="1">_xll.BDH("CAVA US Equity","MINORITY_NONCONTROLLING_INTEREST","FY 2022","FY 2022","Currency=USD","Period=FY","BEST_FPERIOD_OVERRIDE=FY","FILING_STATUS=MR","SCALING_FORMAT=MLN","Sort=A","Dates=H","DateFormat=P","Fill=—","Direction=H","UseDPDF=Y")</f>
        <v>#NAME?</v>
      </c>
      <c r="E66" s="4" t="e">
        <f ca="1">_xll.BDH("CAVA US Equity","MINORITY_NONCONTROLLING_INTEREST","FY 2023","FY 2023","Currency=USD","Period=FY","BEST_FPERIOD_OVERRIDE=FY","FILING_STATUS=MR","SCALING_FORMAT=MLN","Sort=A","Dates=H","DateFormat=P","Fill=—","Direction=H","UseDPDF=Y")</f>
        <v>#NAME?</v>
      </c>
    </row>
    <row r="67" spans="1:5" x14ac:dyDescent="0.25">
      <c r="A67" s="7" t="s">
        <v>31</v>
      </c>
      <c r="B67" s="7" t="s">
        <v>30</v>
      </c>
      <c r="C67" s="8" t="e">
        <f ca="1">_xll.BDH("CAVA US Equity","TOTAL_EQUITY","FY 2021","FY 2021","Currency=USD","Period=FY","BEST_FPERIOD_OVERRIDE=FY","FILING_STATUS=MR","SCALING_FORMAT=MLN","Sort=A","Dates=H","DateFormat=P","Fill=—","Direction=H","UseDPDF=Y")</f>
        <v>#NAME?</v>
      </c>
      <c r="D67" s="8" t="e">
        <f ca="1">_xll.BDH("CAVA US Equity","TOTAL_EQUITY","FY 2022","FY 2022","Currency=USD","Period=FY","BEST_FPERIOD_OVERRIDE=FY","FILING_STATUS=MR","SCALING_FORMAT=MLN","Sort=A","Dates=H","DateFormat=P","Fill=—","Direction=H","UseDPDF=Y")</f>
        <v>#NAME?</v>
      </c>
      <c r="E67" s="8" t="e">
        <f ca="1">_xll.BDH("CAVA US Equity","TOTAL_EQUITY","FY 2023","FY 2023","Currency=USD","Period=FY","BEST_FPERIOD_OVERRIDE=FY","FILING_STATUS=MR","SCALING_FORMAT=MLN","Sort=A","Dates=H","DateFormat=P","Fill=—","Direction=H","UseDPDF=Y")</f>
        <v>#NAME?</v>
      </c>
    </row>
    <row r="68" spans="1:5" x14ac:dyDescent="0.25">
      <c r="A68" s="7" t="s">
        <v>29</v>
      </c>
      <c r="B68" s="7" t="s">
        <v>28</v>
      </c>
      <c r="C68" s="8" t="e">
        <f ca="1">_xll.BDH("CAVA US Equity","TOT_LIAB_AND_EQY","FY 2021","FY 2021","Currency=USD","Period=FY","BEST_FPERIOD_OVERRIDE=FY","FILING_STATUS=MR","SCALING_FORMAT=MLN","Sort=A","Dates=H","DateFormat=P","Fill=—","Direction=H","UseDPDF=Y")</f>
        <v>#NAME?</v>
      </c>
      <c r="D68" s="8" t="e">
        <f ca="1">_xll.BDH("CAVA US Equity","TOT_LIAB_AND_EQY","FY 2022","FY 2022","Currency=USD","Period=FY","BEST_FPERIOD_OVERRIDE=FY","FILING_STATUS=MR","SCALING_FORMAT=MLN","Sort=A","Dates=H","DateFormat=P","Fill=—","Direction=H","UseDPDF=Y")</f>
        <v>#NAME?</v>
      </c>
      <c r="E68" s="8" t="e">
        <f ca="1">_xll.BDH("CAVA US Equity","TOT_LIAB_AND_EQY","FY 2023","FY 2023","Currency=USD","Period=FY","BEST_FPERIOD_OVERRIDE=FY","FILING_STATUS=MR","SCALING_FORMAT=MLN","Sort=A","Dates=H","DateFormat=P","Fill=—","Direction=H","UseDPDF=Y")</f>
        <v>#NAME?</v>
      </c>
    </row>
    <row r="69" spans="1:5" x14ac:dyDescent="0.25">
      <c r="A69" s="7"/>
      <c r="B69" s="6"/>
      <c r="C69" s="6"/>
      <c r="D69" s="6"/>
      <c r="E69" s="6"/>
    </row>
    <row r="70" spans="1:5" x14ac:dyDescent="0.25">
      <c r="A70" s="7" t="s">
        <v>27</v>
      </c>
      <c r="B70" s="6"/>
      <c r="C70" s="6"/>
      <c r="D70" s="6"/>
      <c r="E70" s="6"/>
    </row>
    <row r="71" spans="1:5" x14ac:dyDescent="0.25">
      <c r="A71" s="3" t="s">
        <v>26</v>
      </c>
      <c r="B71" s="3" t="s">
        <v>25</v>
      </c>
      <c r="C71" s="5" t="s">
        <v>24</v>
      </c>
      <c r="D71" s="5" t="s">
        <v>24</v>
      </c>
      <c r="E71" s="5" t="s">
        <v>24</v>
      </c>
    </row>
    <row r="72" spans="1:5" x14ac:dyDescent="0.25">
      <c r="A72" s="3" t="s">
        <v>23</v>
      </c>
      <c r="B72" s="3" t="s">
        <v>22</v>
      </c>
      <c r="C72" s="4" t="e">
        <f ca="1">_xll.BDH("CAVA US Equity","BS_SH_OUT","FY 2021","FY 2021","Currency=USD","Period=FY","BEST_FPERIOD_OVERRIDE=FY","FILING_STATUS=MR","Sort=A","Dates=H","DateFormat=P","Fill=—","Direction=H","UseDPDF=Y")</f>
        <v>#NAME?</v>
      </c>
      <c r="D72" s="4" t="e">
        <f ca="1">_xll.BDH("CAVA US Equity","BS_SH_OUT","FY 2022","FY 2022","Currency=USD","Period=FY","BEST_FPERIOD_OVERRIDE=FY","FILING_STATUS=MR","Sort=A","Dates=H","DateFormat=P","Fill=—","Direction=H","UseDPDF=Y")</f>
        <v>#NAME?</v>
      </c>
      <c r="E72" s="4" t="e">
        <f ca="1">_xll.BDH("CAVA US Equity","BS_SH_OUT","FY 2023","FY 2023","Currency=USD","Period=FY","BEST_FPERIOD_OVERRIDE=FY","FILING_STATUS=MR","Sort=A","Dates=H","DateFormat=P","Fill=—","Direction=H","UseDPDF=Y")</f>
        <v>#NAME?</v>
      </c>
    </row>
    <row r="73" spans="1:5" x14ac:dyDescent="0.25">
      <c r="A73" s="3" t="s">
        <v>21</v>
      </c>
      <c r="B73" s="3" t="s">
        <v>20</v>
      </c>
      <c r="C73" s="4" t="e">
        <f ca="1">_xll.BDH("CAVA US Equity","BS_NUM_OF_TSY_SH","FY 2021","FY 2021","Currency=USD","Period=FY","BEST_FPERIOD_OVERRIDE=FY","FILING_STATUS=MR","Sort=A","Dates=H","DateFormat=P","Fill=—","Direction=H","UseDPDF=Y")</f>
        <v>#NAME?</v>
      </c>
      <c r="D73" s="4" t="e">
        <f ca="1">_xll.BDH("CAVA US Equity","BS_NUM_OF_TSY_SH","FY 2022","FY 2022","Currency=USD","Period=FY","BEST_FPERIOD_OVERRIDE=FY","FILING_STATUS=MR","Sort=A","Dates=H","DateFormat=P","Fill=—","Direction=H","UseDPDF=Y")</f>
        <v>#NAME?</v>
      </c>
      <c r="E73" s="4" t="e">
        <f ca="1">_xll.BDH("CAVA US Equity","BS_NUM_OF_TSY_SH","FY 2023","FY 2023","Currency=USD","Period=FY","BEST_FPERIOD_OVERRIDE=FY","FILING_STATUS=MR","Sort=A","Dates=H","DateFormat=P","Fill=—","Direction=H","UseDPDF=Y")</f>
        <v>#NAME?</v>
      </c>
    </row>
    <row r="74" spans="1:5" x14ac:dyDescent="0.25">
      <c r="A74" s="3" t="s">
        <v>19</v>
      </c>
      <c r="B74" s="3" t="s">
        <v>18</v>
      </c>
      <c r="C74" s="4" t="e">
        <f ca="1">_xll.BDH("CAVA US Equity","BS_FUTURE_MIN_OPER_LEASE_OBLIG","FY 2021","FY 2021","Currency=USD","Period=FY","BEST_FPERIOD_OVERRIDE=FY","FILING_STATUS=MR","SCALING_FORMAT=MLN","Sort=A","Dates=H","DateFormat=P","Fill=—","Direction=H","UseDPDF=Y")</f>
        <v>#NAME?</v>
      </c>
      <c r="D74" s="4" t="e">
        <f ca="1">_xll.BDH("CAVA US Equity","BS_FUTURE_MIN_OPER_LEASE_OBLIG","FY 2022","FY 2022","Currency=USD","Period=FY","BEST_FPERIOD_OVERRIDE=FY","FILING_STATUS=MR","SCALING_FORMAT=MLN","Sort=A","Dates=H","DateFormat=P","Fill=—","Direction=H","UseDPDF=Y")</f>
        <v>#NAME?</v>
      </c>
      <c r="E74" s="4" t="e">
        <f ca="1">_xll.BDH("CAVA US Equity","BS_FUTURE_MIN_OPER_LEASE_OBLIG","FY 2023","FY 2023","Currency=USD","Period=FY","BEST_FPERIOD_OVERRIDE=FY","FILING_STATUS=MR","SCALING_FORMAT=MLN","Sort=A","Dates=H","DateFormat=P","Fill=—","Direction=H","UseDPDF=Y")</f>
        <v>#NAME?</v>
      </c>
    </row>
    <row r="75" spans="1:5" x14ac:dyDescent="0.25">
      <c r="A75" s="3" t="s">
        <v>17</v>
      </c>
      <c r="B75" s="3" t="s">
        <v>16</v>
      </c>
      <c r="C75" s="4" t="e">
        <f ca="1">_xll.BDH("CAVA US Equity","BS_TOTAL_CAPITAL_LEASES","FY 2021","FY 2021","Currency=USD","Period=FY","BEST_FPERIOD_OVERRIDE=FY","FILING_STATUS=MR","SCALING_FORMAT=MLN","Sort=A","Dates=H","DateFormat=P","Fill=—","Direction=H","UseDPDF=Y")</f>
        <v>#NAME?</v>
      </c>
      <c r="D75" s="4" t="e">
        <f ca="1">_xll.BDH("CAVA US Equity","BS_TOTAL_CAPITAL_LEASES","FY 2022","FY 2022","Currency=USD","Period=FY","BEST_FPERIOD_OVERRIDE=FY","FILING_STATUS=MR","SCALING_FORMAT=MLN","Sort=A","Dates=H","DateFormat=P","Fill=—","Direction=H","UseDPDF=Y")</f>
        <v>#NAME?</v>
      </c>
      <c r="E75" s="4" t="e">
        <f ca="1">_xll.BDH("CAVA US Equity","BS_TOTAL_CAPITAL_LEASES","FY 2023","FY 2023","Currency=USD","Period=FY","BEST_FPERIOD_OVERRIDE=FY","FILING_STATUS=MR","SCALING_FORMAT=MLN","Sort=A","Dates=H","DateFormat=P","Fill=—","Direction=H","UseDPDF=Y")</f>
        <v>#NAME?</v>
      </c>
    </row>
    <row r="76" spans="1:5" x14ac:dyDescent="0.25">
      <c r="A76" s="3" t="s">
        <v>15</v>
      </c>
      <c r="B76" s="3" t="s">
        <v>14</v>
      </c>
      <c r="C76" s="4" t="e">
        <f ca="1">_xll.BDH("CAVA US Equity","BS_OPTIONS_GRANTED","FY 2021","FY 2021","Currency=USD","Period=FY","BEST_FPERIOD_OVERRIDE=FY","FILING_STATUS=MR","Sort=A","Dates=H","DateFormat=P","Fill=—","Direction=H","UseDPDF=Y")</f>
        <v>#NAME?</v>
      </c>
      <c r="D76" s="4" t="e">
        <f ca="1">_xll.BDH("CAVA US Equity","BS_OPTIONS_GRANTED","FY 2022","FY 2022","Currency=USD","Period=FY","BEST_FPERIOD_OVERRIDE=FY","FILING_STATUS=MR","Sort=A","Dates=H","DateFormat=P","Fill=—","Direction=H","UseDPDF=Y")</f>
        <v>#NAME?</v>
      </c>
      <c r="E76" s="4" t="e">
        <f ca="1">_xll.BDH("CAVA US Equity","BS_OPTIONS_GRANTED","FY 2023","FY 2023","Currency=USD","Period=FY","BEST_FPERIOD_OVERRIDE=FY","FILING_STATUS=MR","Sort=A","Dates=H","DateFormat=P","Fill=—","Direction=H","UseDPDF=Y")</f>
        <v>#NAME?</v>
      </c>
    </row>
    <row r="77" spans="1:5" x14ac:dyDescent="0.25">
      <c r="A77" s="3" t="s">
        <v>13</v>
      </c>
      <c r="B77" s="3" t="s">
        <v>12</v>
      </c>
      <c r="C77" s="4" t="e">
        <f ca="1">_xll.BDH("CAVA US Equity","BS_OPTIONS_OUTSTANDING","FY 2021","FY 2021","Currency=USD","Period=FY","BEST_FPERIOD_OVERRIDE=FY","FILING_STATUS=MR","Sort=A","Dates=H","DateFormat=P","Fill=—","Direction=H","UseDPDF=Y")</f>
        <v>#NAME?</v>
      </c>
      <c r="D77" s="4" t="e">
        <f ca="1">_xll.BDH("CAVA US Equity","BS_OPTIONS_OUTSTANDING","FY 2022","FY 2022","Currency=USD","Period=FY","BEST_FPERIOD_OVERRIDE=FY","FILING_STATUS=MR","Sort=A","Dates=H","DateFormat=P","Fill=—","Direction=H","UseDPDF=Y")</f>
        <v>#NAME?</v>
      </c>
      <c r="E77" s="4" t="e">
        <f ca="1">_xll.BDH("CAVA US Equity","BS_OPTIONS_OUTSTANDING","FY 2023","FY 2023","Currency=USD","Period=FY","BEST_FPERIOD_OVERRIDE=FY","FILING_STATUS=MR","Sort=A","Dates=H","DateFormat=P","Fill=—","Direction=H","UseDPDF=Y")</f>
        <v>#NAME?</v>
      </c>
    </row>
    <row r="78" spans="1:5" x14ac:dyDescent="0.25">
      <c r="A78" s="3" t="s">
        <v>11</v>
      </c>
      <c r="B78" s="3" t="s">
        <v>10</v>
      </c>
      <c r="C78" s="4" t="e">
        <f ca="1">_xll.BDH("CAVA US Equity","NET_DEBT","FY 2021","FY 2021","Currency=USD","Period=FY","BEST_FPERIOD_OVERRIDE=FY","FILING_STATUS=MR","SCALING_FORMAT=MLN","Sort=A","Dates=H","DateFormat=P","Fill=—","Direction=H","UseDPDF=Y")</f>
        <v>#NAME?</v>
      </c>
      <c r="D78" s="4" t="e">
        <f ca="1">_xll.BDH("CAVA US Equity","NET_DEBT","FY 2022","FY 2022","Currency=USD","Period=FY","BEST_FPERIOD_OVERRIDE=FY","FILING_STATUS=MR","SCALING_FORMAT=MLN","Sort=A","Dates=H","DateFormat=P","Fill=—","Direction=H","UseDPDF=Y")</f>
        <v>#NAME?</v>
      </c>
      <c r="E78" s="4" t="e">
        <f ca="1">_xll.BDH("CAVA US Equity","NET_DEBT","FY 2023","FY 2023","Currency=USD","Period=FY","BEST_FPERIOD_OVERRIDE=FY","FILING_STATUS=MR","SCALING_FORMAT=MLN","Sort=A","Dates=H","DateFormat=P","Fill=—","Direction=H","UseDPDF=Y")</f>
        <v>#NAME?</v>
      </c>
    </row>
    <row r="79" spans="1:5" x14ac:dyDescent="0.25">
      <c r="A79" s="3" t="s">
        <v>9</v>
      </c>
      <c r="B79" s="3" t="s">
        <v>8</v>
      </c>
      <c r="C79" s="2" t="e">
        <f ca="1">_xll.BDH("CAVA US Equity","NET_DEBT_TO_SHRHLDR_EQTY","FY 2021","FY 2021","Currency=USD","Period=FY","BEST_FPERIOD_OVERRIDE=FY","FILING_STATUS=MR","Sort=A","Dates=H","DateFormat=P","Fill=—","Direction=H","UseDPDF=Y")</f>
        <v>#NAME?</v>
      </c>
      <c r="D79" s="2" t="e">
        <f ca="1">_xll.BDH("CAVA US Equity","NET_DEBT_TO_SHRHLDR_EQTY","FY 2022","FY 2022","Currency=USD","Period=FY","BEST_FPERIOD_OVERRIDE=FY","FILING_STATUS=MR","Sort=A","Dates=H","DateFormat=P","Fill=—","Direction=H","UseDPDF=Y")</f>
        <v>#NAME?</v>
      </c>
      <c r="E79" s="2" t="e">
        <f ca="1">_xll.BDH("CAVA US Equity","NET_DEBT_TO_SHRHLDR_EQTY","FY 2023","FY 2023","Currency=USD","Period=FY","BEST_FPERIOD_OVERRIDE=FY","FILING_STATUS=MR","Sort=A","Dates=H","DateFormat=P","Fill=—","Direction=H","UseDPDF=Y")</f>
        <v>#NAME?</v>
      </c>
    </row>
    <row r="80" spans="1:5" x14ac:dyDescent="0.25">
      <c r="A80" s="3" t="s">
        <v>7</v>
      </c>
      <c r="B80" s="3" t="s">
        <v>6</v>
      </c>
      <c r="C80" s="2" t="e">
        <f ca="1">_xll.BDH("CAVA US Equity","TCE_RATIO","FY 2021","FY 2021","Currency=USD","Period=FY","BEST_FPERIOD_OVERRIDE=FY","FILING_STATUS=MR","Sort=A","Dates=H","DateFormat=P","Fill=—","Direction=H","UseDPDF=Y")</f>
        <v>#NAME?</v>
      </c>
      <c r="D80" s="2" t="e">
        <f ca="1">_xll.BDH("CAVA US Equity","TCE_RATIO","FY 2022","FY 2022","Currency=USD","Period=FY","BEST_FPERIOD_OVERRIDE=FY","FILING_STATUS=MR","Sort=A","Dates=H","DateFormat=P","Fill=—","Direction=H","UseDPDF=Y")</f>
        <v>#NAME?</v>
      </c>
      <c r="E80" s="2" t="e">
        <f ca="1">_xll.BDH("CAVA US Equity","TCE_RATIO","FY 2023","FY 2023","Currency=USD","Period=FY","BEST_FPERIOD_OVERRIDE=FY","FILING_STATUS=MR","Sort=A","Dates=H","DateFormat=P","Fill=—","Direction=H","UseDPDF=Y")</f>
        <v>#NAME?</v>
      </c>
    </row>
    <row r="81" spans="1:5" x14ac:dyDescent="0.25">
      <c r="A81" s="3" t="s">
        <v>5</v>
      </c>
      <c r="B81" s="3" t="s">
        <v>4</v>
      </c>
      <c r="C81" s="2" t="e">
        <f ca="1">_xll.BDH("CAVA US Equity","CUR_RATIO","FY 2021","FY 2021","Currency=USD","Period=FY","BEST_FPERIOD_OVERRIDE=FY","FILING_STATUS=MR","Sort=A","Dates=H","DateFormat=P","Fill=—","Direction=H","UseDPDF=Y")</f>
        <v>#NAME?</v>
      </c>
      <c r="D81" s="2" t="e">
        <f ca="1">_xll.BDH("CAVA US Equity","CUR_RATIO","FY 2022","FY 2022","Currency=USD","Period=FY","BEST_FPERIOD_OVERRIDE=FY","FILING_STATUS=MR","Sort=A","Dates=H","DateFormat=P","Fill=—","Direction=H","UseDPDF=Y")</f>
        <v>#NAME?</v>
      </c>
      <c r="E81" s="2" t="e">
        <f ca="1">_xll.BDH("CAVA US Equity","CUR_RATIO","FY 2023","FY 2023","Currency=USD","Period=FY","BEST_FPERIOD_OVERRIDE=FY","FILING_STATUS=MR","Sort=A","Dates=H","DateFormat=P","Fill=—","Direction=H","UseDPDF=Y")</f>
        <v>#NAME?</v>
      </c>
    </row>
    <row r="82" spans="1:5" x14ac:dyDescent="0.25">
      <c r="A82" s="3" t="s">
        <v>3</v>
      </c>
      <c r="B82" s="3" t="s">
        <v>2</v>
      </c>
      <c r="C82" s="2" t="e">
        <f ca="1">_xll.BDH("CAVA US Equity","CASH_CONVERSION_CYCLE","FY 2021","FY 2021","Currency=USD","Period=FY","BEST_FPERIOD_OVERRIDE=FY","FILING_STATUS=MR","FA_ADJUSTED=GAAP","Sort=A","Dates=H","DateFormat=P","Fill=—","Direction=H","UseDPDF=Y")</f>
        <v>#NAME?</v>
      </c>
      <c r="D82" s="2" t="e">
        <f ca="1">_xll.BDH("CAVA US Equity","CASH_CONVERSION_CYCLE","FY 2022","FY 2022","Currency=USD","Period=FY","BEST_FPERIOD_OVERRIDE=FY","FILING_STATUS=MR","FA_ADJUSTED=GAAP","Sort=A","Dates=H","DateFormat=P","Fill=—","Direction=H","UseDPDF=Y")</f>
        <v>#NAME?</v>
      </c>
      <c r="E82" s="2" t="e">
        <f ca="1">_xll.BDH("CAVA US Equity","CASH_CONVERSION_CYCLE","FY 2023","FY 2023","Currency=USD","Period=FY","BEST_FPERIOD_OVERRIDE=FY","FILING_STATUS=MR","FA_ADJUSTED=GAAP","Sort=A","Dates=H","DateFormat=P","Fill=—","Direction=H","UseDPDF=Y")</f>
        <v>#NAME?</v>
      </c>
    </row>
    <row r="83" spans="1:5" x14ac:dyDescent="0.25">
      <c r="A83" s="1" t="s">
        <v>1</v>
      </c>
      <c r="B83" s="1"/>
      <c r="C83" s="1" t="s">
        <v>0</v>
      </c>
      <c r="D83" s="1"/>
      <c r="E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Watkins</dc:creator>
  <cp:lastModifiedBy>Danny Watkins</cp:lastModifiedBy>
  <dcterms:created xsi:type="dcterms:W3CDTF">2024-04-22T07:08:46Z</dcterms:created>
  <dcterms:modified xsi:type="dcterms:W3CDTF">2024-04-22T07:09:30Z</dcterms:modified>
</cp:coreProperties>
</file>