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17d9c0a80a0f48/Desktop/Finance Laboratory/.vscode/FinancialStatements/"/>
    </mc:Choice>
  </mc:AlternateContent>
  <xr:revisionPtr revIDLastSave="0" documentId="8_{18741F2E-4C4D-487D-94C9-0E090EABED97}" xr6:coauthVersionLast="47" xr6:coauthVersionMax="47" xr10:uidLastSave="{00000000-0000-0000-0000-000000000000}"/>
  <bookViews>
    <workbookView xWindow="3960" yWindow="1590" windowWidth="32385" windowHeight="19125" xr2:uid="{BE82674A-017E-40B2-8824-B14464AAD8B3}"/>
  </bookViews>
  <sheets>
    <sheet name="Statement of Cash Flo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50" i="2"/>
  <c r="D50" i="2"/>
  <c r="E50" i="2"/>
  <c r="C52" i="2"/>
  <c r="D52" i="2"/>
  <c r="E52" i="2"/>
  <c r="C54" i="2"/>
  <c r="D54" i="2"/>
  <c r="E54" i="2"/>
  <c r="C55" i="2"/>
  <c r="D55" i="2"/>
  <c r="E55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</calcChain>
</file>

<file path=xl/sharedStrings.xml><?xml version="1.0" encoding="utf-8"?>
<sst xmlns="http://schemas.openxmlformats.org/spreadsheetml/2006/main" count="113" uniqueCount="106">
  <si>
    <t>Right click to show data transparency (not supported for all values)</t>
  </si>
  <si>
    <t>Source: Bloomberg</t>
  </si>
  <si>
    <t>CASH_FLOW_TO_NET_INC</t>
  </si>
  <si>
    <t>Cash Flow to Net Income</t>
  </si>
  <si>
    <t>FREE_CASH_FLOW_PER_SH</t>
  </si>
  <si>
    <t>Free Cash Flow per Basic Share</t>
  </si>
  <si>
    <t>FREE_CASH_FLOW_EQUITY</t>
  </si>
  <si>
    <t>Free Cash Flow to Equity</t>
  </si>
  <si>
    <t>CF_FREE_CASH_FLOW</t>
  </si>
  <si>
    <t>Free Cash Flow</t>
  </si>
  <si>
    <t>EBITDA_MARGIN</t>
  </si>
  <si>
    <t>Trailing 12M EBITDA Margin</t>
  </si>
  <si>
    <t>EBITDA</t>
  </si>
  <si>
    <t>Reference Items</t>
  </si>
  <si>
    <t>CF_ACT_CASH_PAID_FOR_INT_DEBT</t>
  </si>
  <si>
    <t>Cash Paid for Interest</t>
  </si>
  <si>
    <t>CF_CASH_PAID_FOR_TAX</t>
  </si>
  <si>
    <t>Cash Paid for Taxes</t>
  </si>
  <si>
    <t>CF_NET_CHNG_CASH</t>
  </si>
  <si>
    <t>Net Changes in Cash</t>
  </si>
  <si>
    <t>CF_EFFECT_FOREIGN_EXCHANGES</t>
  </si>
  <si>
    <t xml:space="preserve">  Effect of Foreign Exchange Rates</t>
  </si>
  <si>
    <t>CFF_ACTIVITIES_DETAILED</t>
  </si>
  <si>
    <t>Cash from Financing Activities</t>
  </si>
  <si>
    <t>CF_NET_CASH_DISCONTINUED_OPS_FIN</t>
  </si>
  <si>
    <t xml:space="preserve">  + Net Cash From Disc Ops</t>
  </si>
  <si>
    <t>OTHER_FIN_AND_DEC_CAP</t>
  </si>
  <si>
    <t xml:space="preserve">  + Other Financing Activities</t>
  </si>
  <si>
    <t>CF_DECR_CAP_STOCK</t>
  </si>
  <si>
    <t xml:space="preserve">    + Decrease in Capital Stock</t>
  </si>
  <si>
    <t>CF_INCR_CAP_STOCK</t>
  </si>
  <si>
    <t xml:space="preserve">    + Increase in Capital Stock</t>
  </si>
  <si>
    <t>NET_CAP_STOCK</t>
  </si>
  <si>
    <t xml:space="preserve">  + Cash (Repurchase) of Equity</t>
  </si>
  <si>
    <t>PROC_FR_REPAYMNTS_BOR_DETAILED</t>
  </si>
  <si>
    <t xml:space="preserve">  + Cash From (Repayment) Debt</t>
  </si>
  <si>
    <t>CF_DVD_PAID</t>
  </si>
  <si>
    <t xml:space="preserve">  + Dividends Paid</t>
  </si>
  <si>
    <t>CF_CASH_FROM_INV_ACT</t>
  </si>
  <si>
    <t>Cash from Investing Activities</t>
  </si>
  <si>
    <t>CF_NET_CASH_DISCONTINUED_OPS_INV</t>
  </si>
  <si>
    <t>OTHER_INVESTING_ACT_DETAILED</t>
  </si>
  <si>
    <t xml:space="preserve">  + Other Investing Activities</t>
  </si>
  <si>
    <t>CF_CASH_FOR_JOINT_VENTURES_ASSOC</t>
  </si>
  <si>
    <t xml:space="preserve">    + Cash for JVs</t>
  </si>
  <si>
    <t>CF_CASH_FOR_ACQUIS_SUBSIDIARIES</t>
  </si>
  <si>
    <t xml:space="preserve">    + Cash for Acq of Subs</t>
  </si>
  <si>
    <t>CF_CASH_FOR_DIVESTITURES</t>
  </si>
  <si>
    <t xml:space="preserve">    + Cash from Divestitures</t>
  </si>
  <si>
    <t>CF_NT_CSH_RCVD_PD_FOR_ACQUIS_DIV</t>
  </si>
  <si>
    <t xml:space="preserve">  + Net Cash From Acq &amp; Div</t>
  </si>
  <si>
    <t>CF_INCR_INVEST</t>
  </si>
  <si>
    <t xml:space="preserve">    + Inc in LT Investment</t>
  </si>
  <si>
    <t>CF_DECR_INVEST</t>
  </si>
  <si>
    <t xml:space="preserve">    + Dec in LT Investment</t>
  </si>
  <si>
    <t>NET_CHG_IN_LT_INVEST_DETAILED</t>
  </si>
  <si>
    <t xml:space="preserve">  + Net Change in LT Investment</t>
  </si>
  <si>
    <t>CF_ACQUISITION_OF_INTANG_ASSETS</t>
  </si>
  <si>
    <t xml:space="preserve">    + Acq of Intangible Assets</t>
  </si>
  <si>
    <t>CF_PURCHASE_OF_FIXED_PROD_ASSETS</t>
  </si>
  <si>
    <t xml:space="preserve">    + Acq of Fixed Prod Assets</t>
  </si>
  <si>
    <t>ACQUIS_OF_FIXED_INTANG</t>
  </si>
  <si>
    <t xml:space="preserve">    + Acq of Fixed &amp; Intang</t>
  </si>
  <si>
    <t>CF_DISPOSAL_OF_INTANGIBLE_ASSETS</t>
  </si>
  <si>
    <t xml:space="preserve">    + Disp of Intangible Assets</t>
  </si>
  <si>
    <t>CF_DISPOSAL_OF_FIXED_PROD_ASSETS</t>
  </si>
  <si>
    <t xml:space="preserve">    + Disp of Fixed Prod Assets</t>
  </si>
  <si>
    <t>DISPOSAL_OF_FIXED_INTANG</t>
  </si>
  <si>
    <t xml:space="preserve">    + Disp in Fixed &amp; Intang</t>
  </si>
  <si>
    <t>FIXED_INTANG_ASST_CHANGE</t>
  </si>
  <si>
    <t xml:space="preserve">  + Change in Fixed &amp; Intang</t>
  </si>
  <si>
    <t>CF_CASH_FROM_OPER</t>
  </si>
  <si>
    <t>Cash from Operating Activities</t>
  </si>
  <si>
    <t>CF_NET_CASH_DISCONT_OPS_OPER</t>
  </si>
  <si>
    <t>INC_DEC_IN_OT_OP_AST_LIAB_DETAIL</t>
  </si>
  <si>
    <t xml:space="preserve">    + Inc (Dec) in Other</t>
  </si>
  <si>
    <t>CF_CHANGE_IN_ACCOUNTS_PAYABLE</t>
  </si>
  <si>
    <t xml:space="preserve">    + Inc (Dec) in Accts Payable</t>
  </si>
  <si>
    <t>CF_CHANGE_IN_INVENTORIES</t>
  </si>
  <si>
    <t xml:space="preserve">    + (Inc) Dec in Inventories</t>
  </si>
  <si>
    <t>CF_ACCT_RCV_UNBILLED_REV</t>
  </si>
  <si>
    <t xml:space="preserve">    + (Inc) Dec in Accts Receiv</t>
  </si>
  <si>
    <t>CF_CHNG_NON_CASH_WORK_CAP</t>
  </si>
  <si>
    <t xml:space="preserve">  + Chg in Non-Cash Work Cap</t>
  </si>
  <si>
    <t>OTHER_NON_CASH_ADJ_LESS_DETAILED</t>
  </si>
  <si>
    <t xml:space="preserve">    + Other Non-Cash Adj</t>
  </si>
  <si>
    <t>CF_DEF_INC_TAX</t>
  </si>
  <si>
    <t xml:space="preserve">    + Deferred Income Taxes</t>
  </si>
  <si>
    <t>CF_STOCK_BASED_COMPENSATION</t>
  </si>
  <si>
    <t xml:space="preserve">    + Stock-Based Compensation</t>
  </si>
  <si>
    <t>NON_CASH_ITEMS_DETAILED</t>
  </si>
  <si>
    <t xml:space="preserve">  + Non-Cash Items</t>
  </si>
  <si>
    <t>CF_DEPR_AMORT</t>
  </si>
  <si>
    <t xml:space="preserve">  + Depreciation &amp; Amortization</t>
  </si>
  <si>
    <t>CF_NET_INC</t>
  </si>
  <si>
    <t xml:space="preserve">  + Net Income</t>
  </si>
  <si>
    <t>12/31/2023</t>
  </si>
  <si>
    <t>12/25/2022</t>
  </si>
  <si>
    <t>12/26/2021</t>
  </si>
  <si>
    <t>12 Months Ending</t>
  </si>
  <si>
    <t>Last 12M</t>
  </si>
  <si>
    <t>FY 2023</t>
  </si>
  <si>
    <t>FY 2022</t>
  </si>
  <si>
    <t>FY 2021</t>
  </si>
  <si>
    <t>In Millions of USD except Per Share</t>
  </si>
  <si>
    <t>Cava Group Inc (CAVA US) -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</si>
</sst>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Aptos Narrow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i/>
      <sz val="10"/>
      <color indexed="63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6"/>
      <color indexed="9"/>
      <name val="Arial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1" applyNumberFormat="0" applyAlignment="0" applyProtection="0"/>
    <xf numFmtId="4" fontId="2" fillId="3" borderId="2">
      <alignment horizontal="right"/>
    </xf>
    <xf numFmtId="4" fontId="2" fillId="4" borderId="2">
      <alignment horizontal="right"/>
    </xf>
    <xf numFmtId="0" fontId="3" fillId="4" borderId="3"/>
    <xf numFmtId="164" fontId="2" fillId="3" borderId="2">
      <alignment horizontal="right"/>
    </xf>
    <xf numFmtId="164" fontId="2" fillId="4" borderId="2">
      <alignment horizontal="right"/>
    </xf>
    <xf numFmtId="3" fontId="4" fillId="3" borderId="2">
      <alignment horizontal="right"/>
    </xf>
    <xf numFmtId="3" fontId="4" fillId="4" borderId="2">
      <alignment horizontal="right"/>
    </xf>
    <xf numFmtId="0" fontId="4" fillId="4" borderId="3"/>
    <xf numFmtId="164" fontId="4" fillId="3" borderId="2">
      <alignment horizontal="right"/>
    </xf>
    <xf numFmtId="164" fontId="4" fillId="4" borderId="2">
      <alignment horizontal="right"/>
    </xf>
    <xf numFmtId="164" fontId="1" fillId="3" borderId="2">
      <alignment horizontal="right"/>
    </xf>
    <xf numFmtId="164" fontId="1" fillId="4" borderId="2">
      <alignment horizontal="right"/>
    </xf>
    <xf numFmtId="0" fontId="5" fillId="4" borderId="3"/>
    <xf numFmtId="0" fontId="6" fillId="5" borderId="4">
      <alignment horizontal="right"/>
    </xf>
    <xf numFmtId="0" fontId="6" fillId="5" borderId="4">
      <alignment horizontal="left"/>
    </xf>
    <xf numFmtId="0" fontId="6" fillId="5" borderId="5">
      <alignment horizontal="right"/>
    </xf>
    <xf numFmtId="0" fontId="6" fillId="5" borderId="5">
      <alignment horizontal="left"/>
    </xf>
    <xf numFmtId="0" fontId="7" fillId="4" borderId="0" applyNumberFormat="0" applyBorder="0" applyProtection="0">
      <alignment horizontal="center"/>
    </xf>
    <xf numFmtId="0" fontId="8" fillId="5" borderId="6" applyNumberFormat="0" applyProtection="0">
      <alignment horizontal="left" vertical="center" readingOrder="1"/>
    </xf>
    <xf numFmtId="0" fontId="9" fillId="5" borderId="0"/>
  </cellStyleXfs>
  <cellXfs count="22">
    <xf numFmtId="0" fontId="0" fillId="0" borderId="0" xfId="0"/>
    <xf numFmtId="0" fontId="1" fillId="2" borderId="1" xfId="1"/>
    <xf numFmtId="4" fontId="2" fillId="3" borderId="2" xfId="2">
      <alignment horizontal="right"/>
    </xf>
    <xf numFmtId="4" fontId="2" fillId="4" borderId="2" xfId="3">
      <alignment horizontal="right"/>
    </xf>
    <xf numFmtId="0" fontId="3" fillId="4" borderId="3" xfId="4"/>
    <xf numFmtId="164" fontId="2" fillId="3" borderId="2" xfId="5">
      <alignment horizontal="right"/>
    </xf>
    <xf numFmtId="164" fontId="2" fillId="4" borderId="2" xfId="6">
      <alignment horizontal="right"/>
    </xf>
    <xf numFmtId="3" fontId="4" fillId="3" borderId="2" xfId="7">
      <alignment horizontal="right"/>
    </xf>
    <xf numFmtId="3" fontId="4" fillId="4" borderId="2" xfId="8">
      <alignment horizontal="right"/>
    </xf>
    <xf numFmtId="0" fontId="4" fillId="4" borderId="3" xfId="9"/>
    <xf numFmtId="164" fontId="4" fillId="3" borderId="2" xfId="10">
      <alignment horizontal="right"/>
    </xf>
    <xf numFmtId="164" fontId="4" fillId="4" borderId="2" xfId="11">
      <alignment horizontal="right"/>
    </xf>
    <xf numFmtId="164" fontId="1" fillId="3" borderId="2" xfId="12">
      <alignment horizontal="right"/>
    </xf>
    <xf numFmtId="164" fontId="1" fillId="4" borderId="2" xfId="13">
      <alignment horizontal="right"/>
    </xf>
    <xf numFmtId="0" fontId="5" fillId="4" borderId="3" xfId="14"/>
    <xf numFmtId="0" fontId="6" fillId="5" borderId="4" xfId="15">
      <alignment horizontal="right"/>
    </xf>
    <xf numFmtId="0" fontId="6" fillId="5" borderId="4" xfId="16">
      <alignment horizontal="left"/>
    </xf>
    <xf numFmtId="0" fontId="6" fillId="5" borderId="5" xfId="17">
      <alignment horizontal="right"/>
    </xf>
    <xf numFmtId="0" fontId="6" fillId="5" borderId="5" xfId="18">
      <alignment horizontal="left"/>
    </xf>
    <xf numFmtId="0" fontId="7" fillId="4" borderId="0" xfId="19">
      <alignment horizontal="center"/>
    </xf>
    <xf numFmtId="0" fontId="8" fillId="5" borderId="6" xfId="20">
      <alignment horizontal="left" vertical="center" readingOrder="1"/>
    </xf>
    <xf numFmtId="0" fontId="9" fillId="5" borderId="0" xfId="21"/>
  </cellXfs>
  <cellStyles count="22">
    <cellStyle name="blp_column_header" xfId="21" xr:uid="{E7D7A3B9-2D94-48D0-9366-79A762E28C18}"/>
    <cellStyle name="blp_title_header_row_left" xfId="20" xr:uid="{C63252DA-2A71-4EDF-85C2-9984FFC12B86}"/>
    <cellStyle name="fa_column_header_bottom 2" xfId="15" xr:uid="{9581330D-9A45-4D34-9EB3-85A77613E845}"/>
    <cellStyle name="fa_column_header_bottom_left 2" xfId="16" xr:uid="{8561D116-8E8A-4757-BE60-F54DD760018F}"/>
    <cellStyle name="fa_column_header_empty" xfId="19" xr:uid="{A52E00AA-40ED-4237-888F-A21ED46A2EE8}"/>
    <cellStyle name="fa_column_header_top 2" xfId="17" xr:uid="{0E520AE7-384A-46B4-A7AB-8B2C169F7CFE}"/>
    <cellStyle name="fa_column_header_top_left 2" xfId="18" xr:uid="{685C9299-321A-486D-A77C-226A43E49BAC}"/>
    <cellStyle name="fa_data_bold_0_grouped" xfId="8" xr:uid="{E404A7E1-4650-496C-96AB-E8D1568D2E8F}"/>
    <cellStyle name="fa_data_bold_1_grouped" xfId="11" xr:uid="{A50C3E3D-719D-4115-BB6A-A9CD486B1BC4}"/>
    <cellStyle name="fa_data_current_bold_0_grouped" xfId="7" xr:uid="{D07203AD-24BF-48FF-A494-D671A6ACE0F3}"/>
    <cellStyle name="fa_data_current_bold_1_grouped" xfId="10" xr:uid="{481C681A-93FE-4555-ABAF-F8B0B10AA144}"/>
    <cellStyle name="fa_data_current_italic_1_grouped" xfId="12" xr:uid="{096477D3-AFD1-45A5-B134-F898FE04888B}"/>
    <cellStyle name="fa_data_current_standard_1_grouped" xfId="5" xr:uid="{D215BD46-A6A3-48DD-88B3-FF70FEC3733D}"/>
    <cellStyle name="fa_data_current_standard_2_grouped" xfId="2" xr:uid="{16C45009-4049-4767-AFDA-88B40DA552A7}"/>
    <cellStyle name="fa_data_italic_1_grouped" xfId="13" xr:uid="{B3AC4433-A9B7-48E3-A2CD-AFCF978D99B4}"/>
    <cellStyle name="fa_data_standard_1_grouped" xfId="6" xr:uid="{BD2C64B3-F79D-4356-BDDA-DE50F2A8F6D0}"/>
    <cellStyle name="fa_data_standard_2_grouped" xfId="3" xr:uid="{CA4FD835-ECF7-4DB7-87B5-167B4FD75075}"/>
    <cellStyle name="fa_footer_italic" xfId="1" xr:uid="{F9C80E0D-B5A3-4F93-ABA7-C906BF30EB9F}"/>
    <cellStyle name="fa_row_header_bold 2" xfId="9" xr:uid="{B414B463-A8A3-4CA5-8B5D-6121B140F2BE}"/>
    <cellStyle name="fa_row_header_italic 2" xfId="14" xr:uid="{884D814D-548D-4D22-B448-6DBB8FED9299}"/>
    <cellStyle name="fa_row_header_standard 2" xfId="4" xr:uid="{31EA53B1-0643-4A0D-B499-DC2BF62C70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692-1609-4FF2-81D5-F99922CE532D}">
  <dimension ref="A1:F6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" width="11.85546875" customWidth="1"/>
  </cols>
  <sheetData>
    <row r="1" spans="1:6" x14ac:dyDescent="0.25">
      <c r="A1" s="21"/>
      <c r="B1" s="21"/>
      <c r="C1" s="21"/>
      <c r="D1" s="21"/>
      <c r="E1" s="21"/>
      <c r="F1" s="21"/>
    </row>
    <row r="2" spans="1:6" ht="20.25" x14ac:dyDescent="0.25">
      <c r="A2" s="20" t="s">
        <v>105</v>
      </c>
      <c r="B2" s="20"/>
      <c r="C2" s="20"/>
      <c r="D2" s="20"/>
      <c r="E2" s="20"/>
      <c r="F2" s="20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18" t="s">
        <v>104</v>
      </c>
      <c r="B4" s="18"/>
      <c r="C4" s="17" t="s">
        <v>103</v>
      </c>
      <c r="D4" s="17" t="s">
        <v>102</v>
      </c>
      <c r="E4" s="17" t="s">
        <v>101</v>
      </c>
      <c r="F4" s="17" t="s">
        <v>100</v>
      </c>
    </row>
    <row r="5" spans="1:6" x14ac:dyDescent="0.25">
      <c r="A5" s="16" t="s">
        <v>99</v>
      </c>
      <c r="B5" s="16"/>
      <c r="C5" s="15" t="s">
        <v>98</v>
      </c>
      <c r="D5" s="15" t="s">
        <v>97</v>
      </c>
      <c r="E5" s="15" t="s">
        <v>96</v>
      </c>
      <c r="F5" s="15" t="s">
        <v>96</v>
      </c>
    </row>
    <row r="6" spans="1:6" x14ac:dyDescent="0.25">
      <c r="A6" s="9" t="s">
        <v>72</v>
      </c>
      <c r="B6" s="8"/>
      <c r="C6" s="8"/>
      <c r="D6" s="8"/>
      <c r="E6" s="8"/>
      <c r="F6" s="7"/>
    </row>
    <row r="7" spans="1:6" x14ac:dyDescent="0.25">
      <c r="A7" s="4" t="s">
        <v>95</v>
      </c>
      <c r="B7" s="4" t="s">
        <v>94</v>
      </c>
      <c r="C7" s="6" t="e">
        <f ca="1">_xll.BDH("CAVA US Equity","CF_NET_INC","FY 2021","FY 2021","Currency=USD","Period=FY","BEST_FPERIOD_OVERRIDE=FY","FILING_STATUS=MR","SCALING_FORMAT=MLN","Sort=A","Dates=H","DateFormat=P","Fill=—","Direction=H","UseDPDF=Y")</f>
        <v>#NAME?</v>
      </c>
      <c r="D7" s="6" t="e">
        <f ca="1">_xll.BDH("CAVA US Equity","CF_NET_INC","FY 2022","FY 2022","Currency=USD","Period=FY","BEST_FPERIOD_OVERRIDE=FY","FILING_STATUS=MR","SCALING_FORMAT=MLN","Sort=A","Dates=H","DateFormat=P","Fill=—","Direction=H","UseDPDF=Y")</f>
        <v>#NAME?</v>
      </c>
      <c r="E7" s="6" t="e">
        <f ca="1">_xll.BDH("CAVA US Equity","CF_NET_INC","FY 2023","FY 2023","Currency=USD","Period=FY","BEST_FPERIOD_OVERRIDE=FY","FILING_STATUS=MR","SCALING_FORMAT=MLN","Sort=A","Dates=H","DateFormat=P","Fill=—","Direction=H","UseDPDF=Y")</f>
        <v>#NAME?</v>
      </c>
      <c r="F7" s="5"/>
    </row>
    <row r="8" spans="1:6" x14ac:dyDescent="0.25">
      <c r="A8" s="4" t="s">
        <v>93</v>
      </c>
      <c r="B8" s="4" t="s">
        <v>92</v>
      </c>
      <c r="C8" s="6" t="e">
        <f ca="1">_xll.BDH("CAVA US Equity","CF_DEPR_AMORT","FY 2021","FY 2021","Currency=USD","Period=FY","BEST_FPERIOD_OVERRIDE=FY","FILING_STATUS=MR","SCALING_FORMAT=MLN","Sort=A","Dates=H","DateFormat=P","Fill=—","Direction=H","UseDPDF=Y")</f>
        <v>#NAME?</v>
      </c>
      <c r="D8" s="6" t="e">
        <f ca="1">_xll.BDH("CAVA US Equity","CF_DEPR_AMORT","FY 2022","FY 2022","Currency=USD","Period=FY","BEST_FPERIOD_OVERRIDE=FY","FILING_STATUS=MR","SCALING_FORMAT=MLN","Sort=A","Dates=H","DateFormat=P","Fill=—","Direction=H","UseDPDF=Y")</f>
        <v>#NAME?</v>
      </c>
      <c r="E8" s="6" t="e">
        <f ca="1">_xll.BDH("CAVA US Equity","CF_DEPR_AMORT","FY 2023","FY 2023","Currency=USD","Period=FY","BEST_FPERIOD_OVERRIDE=FY","FILING_STATUS=MR","SCALING_FORMAT=MLN","Sort=A","Dates=H","DateFormat=P","Fill=—","Direction=H","UseDPDF=Y")</f>
        <v>#NAME?</v>
      </c>
      <c r="F8" s="5"/>
    </row>
    <row r="9" spans="1:6" x14ac:dyDescent="0.25">
      <c r="A9" s="4" t="s">
        <v>91</v>
      </c>
      <c r="B9" s="4" t="s">
        <v>90</v>
      </c>
      <c r="C9" s="6" t="e">
        <f ca="1">_xll.BDH("CAVA US Equity","NON_CASH_ITEMS_DETAILED","FY 2021","FY 2021","Currency=USD","Period=FY","BEST_FPERIOD_OVERRIDE=FY","FILING_STATUS=MR","SCALING_FORMAT=MLN","Sort=A","Dates=H","DateFormat=P","Fill=—","Direction=H","UseDPDF=Y")</f>
        <v>#NAME?</v>
      </c>
      <c r="D9" s="6" t="e">
        <f ca="1">_xll.BDH("CAVA US Equity","NON_CASH_ITEMS_DETAILED","FY 2022","FY 2022","Currency=USD","Period=FY","BEST_FPERIOD_OVERRIDE=FY","FILING_STATUS=MR","SCALING_FORMAT=MLN","Sort=A","Dates=H","DateFormat=P","Fill=—","Direction=H","UseDPDF=Y")</f>
        <v>#NAME?</v>
      </c>
      <c r="E9" s="6" t="e">
        <f ca="1">_xll.BDH("CAVA US Equity","NON_CASH_ITEMS_DETAILED","FY 2023","FY 2023","Currency=USD","Period=FY","BEST_FPERIOD_OVERRIDE=FY","FILING_STATUS=MR","SCALING_FORMAT=MLN","Sort=A","Dates=H","DateFormat=P","Fill=—","Direction=H","UseDPDF=Y")</f>
        <v>#NAME?</v>
      </c>
      <c r="F9" s="5">
        <v>10.113</v>
      </c>
    </row>
    <row r="10" spans="1:6" x14ac:dyDescent="0.25">
      <c r="A10" s="4" t="s">
        <v>89</v>
      </c>
      <c r="B10" s="4" t="s">
        <v>88</v>
      </c>
      <c r="C10" s="6" t="e">
        <f ca="1">_xll.BDH("CAVA US Equity","CF_STOCK_BASED_COMPENSATION","FY 2021","FY 2021","Currency=USD","Period=FY","BEST_FPERIOD_OVERRIDE=FY","FILING_STATUS=MR","SCALING_FORMAT=MLN","Sort=A","Dates=H","DateFormat=P","Fill=—","Direction=H","UseDPDF=Y")</f>
        <v>#NAME?</v>
      </c>
      <c r="D10" s="6" t="e">
        <f ca="1">_xll.BDH("CAVA US Equity","CF_STOCK_BASED_COMPENSATION","FY 2022","FY 2022","Currency=USD","Period=FY","BEST_FPERIOD_OVERRIDE=FY","FILING_STATUS=MR","SCALING_FORMAT=MLN","Sort=A","Dates=H","DateFormat=P","Fill=—","Direction=H","UseDPDF=Y")</f>
        <v>#NAME?</v>
      </c>
      <c r="E10" s="6" t="e">
        <f ca="1">_xll.BDH("CAVA US Equity","CF_STOCK_BASED_COMPENSATION","FY 2023","FY 2023","Currency=USD","Period=FY","BEST_FPERIOD_OVERRIDE=FY","FILING_STATUS=MR","SCALING_FORMAT=MLN","Sort=A","Dates=H","DateFormat=P","Fill=—","Direction=H","UseDPDF=Y")</f>
        <v>#NAME?</v>
      </c>
      <c r="F10" s="5">
        <v>6.6890000000000001</v>
      </c>
    </row>
    <row r="11" spans="1:6" x14ac:dyDescent="0.25">
      <c r="A11" s="4" t="s">
        <v>87</v>
      </c>
      <c r="B11" s="4" t="s">
        <v>86</v>
      </c>
      <c r="C11" s="6" t="e">
        <f ca="1">_xll.BDH("CAVA US Equity","CF_DEF_INC_TAX","FY 2021","FY 2021","Currency=USD","Period=FY","BEST_FPERIOD_OVERRIDE=FY","FILING_STATUS=MR","SCALING_FORMAT=MLN","Sort=A","Dates=H","DateFormat=P","Fill=—","Direction=H","UseDPDF=Y")</f>
        <v>#NAME?</v>
      </c>
      <c r="D11" s="6" t="e">
        <f ca="1">_xll.BDH("CAVA US Equity","CF_DEF_INC_TAX","FY 2022","FY 2022","Currency=USD","Period=FY","BEST_FPERIOD_OVERRIDE=FY","FILING_STATUS=MR","SCALING_FORMAT=MLN","Sort=A","Dates=H","DateFormat=P","Fill=—","Direction=H","UseDPDF=Y")</f>
        <v>#NAME?</v>
      </c>
      <c r="E11" s="6" t="e">
        <f ca="1">_xll.BDH("CAVA US Equity","CF_DEF_INC_TAX","FY 2023","FY 2023","Currency=USD","Period=FY","BEST_FPERIOD_OVERRIDE=FY","FILING_STATUS=MR","SCALING_FORMAT=MLN","Sort=A","Dates=H","DateFormat=P","Fill=—","Direction=H","UseDPDF=Y")</f>
        <v>#NAME?</v>
      </c>
      <c r="F11" s="5"/>
    </row>
    <row r="12" spans="1:6" x14ac:dyDescent="0.25">
      <c r="A12" s="4" t="s">
        <v>85</v>
      </c>
      <c r="B12" s="4" t="s">
        <v>84</v>
      </c>
      <c r="C12" s="6" t="e">
        <f ca="1">_xll.BDH("CAVA US Equity","OTHER_NON_CASH_ADJ_LESS_DETAILED","FY 2021","FY 2021","Currency=USD","Period=FY","BEST_FPERIOD_OVERRIDE=FY","FILING_STATUS=MR","SCALING_FORMAT=MLN","Sort=A","Dates=H","DateFormat=P","Fill=—","Direction=H","UseDPDF=Y")</f>
        <v>#NAME?</v>
      </c>
      <c r="D12" s="6" t="e">
        <f ca="1">_xll.BDH("CAVA US Equity","OTHER_NON_CASH_ADJ_LESS_DETAILED","FY 2022","FY 2022","Currency=USD","Period=FY","BEST_FPERIOD_OVERRIDE=FY","FILING_STATUS=MR","SCALING_FORMAT=MLN","Sort=A","Dates=H","DateFormat=P","Fill=—","Direction=H","UseDPDF=Y")</f>
        <v>#NAME?</v>
      </c>
      <c r="E12" s="6" t="e">
        <f ca="1">_xll.BDH("CAVA US Equity","OTHER_NON_CASH_ADJ_LESS_DETAILED","FY 2023","FY 2023","Currency=USD","Period=FY","BEST_FPERIOD_OVERRIDE=FY","FILING_STATUS=MR","SCALING_FORMAT=MLN","Sort=A","Dates=H","DateFormat=P","Fill=—","Direction=H","UseDPDF=Y")</f>
        <v>#NAME?</v>
      </c>
      <c r="F12" s="5">
        <v>3.4239999999999999</v>
      </c>
    </row>
    <row r="13" spans="1:6" x14ac:dyDescent="0.25">
      <c r="A13" s="4" t="s">
        <v>83</v>
      </c>
      <c r="B13" s="4" t="s">
        <v>82</v>
      </c>
      <c r="C13" s="6" t="e">
        <f ca="1">_xll.BDH("CAVA US Equity","CF_CHNG_NON_CASH_WORK_CAP","FY 2021","FY 2021","Currency=USD","Period=FY","BEST_FPERIOD_OVERRIDE=FY","FILING_STATUS=MR","SCALING_FORMAT=MLN","Sort=A","Dates=H","DateFormat=P","Fill=—","Direction=H","UseDPDF=Y")</f>
        <v>#NAME?</v>
      </c>
      <c r="D13" s="6" t="e">
        <f ca="1">_xll.BDH("CAVA US Equity","CF_CHNG_NON_CASH_WORK_CAP","FY 2022","FY 2022","Currency=USD","Period=FY","BEST_FPERIOD_OVERRIDE=FY","FILING_STATUS=MR","SCALING_FORMAT=MLN","Sort=A","Dates=H","DateFormat=P","Fill=—","Direction=H","UseDPDF=Y")</f>
        <v>#NAME?</v>
      </c>
      <c r="E13" s="6" t="e">
        <f ca="1">_xll.BDH("CAVA US Equity","CF_CHNG_NON_CASH_WORK_CAP","FY 2023","FY 2023","Currency=USD","Period=FY","BEST_FPERIOD_OVERRIDE=FY","FILING_STATUS=MR","SCALING_FORMAT=MLN","Sort=A","Dates=H","DateFormat=P","Fill=—","Direction=H","UseDPDF=Y")</f>
        <v>#NAME?</v>
      </c>
      <c r="F13" s="5"/>
    </row>
    <row r="14" spans="1:6" x14ac:dyDescent="0.25">
      <c r="A14" s="4" t="s">
        <v>81</v>
      </c>
      <c r="B14" s="4" t="s">
        <v>80</v>
      </c>
      <c r="C14" s="6" t="e">
        <f ca="1">_xll.BDH("CAVA US Equity","CF_ACCT_RCV_UNBILLED_REV","FY 2021","FY 2021","Currency=USD","Period=FY","BEST_FPERIOD_OVERRIDE=FY","FILING_STATUS=MR","SCALING_FORMAT=MLN","Sort=A","Dates=H","DateFormat=P","Fill=—","Direction=H","UseDPDF=Y")</f>
        <v>#NAME?</v>
      </c>
      <c r="D14" s="6" t="e">
        <f ca="1">_xll.BDH("CAVA US Equity","CF_ACCT_RCV_UNBILLED_REV","FY 2022","FY 2022","Currency=USD","Period=FY","BEST_FPERIOD_OVERRIDE=FY","FILING_STATUS=MR","SCALING_FORMAT=MLN","Sort=A","Dates=H","DateFormat=P","Fill=—","Direction=H","UseDPDF=Y")</f>
        <v>#NAME?</v>
      </c>
      <c r="E14" s="6" t="e">
        <f ca="1">_xll.BDH("CAVA US Equity","CF_ACCT_RCV_UNBILLED_REV","FY 2023","FY 2023","Currency=USD","Period=FY","BEST_FPERIOD_OVERRIDE=FY","FILING_STATUS=MR","SCALING_FORMAT=MLN","Sort=A","Dates=H","DateFormat=P","Fill=—","Direction=H","UseDPDF=Y")</f>
        <v>#NAME?</v>
      </c>
      <c r="F14" s="5"/>
    </row>
    <row r="15" spans="1:6" x14ac:dyDescent="0.25">
      <c r="A15" s="4" t="s">
        <v>79</v>
      </c>
      <c r="B15" s="4" t="s">
        <v>78</v>
      </c>
      <c r="C15" s="6" t="e">
        <f ca="1">_xll.BDH("CAVA US Equity","CF_CHANGE_IN_INVENTORIES","FY 2021","FY 2021","Currency=USD","Period=FY","BEST_FPERIOD_OVERRIDE=FY","FILING_STATUS=MR","SCALING_FORMAT=MLN","Sort=A","Dates=H","DateFormat=P","Fill=—","Direction=H","UseDPDF=Y")</f>
        <v>#NAME?</v>
      </c>
      <c r="D15" s="6" t="e">
        <f ca="1">_xll.BDH("CAVA US Equity","CF_CHANGE_IN_INVENTORIES","FY 2022","FY 2022","Currency=USD","Period=FY","BEST_FPERIOD_OVERRIDE=FY","FILING_STATUS=MR","SCALING_FORMAT=MLN","Sort=A","Dates=H","DateFormat=P","Fill=—","Direction=H","UseDPDF=Y")</f>
        <v>#NAME?</v>
      </c>
      <c r="E15" s="6" t="e">
        <f ca="1">_xll.BDH("CAVA US Equity","CF_CHANGE_IN_INVENTORIES","FY 2023","FY 2023","Currency=USD","Period=FY","BEST_FPERIOD_OVERRIDE=FY","FILING_STATUS=MR","SCALING_FORMAT=MLN","Sort=A","Dates=H","DateFormat=P","Fill=—","Direction=H","UseDPDF=Y")</f>
        <v>#NAME?</v>
      </c>
      <c r="F15" s="5"/>
    </row>
    <row r="16" spans="1:6" x14ac:dyDescent="0.25">
      <c r="A16" s="4" t="s">
        <v>77</v>
      </c>
      <c r="B16" s="4" t="s">
        <v>76</v>
      </c>
      <c r="C16" s="6" t="e">
        <f ca="1">_xll.BDH("CAVA US Equity","CF_CHANGE_IN_ACCOUNTS_PAYABLE","FY 2021","FY 2021","Currency=USD","Period=FY","BEST_FPERIOD_OVERRIDE=FY","FILING_STATUS=MR","SCALING_FORMAT=MLN","Sort=A","Dates=H","DateFormat=P","Fill=—","Direction=H","UseDPDF=Y")</f>
        <v>#NAME?</v>
      </c>
      <c r="D16" s="6" t="e">
        <f ca="1">_xll.BDH("CAVA US Equity","CF_CHANGE_IN_ACCOUNTS_PAYABLE","FY 2022","FY 2022","Currency=USD","Period=FY","BEST_FPERIOD_OVERRIDE=FY","FILING_STATUS=MR","SCALING_FORMAT=MLN","Sort=A","Dates=H","DateFormat=P","Fill=—","Direction=H","UseDPDF=Y")</f>
        <v>#NAME?</v>
      </c>
      <c r="E16" s="6" t="e">
        <f ca="1">_xll.BDH("CAVA US Equity","CF_CHANGE_IN_ACCOUNTS_PAYABLE","FY 2023","FY 2023","Currency=USD","Period=FY","BEST_FPERIOD_OVERRIDE=FY","FILING_STATUS=MR","SCALING_FORMAT=MLN","Sort=A","Dates=H","DateFormat=P","Fill=—","Direction=H","UseDPDF=Y")</f>
        <v>#NAME?</v>
      </c>
      <c r="F16" s="5">
        <v>2.83</v>
      </c>
    </row>
    <row r="17" spans="1:6" x14ac:dyDescent="0.25">
      <c r="A17" s="4" t="s">
        <v>75</v>
      </c>
      <c r="B17" s="4" t="s">
        <v>74</v>
      </c>
      <c r="C17" s="6" t="e">
        <f ca="1">_xll.BDH("CAVA US Equity","INC_DEC_IN_OT_OP_AST_LIAB_DETAIL","FY 2021","FY 2021","Currency=USD","Period=FY","BEST_FPERIOD_OVERRIDE=FY","FILING_STATUS=MR","SCALING_FORMAT=MLN","Sort=A","Dates=H","DateFormat=P","Fill=—","Direction=H","UseDPDF=Y")</f>
        <v>#NAME?</v>
      </c>
      <c r="D17" s="6" t="e">
        <f ca="1">_xll.BDH("CAVA US Equity","INC_DEC_IN_OT_OP_AST_LIAB_DETAIL","FY 2022","FY 2022","Currency=USD","Period=FY","BEST_FPERIOD_OVERRIDE=FY","FILING_STATUS=MR","SCALING_FORMAT=MLN","Sort=A","Dates=H","DateFormat=P","Fill=—","Direction=H","UseDPDF=Y")</f>
        <v>#NAME?</v>
      </c>
      <c r="E17" s="6" t="e">
        <f ca="1">_xll.BDH("CAVA US Equity","INC_DEC_IN_OT_OP_AST_LIAB_DETAIL","FY 2023","FY 2023","Currency=USD","Period=FY","BEST_FPERIOD_OVERRIDE=FY","FILING_STATUS=MR","SCALING_FORMAT=MLN","Sort=A","Dates=H","DateFormat=P","Fill=—","Direction=H","UseDPDF=Y")</f>
        <v>#NAME?</v>
      </c>
      <c r="F17" s="5">
        <v>3.9180000000000001</v>
      </c>
    </row>
    <row r="18" spans="1:6" x14ac:dyDescent="0.25">
      <c r="A18" s="4" t="s">
        <v>25</v>
      </c>
      <c r="B18" s="4" t="s">
        <v>73</v>
      </c>
      <c r="C18" s="6" t="e">
        <f ca="1">_xll.BDH("CAVA US Equity","CF_NET_CASH_DISCONT_OPS_OPER","FY 2021","FY 2021","Currency=USD","Period=FY","BEST_FPERIOD_OVERRIDE=FY","FILING_STATUS=MR","SCALING_FORMAT=MLN","Sort=A","Dates=H","DateFormat=P","Fill=—","Direction=H","UseDPDF=Y")</f>
        <v>#NAME?</v>
      </c>
      <c r="D18" s="6" t="e">
        <f ca="1">_xll.BDH("CAVA US Equity","CF_NET_CASH_DISCONT_OPS_OPER","FY 2022","FY 2022","Currency=USD","Period=FY","BEST_FPERIOD_OVERRIDE=FY","FILING_STATUS=MR","SCALING_FORMAT=MLN","Sort=A","Dates=H","DateFormat=P","Fill=—","Direction=H","UseDPDF=Y")</f>
        <v>#NAME?</v>
      </c>
      <c r="E18" s="6" t="e">
        <f ca="1">_xll.BDH("CAVA US Equity","CF_NET_CASH_DISCONT_OPS_OPER","FY 2023","FY 2023","Currency=USD","Period=FY","BEST_FPERIOD_OVERRIDE=FY","FILING_STATUS=MR","SCALING_FORMAT=MLN","Sort=A","Dates=H","DateFormat=P","Fill=—","Direction=H","UseDPDF=Y")</f>
        <v>#NAME?</v>
      </c>
      <c r="F18" s="5">
        <v>0</v>
      </c>
    </row>
    <row r="19" spans="1:6" x14ac:dyDescent="0.25">
      <c r="A19" s="9" t="s">
        <v>72</v>
      </c>
      <c r="B19" s="9" t="s">
        <v>71</v>
      </c>
      <c r="C19" s="11" t="e">
        <f ca="1">_xll.BDH("CAVA US Equity","CF_CASH_FROM_OPER","FY 2021","FY 2021","Currency=USD","Period=FY","BEST_FPERIOD_OVERRIDE=FY","FILING_STATUS=MR","SCALING_FORMAT=MLN","Sort=A","Dates=H","DateFormat=P","Fill=—","Direction=H","UseDPDF=Y")</f>
        <v>#NAME?</v>
      </c>
      <c r="D19" s="11" t="e">
        <f ca="1">_xll.BDH("CAVA US Equity","CF_CASH_FROM_OPER","FY 2022","FY 2022","Currency=USD","Period=FY","BEST_FPERIOD_OVERRIDE=FY","FILING_STATUS=MR","SCALING_FORMAT=MLN","Sort=A","Dates=H","DateFormat=P","Fill=—","Direction=H","UseDPDF=Y")</f>
        <v>#NAME?</v>
      </c>
      <c r="E19" s="11" t="e">
        <f ca="1">_xll.BDH("CAVA US Equity","CF_CASH_FROM_OPER","FY 2023","FY 2023","Currency=USD","Period=FY","BEST_FPERIOD_OVERRIDE=FY","FILING_STATUS=MR","SCALING_FORMAT=MLN","Sort=A","Dates=H","DateFormat=P","Fill=—","Direction=H","UseDPDF=Y")</f>
        <v>#NAME?</v>
      </c>
      <c r="F19" s="10"/>
    </row>
    <row r="20" spans="1:6" x14ac:dyDescent="0.25">
      <c r="A20" s="9"/>
      <c r="B20" s="8"/>
      <c r="C20" s="8"/>
      <c r="D20" s="8"/>
      <c r="E20" s="8"/>
      <c r="F20" s="7"/>
    </row>
    <row r="21" spans="1:6" x14ac:dyDescent="0.25">
      <c r="A21" s="9" t="s">
        <v>39</v>
      </c>
      <c r="B21" s="8"/>
      <c r="C21" s="8"/>
      <c r="D21" s="8"/>
      <c r="E21" s="8"/>
      <c r="F21" s="7"/>
    </row>
    <row r="22" spans="1:6" x14ac:dyDescent="0.25">
      <c r="A22" s="4" t="s">
        <v>70</v>
      </c>
      <c r="B22" s="4" t="s">
        <v>69</v>
      </c>
      <c r="C22" s="6" t="e">
        <f ca="1">_xll.BDH("CAVA US Equity","FIXED_INTANG_ASST_CHANGE","FY 2021","FY 2021","Currency=USD","Period=FY","BEST_FPERIOD_OVERRIDE=FY","FILING_STATUS=MR","SCALING_FORMAT=MLN","Sort=A","Dates=H","DateFormat=P","Fill=—","Direction=H","UseDPDF=Y")</f>
        <v>#NAME?</v>
      </c>
      <c r="D22" s="6" t="e">
        <f ca="1">_xll.BDH("CAVA US Equity","FIXED_INTANG_ASST_CHANGE","FY 2022","FY 2022","Currency=USD","Period=FY","BEST_FPERIOD_OVERRIDE=FY","FILING_STATUS=MR","SCALING_FORMAT=MLN","Sort=A","Dates=H","DateFormat=P","Fill=—","Direction=H","UseDPDF=Y")</f>
        <v>#NAME?</v>
      </c>
      <c r="E22" s="6" t="e">
        <f ca="1">_xll.BDH("CAVA US Equity","FIXED_INTANG_ASST_CHANGE","FY 2023","FY 2023","Currency=USD","Period=FY","BEST_FPERIOD_OVERRIDE=FY","FILING_STATUS=MR","SCALING_FORMAT=MLN","Sort=A","Dates=H","DateFormat=P","Fill=—","Direction=H","UseDPDF=Y")</f>
        <v>#NAME?</v>
      </c>
      <c r="F22" s="5">
        <v>-66.328000000000003</v>
      </c>
    </row>
    <row r="23" spans="1:6" x14ac:dyDescent="0.25">
      <c r="A23" s="4" t="s">
        <v>68</v>
      </c>
      <c r="B23" s="4" t="s">
        <v>67</v>
      </c>
      <c r="C23" s="6" t="e">
        <f ca="1">_xll.BDH("CAVA US Equity","DISPOSAL_OF_FIXED_INTANG","FY 2021","FY 2021","Currency=USD","Period=FY","BEST_FPERIOD_OVERRIDE=FY","FILING_STATUS=MR","SCALING_FORMAT=MLN","Sort=A","Dates=H","DateFormat=P","Fill=—","Direction=H","UseDPDF=Y")</f>
        <v>#NAME?</v>
      </c>
      <c r="D23" s="6" t="e">
        <f ca="1">_xll.BDH("CAVA US Equity","DISPOSAL_OF_FIXED_INTANG","FY 2022","FY 2022","Currency=USD","Period=FY","BEST_FPERIOD_OVERRIDE=FY","FILING_STATUS=MR","SCALING_FORMAT=MLN","Sort=A","Dates=H","DateFormat=P","Fill=—","Direction=H","UseDPDF=Y")</f>
        <v>#NAME?</v>
      </c>
      <c r="E23" s="6" t="e">
        <f ca="1">_xll.BDH("CAVA US Equity","DISPOSAL_OF_FIXED_INTANG","FY 2023","FY 2023","Currency=USD","Period=FY","BEST_FPERIOD_OVERRIDE=FY","FILING_STATUS=MR","SCALING_FORMAT=MLN","Sort=A","Dates=H","DateFormat=P","Fill=—","Direction=H","UseDPDF=Y")</f>
        <v>#NAME?</v>
      </c>
      <c r="F23" s="5">
        <v>0</v>
      </c>
    </row>
    <row r="24" spans="1:6" x14ac:dyDescent="0.25">
      <c r="A24" s="14" t="s">
        <v>66</v>
      </c>
      <c r="B24" s="14" t="s">
        <v>65</v>
      </c>
      <c r="C24" s="13" t="e">
        <f ca="1">_xll.BDH("CAVA US Equity","CF_DISPOSAL_OF_FIXED_PROD_ASSETS","FY 2021","FY 2021","Currency=USD","Period=FY","BEST_FPERIOD_OVERRIDE=FY","FILING_STATUS=MR","SCALING_FORMAT=MLN","Sort=A","Dates=H","DateFormat=P","Fill=—","Direction=H","UseDPDF=Y")</f>
        <v>#NAME?</v>
      </c>
      <c r="D24" s="13" t="e">
        <f ca="1">_xll.BDH("CAVA US Equity","CF_DISPOSAL_OF_FIXED_PROD_ASSETS","FY 2022","FY 2022","Currency=USD","Period=FY","BEST_FPERIOD_OVERRIDE=FY","FILING_STATUS=MR","SCALING_FORMAT=MLN","Sort=A","Dates=H","DateFormat=P","Fill=—","Direction=H","UseDPDF=Y")</f>
        <v>#NAME?</v>
      </c>
      <c r="E24" s="13" t="e">
        <f ca="1">_xll.BDH("CAVA US Equity","CF_DISPOSAL_OF_FIXED_PROD_ASSETS","FY 2023","FY 2023","Currency=USD","Period=FY","BEST_FPERIOD_OVERRIDE=FY","FILING_STATUS=MR","SCALING_FORMAT=MLN","Sort=A","Dates=H","DateFormat=P","Fill=—","Direction=H","UseDPDF=Y")</f>
        <v>#NAME?</v>
      </c>
      <c r="F24" s="12">
        <v>0</v>
      </c>
    </row>
    <row r="25" spans="1:6" x14ac:dyDescent="0.25">
      <c r="A25" s="14" t="s">
        <v>64</v>
      </c>
      <c r="B25" s="14" t="s">
        <v>63</v>
      </c>
      <c r="C25" s="13" t="e">
        <f ca="1">_xll.BDH("CAVA US Equity","CF_DISPOSAL_OF_INTANGIBLE_ASSETS","FY 2021","FY 2021","Currency=USD","Period=FY","BEST_FPERIOD_OVERRIDE=FY","FILING_STATUS=MR","SCALING_FORMAT=MLN","Sort=A","Dates=H","DateFormat=P","Fill=—","Direction=H","UseDPDF=Y")</f>
        <v>#NAME?</v>
      </c>
      <c r="D25" s="13" t="e">
        <f ca="1">_xll.BDH("CAVA US Equity","CF_DISPOSAL_OF_INTANGIBLE_ASSETS","FY 2022","FY 2022","Currency=USD","Period=FY","BEST_FPERIOD_OVERRIDE=FY","FILING_STATUS=MR","SCALING_FORMAT=MLN","Sort=A","Dates=H","DateFormat=P","Fill=—","Direction=H","UseDPDF=Y")</f>
        <v>#NAME?</v>
      </c>
      <c r="E25" s="13" t="e">
        <f ca="1">_xll.BDH("CAVA US Equity","CF_DISPOSAL_OF_INTANGIBLE_ASSETS","FY 2023","FY 2023","Currency=USD","Period=FY","BEST_FPERIOD_OVERRIDE=FY","FILING_STATUS=MR","SCALING_FORMAT=MLN","Sort=A","Dates=H","DateFormat=P","Fill=—","Direction=H","UseDPDF=Y")</f>
        <v>#NAME?</v>
      </c>
      <c r="F25" s="12">
        <v>0</v>
      </c>
    </row>
    <row r="26" spans="1:6" x14ac:dyDescent="0.25">
      <c r="A26" s="4" t="s">
        <v>62</v>
      </c>
      <c r="B26" s="4" t="s">
        <v>61</v>
      </c>
      <c r="C26" s="6" t="e">
        <f ca="1">_xll.BDH("CAVA US Equity","ACQUIS_OF_FIXED_INTANG","FY 2021","FY 2021","Currency=USD","Period=FY","BEST_FPERIOD_OVERRIDE=FY","FILING_STATUS=MR","SCALING_FORMAT=MLN","Sort=A","Dates=H","DateFormat=P","Fill=—","Direction=H","UseDPDF=Y")</f>
        <v>#NAME?</v>
      </c>
      <c r="D26" s="6" t="e">
        <f ca="1">_xll.BDH("CAVA US Equity","ACQUIS_OF_FIXED_INTANG","FY 2022","FY 2022","Currency=USD","Period=FY","BEST_FPERIOD_OVERRIDE=FY","FILING_STATUS=MR","SCALING_FORMAT=MLN","Sort=A","Dates=H","DateFormat=P","Fill=—","Direction=H","UseDPDF=Y")</f>
        <v>#NAME?</v>
      </c>
      <c r="E26" s="6" t="e">
        <f ca="1">_xll.BDH("CAVA US Equity","ACQUIS_OF_FIXED_INTANG","FY 2023","FY 2023","Currency=USD","Period=FY","BEST_FPERIOD_OVERRIDE=FY","FILING_STATUS=MR","SCALING_FORMAT=MLN","Sort=A","Dates=H","DateFormat=P","Fill=—","Direction=H","UseDPDF=Y")</f>
        <v>#NAME?</v>
      </c>
      <c r="F26" s="5">
        <v>-66.328000000000003</v>
      </c>
    </row>
    <row r="27" spans="1:6" x14ac:dyDescent="0.25">
      <c r="A27" s="14" t="s">
        <v>60</v>
      </c>
      <c r="B27" s="14" t="s">
        <v>59</v>
      </c>
      <c r="C27" s="13" t="e">
        <f ca="1">_xll.BDH("CAVA US Equity","CF_PURCHASE_OF_FIXED_PROD_ASSETS","FY 2021","FY 2021","Currency=USD","Period=FY","BEST_FPERIOD_OVERRIDE=FY","FILING_STATUS=MR","SCALING_FORMAT=MLN","Sort=A","Dates=H","DateFormat=P","Fill=—","Direction=H","UseDPDF=Y")</f>
        <v>#NAME?</v>
      </c>
      <c r="D27" s="13" t="e">
        <f ca="1">_xll.BDH("CAVA US Equity","CF_PURCHASE_OF_FIXED_PROD_ASSETS","FY 2022","FY 2022","Currency=USD","Period=FY","BEST_FPERIOD_OVERRIDE=FY","FILING_STATUS=MR","SCALING_FORMAT=MLN","Sort=A","Dates=H","DateFormat=P","Fill=—","Direction=H","UseDPDF=Y")</f>
        <v>#NAME?</v>
      </c>
      <c r="E27" s="13" t="e">
        <f ca="1">_xll.BDH("CAVA US Equity","CF_PURCHASE_OF_FIXED_PROD_ASSETS","FY 2023","FY 2023","Currency=USD","Period=FY","BEST_FPERIOD_OVERRIDE=FY","FILING_STATUS=MR","SCALING_FORMAT=MLN","Sort=A","Dates=H","DateFormat=P","Fill=—","Direction=H","UseDPDF=Y")</f>
        <v>#NAME?</v>
      </c>
      <c r="F27" s="12">
        <v>-66.328000000000003</v>
      </c>
    </row>
    <row r="28" spans="1:6" x14ac:dyDescent="0.25">
      <c r="A28" s="14" t="s">
        <v>58</v>
      </c>
      <c r="B28" s="14" t="s">
        <v>57</v>
      </c>
      <c r="C28" s="13" t="e">
        <f ca="1">_xll.BDH("CAVA US Equity","CF_ACQUISITION_OF_INTANG_ASSETS","FY 2021","FY 2021","Currency=USD","Period=FY","BEST_FPERIOD_OVERRIDE=FY","FILING_STATUS=MR","SCALING_FORMAT=MLN","Sort=A","Dates=H","DateFormat=P","Fill=—","Direction=H","UseDPDF=Y")</f>
        <v>#NAME?</v>
      </c>
      <c r="D28" s="13" t="e">
        <f ca="1">_xll.BDH("CAVA US Equity","CF_ACQUISITION_OF_INTANG_ASSETS","FY 2022","FY 2022","Currency=USD","Period=FY","BEST_FPERIOD_OVERRIDE=FY","FILING_STATUS=MR","SCALING_FORMAT=MLN","Sort=A","Dates=H","DateFormat=P","Fill=—","Direction=H","UseDPDF=Y")</f>
        <v>#NAME?</v>
      </c>
      <c r="E28" s="13" t="e">
        <f ca="1">_xll.BDH("CAVA US Equity","CF_ACQUISITION_OF_INTANG_ASSETS","FY 2023","FY 2023","Currency=USD","Period=FY","BEST_FPERIOD_OVERRIDE=FY","FILING_STATUS=MR","SCALING_FORMAT=MLN","Sort=A","Dates=H","DateFormat=P","Fill=—","Direction=H","UseDPDF=Y")</f>
        <v>#NAME?</v>
      </c>
      <c r="F28" s="12">
        <v>0</v>
      </c>
    </row>
    <row r="29" spans="1:6" x14ac:dyDescent="0.25">
      <c r="A29" s="4" t="s">
        <v>56</v>
      </c>
      <c r="B29" s="4" t="s">
        <v>55</v>
      </c>
      <c r="C29" s="6" t="e">
        <f ca="1">_xll.BDH("CAVA US Equity","NET_CHG_IN_LT_INVEST_DETAILED","FY 2021","FY 2021","Currency=USD","Period=FY","BEST_FPERIOD_OVERRIDE=FY","FILING_STATUS=MR","SCALING_FORMAT=MLN","Sort=A","Dates=H","DateFormat=P","Fill=—","Direction=H","UseDPDF=Y")</f>
        <v>#NAME?</v>
      </c>
      <c r="D29" s="6" t="e">
        <f ca="1">_xll.BDH("CAVA US Equity","NET_CHG_IN_LT_INVEST_DETAILED","FY 2022","FY 2022","Currency=USD","Period=FY","BEST_FPERIOD_OVERRIDE=FY","FILING_STATUS=MR","SCALING_FORMAT=MLN","Sort=A","Dates=H","DateFormat=P","Fill=—","Direction=H","UseDPDF=Y")</f>
        <v>#NAME?</v>
      </c>
      <c r="E29" s="6" t="e">
        <f ca="1">_xll.BDH("CAVA US Equity","NET_CHG_IN_LT_INVEST_DETAILED","FY 2023","FY 2023","Currency=USD","Period=FY","BEST_FPERIOD_OVERRIDE=FY","FILING_STATUS=MR","SCALING_FORMAT=MLN","Sort=A","Dates=H","DateFormat=P","Fill=—","Direction=H","UseDPDF=Y")</f>
        <v>#NAME?</v>
      </c>
      <c r="F29" s="5">
        <v>0</v>
      </c>
    </row>
    <row r="30" spans="1:6" x14ac:dyDescent="0.25">
      <c r="A30" s="4" t="s">
        <v>54</v>
      </c>
      <c r="B30" s="4" t="s">
        <v>53</v>
      </c>
      <c r="C30" s="6" t="e">
        <f ca="1">_xll.BDH("CAVA US Equity","CF_DECR_INVEST","FY 2021","FY 2021","Currency=USD","Period=FY","BEST_FPERIOD_OVERRIDE=FY","FILING_STATUS=MR","SCALING_FORMAT=MLN","Sort=A","Dates=H","DateFormat=P","Fill=—","Direction=H","UseDPDF=Y")</f>
        <v>#NAME?</v>
      </c>
      <c r="D30" s="6" t="e">
        <f ca="1">_xll.BDH("CAVA US Equity","CF_DECR_INVEST","FY 2022","FY 2022","Currency=USD","Period=FY","BEST_FPERIOD_OVERRIDE=FY","FILING_STATUS=MR","SCALING_FORMAT=MLN","Sort=A","Dates=H","DateFormat=P","Fill=—","Direction=H","UseDPDF=Y")</f>
        <v>#NAME?</v>
      </c>
      <c r="E30" s="6" t="e">
        <f ca="1">_xll.BDH("CAVA US Equity","CF_DECR_INVEST","FY 2023","FY 2023","Currency=USD","Period=FY","BEST_FPERIOD_OVERRIDE=FY","FILING_STATUS=MR","SCALING_FORMAT=MLN","Sort=A","Dates=H","DateFormat=P","Fill=—","Direction=H","UseDPDF=Y")</f>
        <v>#NAME?</v>
      </c>
      <c r="F30" s="5"/>
    </row>
    <row r="31" spans="1:6" x14ac:dyDescent="0.25">
      <c r="A31" s="4" t="s">
        <v>52</v>
      </c>
      <c r="B31" s="4" t="s">
        <v>51</v>
      </c>
      <c r="C31" s="6" t="e">
        <f ca="1">_xll.BDH("CAVA US Equity","CF_INCR_INVEST","FY 2021","FY 2021","Currency=USD","Period=FY","BEST_FPERIOD_OVERRIDE=FY","FILING_STATUS=MR","SCALING_FORMAT=MLN","Sort=A","Dates=H","DateFormat=P","Fill=—","Direction=H","UseDPDF=Y")</f>
        <v>#NAME?</v>
      </c>
      <c r="D31" s="6" t="e">
        <f ca="1">_xll.BDH("CAVA US Equity","CF_INCR_INVEST","FY 2022","FY 2022","Currency=USD","Period=FY","BEST_FPERIOD_OVERRIDE=FY","FILING_STATUS=MR","SCALING_FORMAT=MLN","Sort=A","Dates=H","DateFormat=P","Fill=—","Direction=H","UseDPDF=Y")</f>
        <v>#NAME?</v>
      </c>
      <c r="E31" s="6" t="e">
        <f ca="1">_xll.BDH("CAVA US Equity","CF_INCR_INVEST","FY 2023","FY 2023","Currency=USD","Period=FY","BEST_FPERIOD_OVERRIDE=FY","FILING_STATUS=MR","SCALING_FORMAT=MLN","Sort=A","Dates=H","DateFormat=P","Fill=—","Direction=H","UseDPDF=Y")</f>
        <v>#NAME?</v>
      </c>
      <c r="F31" s="5"/>
    </row>
    <row r="32" spans="1:6" x14ac:dyDescent="0.25">
      <c r="A32" s="4" t="s">
        <v>50</v>
      </c>
      <c r="B32" s="4" t="s">
        <v>49</v>
      </c>
      <c r="C32" s="6" t="e">
        <f ca="1">_xll.BDH("CAVA US Equity","CF_NT_CSH_RCVD_PD_FOR_ACQUIS_DIV","FY 2021","FY 2021","Currency=USD","Period=FY","BEST_FPERIOD_OVERRIDE=FY","FILING_STATUS=MR","SCALING_FORMAT=MLN","Sort=A","Dates=H","DateFormat=P","Fill=—","Direction=H","UseDPDF=Y")</f>
        <v>#NAME?</v>
      </c>
      <c r="D32" s="6" t="e">
        <f ca="1">_xll.BDH("CAVA US Equity","CF_NT_CSH_RCVD_PD_FOR_ACQUIS_DIV","FY 2022","FY 2022","Currency=USD","Period=FY","BEST_FPERIOD_OVERRIDE=FY","FILING_STATUS=MR","SCALING_FORMAT=MLN","Sort=A","Dates=H","DateFormat=P","Fill=—","Direction=H","UseDPDF=Y")</f>
        <v>#NAME?</v>
      </c>
      <c r="E32" s="6" t="e">
        <f ca="1">_xll.BDH("CAVA US Equity","CF_NT_CSH_RCVD_PD_FOR_ACQUIS_DIV","FY 2023","FY 2023","Currency=USD","Period=FY","BEST_FPERIOD_OVERRIDE=FY","FILING_STATUS=MR","SCALING_FORMAT=MLN","Sort=A","Dates=H","DateFormat=P","Fill=—","Direction=H","UseDPDF=Y")</f>
        <v>#NAME?</v>
      </c>
      <c r="F32" s="5">
        <v>0</v>
      </c>
    </row>
    <row r="33" spans="1:6" x14ac:dyDescent="0.25">
      <c r="A33" s="4" t="s">
        <v>48</v>
      </c>
      <c r="B33" s="4" t="s">
        <v>47</v>
      </c>
      <c r="C33" s="6" t="e">
        <f ca="1">_xll.BDH("CAVA US Equity","CF_CASH_FOR_DIVESTITURES","FY 2021","FY 2021","Currency=USD","Period=FY","BEST_FPERIOD_OVERRIDE=FY","FILING_STATUS=MR","SCALING_FORMAT=MLN","Sort=A","Dates=H","DateFormat=P","Fill=—","Direction=H","UseDPDF=Y")</f>
        <v>#NAME?</v>
      </c>
      <c r="D33" s="6" t="e">
        <f ca="1">_xll.BDH("CAVA US Equity","CF_CASH_FOR_DIVESTITURES","FY 2022","FY 2022","Currency=USD","Period=FY","BEST_FPERIOD_OVERRIDE=FY","FILING_STATUS=MR","SCALING_FORMAT=MLN","Sort=A","Dates=H","DateFormat=P","Fill=—","Direction=H","UseDPDF=Y")</f>
        <v>#NAME?</v>
      </c>
      <c r="E33" s="6" t="e">
        <f ca="1">_xll.BDH("CAVA US Equity","CF_CASH_FOR_DIVESTITURES","FY 2023","FY 2023","Currency=USD","Period=FY","BEST_FPERIOD_OVERRIDE=FY","FILING_STATUS=MR","SCALING_FORMAT=MLN","Sort=A","Dates=H","DateFormat=P","Fill=—","Direction=H","UseDPDF=Y")</f>
        <v>#NAME?</v>
      </c>
      <c r="F33" s="5">
        <v>0</v>
      </c>
    </row>
    <row r="34" spans="1:6" x14ac:dyDescent="0.25">
      <c r="A34" s="4" t="s">
        <v>46</v>
      </c>
      <c r="B34" s="4" t="s">
        <v>45</v>
      </c>
      <c r="C34" s="6" t="e">
        <f ca="1">_xll.BDH("CAVA US Equity","CF_CASH_FOR_ACQUIS_SUBSIDIARIES","FY 2021","FY 2021","Currency=USD","Period=FY","BEST_FPERIOD_OVERRIDE=FY","FILING_STATUS=MR","SCALING_FORMAT=MLN","Sort=A","Dates=H","DateFormat=P","Fill=—","Direction=H","UseDPDF=Y")</f>
        <v>#NAME?</v>
      </c>
      <c r="D34" s="6" t="e">
        <f ca="1">_xll.BDH("CAVA US Equity","CF_CASH_FOR_ACQUIS_SUBSIDIARIES","FY 2022","FY 2022","Currency=USD","Period=FY","BEST_FPERIOD_OVERRIDE=FY","FILING_STATUS=MR","SCALING_FORMAT=MLN","Sort=A","Dates=H","DateFormat=P","Fill=—","Direction=H","UseDPDF=Y")</f>
        <v>#NAME?</v>
      </c>
      <c r="E34" s="6" t="e">
        <f ca="1">_xll.BDH("CAVA US Equity","CF_CASH_FOR_ACQUIS_SUBSIDIARIES","FY 2023","FY 2023","Currency=USD","Period=FY","BEST_FPERIOD_OVERRIDE=FY","FILING_STATUS=MR","SCALING_FORMAT=MLN","Sort=A","Dates=H","DateFormat=P","Fill=—","Direction=H","UseDPDF=Y")</f>
        <v>#NAME?</v>
      </c>
      <c r="F34" s="5">
        <v>0</v>
      </c>
    </row>
    <row r="35" spans="1:6" x14ac:dyDescent="0.25">
      <c r="A35" s="4" t="s">
        <v>44</v>
      </c>
      <c r="B35" s="4" t="s">
        <v>43</v>
      </c>
      <c r="C35" s="6" t="e">
        <f ca="1">_xll.BDH("CAVA US Equity","CF_CASH_FOR_JOINT_VENTURES_ASSOC","FY 2021","FY 2021","Currency=USD","Period=FY","BEST_FPERIOD_OVERRIDE=FY","FILING_STATUS=MR","SCALING_FORMAT=MLN","Sort=A","Dates=H","DateFormat=P","Fill=—","Direction=H","UseDPDF=Y")</f>
        <v>#NAME?</v>
      </c>
      <c r="D35" s="6" t="e">
        <f ca="1">_xll.BDH("CAVA US Equity","CF_CASH_FOR_JOINT_VENTURES_ASSOC","FY 2022","FY 2022","Currency=USD","Period=FY","BEST_FPERIOD_OVERRIDE=FY","FILING_STATUS=MR","SCALING_FORMAT=MLN","Sort=A","Dates=H","DateFormat=P","Fill=—","Direction=H","UseDPDF=Y")</f>
        <v>#NAME?</v>
      </c>
      <c r="E35" s="6" t="e">
        <f ca="1">_xll.BDH("CAVA US Equity","CF_CASH_FOR_JOINT_VENTURES_ASSOC","FY 2023","FY 2023","Currency=USD","Period=FY","BEST_FPERIOD_OVERRIDE=FY","FILING_STATUS=MR","SCALING_FORMAT=MLN","Sort=A","Dates=H","DateFormat=P","Fill=—","Direction=H","UseDPDF=Y")</f>
        <v>#NAME?</v>
      </c>
      <c r="F35" s="5">
        <v>0</v>
      </c>
    </row>
    <row r="36" spans="1:6" x14ac:dyDescent="0.25">
      <c r="A36" s="4" t="s">
        <v>42</v>
      </c>
      <c r="B36" s="4" t="s">
        <v>41</v>
      </c>
      <c r="C36" s="6" t="e">
        <f ca="1">_xll.BDH("CAVA US Equity","OTHER_INVESTING_ACT_DETAILED","FY 2021","FY 2021","Currency=USD","Period=FY","BEST_FPERIOD_OVERRIDE=FY","FILING_STATUS=MR","SCALING_FORMAT=MLN","Sort=A","Dates=H","DateFormat=P","Fill=—","Direction=H","UseDPDF=Y")</f>
        <v>#NAME?</v>
      </c>
      <c r="D36" s="6" t="e">
        <f ca="1">_xll.BDH("CAVA US Equity","OTHER_INVESTING_ACT_DETAILED","FY 2022","FY 2022","Currency=USD","Period=FY","BEST_FPERIOD_OVERRIDE=FY","FILING_STATUS=MR","SCALING_FORMAT=MLN","Sort=A","Dates=H","DateFormat=P","Fill=—","Direction=H","UseDPDF=Y")</f>
        <v>#NAME?</v>
      </c>
      <c r="E36" s="6" t="e">
        <f ca="1">_xll.BDH("CAVA US Equity","OTHER_INVESTING_ACT_DETAILED","FY 2023","FY 2023","Currency=USD","Period=FY","BEST_FPERIOD_OVERRIDE=FY","FILING_STATUS=MR","SCALING_FORMAT=MLN","Sort=A","Dates=H","DateFormat=P","Fill=—","Direction=H","UseDPDF=Y")</f>
        <v>#NAME?</v>
      </c>
      <c r="F36" s="5">
        <v>0</v>
      </c>
    </row>
    <row r="37" spans="1:6" x14ac:dyDescent="0.25">
      <c r="A37" s="4" t="s">
        <v>25</v>
      </c>
      <c r="B37" s="4" t="s">
        <v>40</v>
      </c>
      <c r="C37" s="6" t="e">
        <f ca="1">_xll.BDH("CAVA US Equity","CF_NET_CASH_DISCONTINUED_OPS_INV","FY 2021","FY 2021","Currency=USD","Period=FY","BEST_FPERIOD_OVERRIDE=FY","FILING_STATUS=MR","SCALING_FORMAT=MLN","Sort=A","Dates=H","DateFormat=P","Fill=—","Direction=H","UseDPDF=Y")</f>
        <v>#NAME?</v>
      </c>
      <c r="D37" s="6" t="e">
        <f ca="1">_xll.BDH("CAVA US Equity","CF_NET_CASH_DISCONTINUED_OPS_INV","FY 2022","FY 2022","Currency=USD","Period=FY","BEST_FPERIOD_OVERRIDE=FY","FILING_STATUS=MR","SCALING_FORMAT=MLN","Sort=A","Dates=H","DateFormat=P","Fill=—","Direction=H","UseDPDF=Y")</f>
        <v>#NAME?</v>
      </c>
      <c r="E37" s="6" t="e">
        <f ca="1">_xll.BDH("CAVA US Equity","CF_NET_CASH_DISCONTINUED_OPS_INV","FY 2023","FY 2023","Currency=USD","Period=FY","BEST_FPERIOD_OVERRIDE=FY","FILING_STATUS=MR","SCALING_FORMAT=MLN","Sort=A","Dates=H","DateFormat=P","Fill=—","Direction=H","UseDPDF=Y")</f>
        <v>#NAME?</v>
      </c>
      <c r="F37" s="5">
        <v>0</v>
      </c>
    </row>
    <row r="38" spans="1:6" x14ac:dyDescent="0.25">
      <c r="A38" s="9" t="s">
        <v>39</v>
      </c>
      <c r="B38" s="9" t="s">
        <v>38</v>
      </c>
      <c r="C38" s="11" t="e">
        <f ca="1">_xll.BDH("CAVA US Equity","CF_CASH_FROM_INV_ACT","FY 2021","FY 2021","Currency=USD","Period=FY","BEST_FPERIOD_OVERRIDE=FY","FILING_STATUS=MR","SCALING_FORMAT=MLN","Sort=A","Dates=H","DateFormat=P","Fill=—","Direction=H","UseDPDF=Y")</f>
        <v>#NAME?</v>
      </c>
      <c r="D38" s="11" t="e">
        <f ca="1">_xll.BDH("CAVA US Equity","CF_CASH_FROM_INV_ACT","FY 2022","FY 2022","Currency=USD","Period=FY","BEST_FPERIOD_OVERRIDE=FY","FILING_STATUS=MR","SCALING_FORMAT=MLN","Sort=A","Dates=H","DateFormat=P","Fill=—","Direction=H","UseDPDF=Y")</f>
        <v>#NAME?</v>
      </c>
      <c r="E38" s="11" t="e">
        <f ca="1">_xll.BDH("CAVA US Equity","CF_CASH_FROM_INV_ACT","FY 2023","FY 2023","Currency=USD","Period=FY","BEST_FPERIOD_OVERRIDE=FY","FILING_STATUS=MR","SCALING_FORMAT=MLN","Sort=A","Dates=H","DateFormat=P","Fill=—","Direction=H","UseDPDF=Y")</f>
        <v>#NAME?</v>
      </c>
      <c r="F38" s="10"/>
    </row>
    <row r="39" spans="1:6" x14ac:dyDescent="0.25">
      <c r="A39" s="9"/>
      <c r="B39" s="8"/>
      <c r="C39" s="8"/>
      <c r="D39" s="8"/>
      <c r="E39" s="8"/>
      <c r="F39" s="7"/>
    </row>
    <row r="40" spans="1:6" x14ac:dyDescent="0.25">
      <c r="A40" s="9" t="s">
        <v>23</v>
      </c>
      <c r="B40" s="8"/>
      <c r="C40" s="8"/>
      <c r="D40" s="8"/>
      <c r="E40" s="8"/>
      <c r="F40" s="7"/>
    </row>
    <row r="41" spans="1:6" x14ac:dyDescent="0.25">
      <c r="A41" s="4" t="s">
        <v>37</v>
      </c>
      <c r="B41" s="4" t="s">
        <v>36</v>
      </c>
      <c r="C41" s="6" t="e">
        <f ca="1">_xll.BDH("CAVA US Equity","CF_DVD_PAID","FY 2021","FY 2021","Currency=USD","Period=FY","BEST_FPERIOD_OVERRIDE=FY","FILING_STATUS=MR","SCALING_FORMAT=MLN","Sort=A","Dates=H","DateFormat=P","Fill=—","Direction=H","UseDPDF=Y")</f>
        <v>#NAME?</v>
      </c>
      <c r="D41" s="6" t="e">
        <f ca="1">_xll.BDH("CAVA US Equity","CF_DVD_PAID","FY 2022","FY 2022","Currency=USD","Period=FY","BEST_FPERIOD_OVERRIDE=FY","FILING_STATUS=MR","SCALING_FORMAT=MLN","Sort=A","Dates=H","DateFormat=P","Fill=—","Direction=H","UseDPDF=Y")</f>
        <v>#NAME?</v>
      </c>
      <c r="E41" s="6" t="e">
        <f ca="1">_xll.BDH("CAVA US Equity","CF_DVD_PAID","FY 2023","FY 2023","Currency=USD","Period=FY","BEST_FPERIOD_OVERRIDE=FY","FILING_STATUS=MR","SCALING_FORMAT=MLN","Sort=A","Dates=H","DateFormat=P","Fill=—","Direction=H","UseDPDF=Y")</f>
        <v>#NAME?</v>
      </c>
      <c r="F41" s="5"/>
    </row>
    <row r="42" spans="1:6" x14ac:dyDescent="0.25">
      <c r="A42" s="4" t="s">
        <v>35</v>
      </c>
      <c r="B42" s="4" t="s">
        <v>34</v>
      </c>
      <c r="C42" s="6" t="e">
        <f ca="1">_xll.BDH("CAVA US Equity","PROC_FR_REPAYMNTS_BOR_DETAILED","FY 2021","FY 2021","Currency=USD","Period=FY","BEST_FPERIOD_OVERRIDE=FY","FILING_STATUS=MR","SCALING_FORMAT=MLN","Sort=A","Dates=H","DateFormat=P","Fill=—","Direction=H","UseDPDF=Y")</f>
        <v>#NAME?</v>
      </c>
      <c r="D42" s="6" t="e">
        <f ca="1">_xll.BDH("CAVA US Equity","PROC_FR_REPAYMNTS_BOR_DETAILED","FY 2022","FY 2022","Currency=USD","Period=FY","BEST_FPERIOD_OVERRIDE=FY","FILING_STATUS=MR","SCALING_FORMAT=MLN","Sort=A","Dates=H","DateFormat=P","Fill=—","Direction=H","UseDPDF=Y")</f>
        <v>#NAME?</v>
      </c>
      <c r="E42" s="6" t="e">
        <f ca="1">_xll.BDH("CAVA US Equity","PROC_FR_REPAYMNTS_BOR_DETAILED","FY 2023","FY 2023","Currency=USD","Period=FY","BEST_FPERIOD_OVERRIDE=FY","FILING_STATUS=MR","SCALING_FORMAT=MLN","Sort=A","Dates=H","DateFormat=P","Fill=—","Direction=H","UseDPDF=Y")</f>
        <v>#NAME?</v>
      </c>
      <c r="F42" s="5">
        <v>-340.35399999999998</v>
      </c>
    </row>
    <row r="43" spans="1:6" x14ac:dyDescent="0.25">
      <c r="A43" s="4" t="s">
        <v>33</v>
      </c>
      <c r="B43" s="4" t="s">
        <v>32</v>
      </c>
      <c r="C43" s="6" t="e">
        <f ca="1">_xll.BDH("CAVA US Equity","NET_CAP_STOCK","FY 2021","FY 2021","Currency=USD","Period=FY","BEST_FPERIOD_OVERRIDE=FY","FILING_STATUS=MR","SCALING_FORMAT=MLN","Sort=A","Dates=H","DateFormat=P","Fill=—","Direction=H","UseDPDF=Y")</f>
        <v>#NAME?</v>
      </c>
      <c r="D43" s="6" t="e">
        <f ca="1">_xll.BDH("CAVA US Equity","NET_CAP_STOCK","FY 2022","FY 2022","Currency=USD","Period=FY","BEST_FPERIOD_OVERRIDE=FY","FILING_STATUS=MR","SCALING_FORMAT=MLN","Sort=A","Dates=H","DateFormat=P","Fill=—","Direction=H","UseDPDF=Y")</f>
        <v>#NAME?</v>
      </c>
      <c r="E43" s="6" t="e">
        <f ca="1">_xll.BDH("CAVA US Equity","NET_CAP_STOCK","FY 2023","FY 2023","Currency=USD","Period=FY","BEST_FPERIOD_OVERRIDE=FY","FILING_STATUS=MR","SCALING_FORMAT=MLN","Sort=A","Dates=H","DateFormat=P","Fill=—","Direction=H","UseDPDF=Y")</f>
        <v>#NAME?</v>
      </c>
      <c r="F43" s="5">
        <v>336.88499999999999</v>
      </c>
    </row>
    <row r="44" spans="1:6" x14ac:dyDescent="0.25">
      <c r="A44" s="4" t="s">
        <v>31</v>
      </c>
      <c r="B44" s="4" t="s">
        <v>30</v>
      </c>
      <c r="C44" s="6" t="e">
        <f ca="1">_xll.BDH("CAVA US Equity","CF_INCR_CAP_STOCK","FY 2021","FY 2021","Currency=USD","Period=FY","BEST_FPERIOD_OVERRIDE=FY","FILING_STATUS=MR","SCALING_FORMAT=MLN","Sort=A","Dates=H","DateFormat=P","Fill=—","Direction=H","UseDPDF=Y")</f>
        <v>#NAME?</v>
      </c>
      <c r="D44" s="6" t="e">
        <f ca="1">_xll.BDH("CAVA US Equity","CF_INCR_CAP_STOCK","FY 2022","FY 2022","Currency=USD","Period=FY","BEST_FPERIOD_OVERRIDE=FY","FILING_STATUS=MR","SCALING_FORMAT=MLN","Sort=A","Dates=H","DateFormat=P","Fill=—","Direction=H","UseDPDF=Y")</f>
        <v>#NAME?</v>
      </c>
      <c r="E44" s="6" t="e">
        <f ca="1">_xll.BDH("CAVA US Equity","CF_INCR_CAP_STOCK","FY 2023","FY 2023","Currency=USD","Period=FY","BEST_FPERIOD_OVERRIDE=FY","FILING_STATUS=MR","SCALING_FORMAT=MLN","Sort=A","Dates=H","DateFormat=P","Fill=—","Direction=H","UseDPDF=Y")</f>
        <v>#NAME?</v>
      </c>
      <c r="F44" s="5"/>
    </row>
    <row r="45" spans="1:6" x14ac:dyDescent="0.25">
      <c r="A45" s="4" t="s">
        <v>29</v>
      </c>
      <c r="B45" s="4" t="s">
        <v>28</v>
      </c>
      <c r="C45" s="6" t="e">
        <f ca="1">_xll.BDH("CAVA US Equity","CF_DECR_CAP_STOCK","FY 2021","FY 2021","Currency=USD","Period=FY","BEST_FPERIOD_OVERRIDE=FY","FILING_STATUS=MR","SCALING_FORMAT=MLN","Sort=A","Dates=H","DateFormat=P","Fill=—","Direction=H","UseDPDF=Y")</f>
        <v>#NAME?</v>
      </c>
      <c r="D45" s="6" t="e">
        <f ca="1">_xll.BDH("CAVA US Equity","CF_DECR_CAP_STOCK","FY 2022","FY 2022","Currency=USD","Period=FY","BEST_FPERIOD_OVERRIDE=FY","FILING_STATUS=MR","SCALING_FORMAT=MLN","Sort=A","Dates=H","DateFormat=P","Fill=—","Direction=H","UseDPDF=Y")</f>
        <v>#NAME?</v>
      </c>
      <c r="E45" s="6" t="e">
        <f ca="1">_xll.BDH("CAVA US Equity","CF_DECR_CAP_STOCK","FY 2023","FY 2023","Currency=USD","Period=FY","BEST_FPERIOD_OVERRIDE=FY","FILING_STATUS=MR","SCALING_FORMAT=MLN","Sort=A","Dates=H","DateFormat=P","Fill=—","Direction=H","UseDPDF=Y")</f>
        <v>#NAME?</v>
      </c>
      <c r="F45" s="5"/>
    </row>
    <row r="46" spans="1:6" x14ac:dyDescent="0.25">
      <c r="A46" s="4" t="s">
        <v>27</v>
      </c>
      <c r="B46" s="4" t="s">
        <v>26</v>
      </c>
      <c r="C46" s="6" t="e">
        <f ca="1">_xll.BDH("CAVA US Equity","OTHER_FIN_AND_DEC_CAP","FY 2021","FY 2021","Currency=USD","Period=FY","BEST_FPERIOD_OVERRIDE=FY","FILING_STATUS=MR","SCALING_FORMAT=MLN","Sort=A","Dates=H","DateFormat=P","Fill=—","Direction=H","UseDPDF=Y")</f>
        <v>#NAME?</v>
      </c>
      <c r="D46" s="6" t="e">
        <f ca="1">_xll.BDH("CAVA US Equity","OTHER_FIN_AND_DEC_CAP","FY 2022","FY 2022","Currency=USD","Period=FY","BEST_FPERIOD_OVERRIDE=FY","FILING_STATUS=MR","SCALING_FORMAT=MLN","Sort=A","Dates=H","DateFormat=P","Fill=—","Direction=H","UseDPDF=Y")</f>
        <v>#NAME?</v>
      </c>
      <c r="E46" s="6" t="e">
        <f ca="1">_xll.BDH("CAVA US Equity","OTHER_FIN_AND_DEC_CAP","FY 2023","FY 2023","Currency=USD","Period=FY","BEST_FPERIOD_OVERRIDE=FY","FILING_STATUS=MR","SCALING_FORMAT=MLN","Sort=A","Dates=H","DateFormat=P","Fill=—","Direction=H","UseDPDF=Y")</f>
        <v>#NAME?</v>
      </c>
      <c r="F46" s="5">
        <v>-0.61099999999999999</v>
      </c>
    </row>
    <row r="47" spans="1:6" x14ac:dyDescent="0.25">
      <c r="A47" s="4" t="s">
        <v>25</v>
      </c>
      <c r="B47" s="4" t="s">
        <v>24</v>
      </c>
      <c r="C47" s="6" t="e">
        <f ca="1">_xll.BDH("CAVA US Equity","CF_NET_CASH_DISCONTINUED_OPS_FIN","FY 2021","FY 2021","Currency=USD","Period=FY","BEST_FPERIOD_OVERRIDE=FY","FILING_STATUS=MR","SCALING_FORMAT=MLN","Sort=A","Dates=H","DateFormat=P","Fill=—","Direction=H","UseDPDF=Y")</f>
        <v>#NAME?</v>
      </c>
      <c r="D47" s="6" t="e">
        <f ca="1">_xll.BDH("CAVA US Equity","CF_NET_CASH_DISCONTINUED_OPS_FIN","FY 2022","FY 2022","Currency=USD","Period=FY","BEST_FPERIOD_OVERRIDE=FY","FILING_STATUS=MR","SCALING_FORMAT=MLN","Sort=A","Dates=H","DateFormat=P","Fill=—","Direction=H","UseDPDF=Y")</f>
        <v>#NAME?</v>
      </c>
      <c r="E47" s="6" t="e">
        <f ca="1">_xll.BDH("CAVA US Equity","CF_NET_CASH_DISCONTINUED_OPS_FIN","FY 2023","FY 2023","Currency=USD","Period=FY","BEST_FPERIOD_OVERRIDE=FY","FILING_STATUS=MR","SCALING_FORMAT=MLN","Sort=A","Dates=H","DateFormat=P","Fill=—","Direction=H","UseDPDF=Y")</f>
        <v>#NAME?</v>
      </c>
      <c r="F47" s="5">
        <v>0</v>
      </c>
    </row>
    <row r="48" spans="1:6" x14ac:dyDescent="0.25">
      <c r="A48" s="9" t="s">
        <v>23</v>
      </c>
      <c r="B48" s="9" t="s">
        <v>22</v>
      </c>
      <c r="C48" s="11" t="e">
        <f ca="1">_xll.BDH("CAVA US Equity","CFF_ACTIVITIES_DETAILED","FY 2021","FY 2021","Currency=USD","Period=FY","BEST_FPERIOD_OVERRIDE=FY","FILING_STATUS=MR","SCALING_FORMAT=MLN","Sort=A","Dates=H","DateFormat=P","Fill=—","Direction=H","UseDPDF=Y")</f>
        <v>#NAME?</v>
      </c>
      <c r="D48" s="11" t="e">
        <f ca="1">_xll.BDH("CAVA US Equity","CFF_ACTIVITIES_DETAILED","FY 2022","FY 2022","Currency=USD","Period=FY","BEST_FPERIOD_OVERRIDE=FY","FILING_STATUS=MR","SCALING_FORMAT=MLN","Sort=A","Dates=H","DateFormat=P","Fill=—","Direction=H","UseDPDF=Y")</f>
        <v>#NAME?</v>
      </c>
      <c r="E48" s="11" t="e">
        <f ca="1">_xll.BDH("CAVA US Equity","CFF_ACTIVITIES_DETAILED","FY 2023","FY 2023","Currency=USD","Period=FY","BEST_FPERIOD_OVERRIDE=FY","FILING_STATUS=MR","SCALING_FORMAT=MLN","Sort=A","Dates=H","DateFormat=P","Fill=—","Direction=H","UseDPDF=Y")</f>
        <v>#NAME?</v>
      </c>
      <c r="F48" s="10">
        <v>-4.08</v>
      </c>
    </row>
    <row r="49" spans="1:6" x14ac:dyDescent="0.25">
      <c r="A49" s="9"/>
      <c r="B49" s="8"/>
      <c r="C49" s="8"/>
      <c r="D49" s="8"/>
      <c r="E49" s="8"/>
      <c r="F49" s="7"/>
    </row>
    <row r="50" spans="1:6" x14ac:dyDescent="0.25">
      <c r="A50" s="4" t="s">
        <v>21</v>
      </c>
      <c r="B50" s="4" t="s">
        <v>20</v>
      </c>
      <c r="C50" s="6" t="e">
        <f ca="1">_xll.BDH("CAVA US Equity","CF_EFFECT_FOREIGN_EXCHANGES","FY 2021","FY 2021","Currency=USD","Period=FY","BEST_FPERIOD_OVERRIDE=FY","FILING_STATUS=MR","SCALING_FORMAT=MLN","Sort=A","Dates=H","DateFormat=P","Fill=—","Direction=H","UseDPDF=Y")</f>
        <v>#NAME?</v>
      </c>
      <c r="D50" s="6" t="e">
        <f ca="1">_xll.BDH("CAVA US Equity","CF_EFFECT_FOREIGN_EXCHANGES","FY 2022","FY 2022","Currency=USD","Period=FY","BEST_FPERIOD_OVERRIDE=FY","FILING_STATUS=MR","SCALING_FORMAT=MLN","Sort=A","Dates=H","DateFormat=P","Fill=—","Direction=H","UseDPDF=Y")</f>
        <v>#NAME?</v>
      </c>
      <c r="E50" s="6" t="e">
        <f ca="1">_xll.BDH("CAVA US Equity","CF_EFFECT_FOREIGN_EXCHANGES","FY 2023","FY 2023","Currency=USD","Period=FY","BEST_FPERIOD_OVERRIDE=FY","FILING_STATUS=MR","SCALING_FORMAT=MLN","Sort=A","Dates=H","DateFormat=P","Fill=—","Direction=H","UseDPDF=Y")</f>
        <v>#NAME?</v>
      </c>
      <c r="F50" s="5">
        <v>0</v>
      </c>
    </row>
    <row r="51" spans="1:6" x14ac:dyDescent="0.25">
      <c r="A51" s="9"/>
      <c r="B51" s="8"/>
      <c r="C51" s="8"/>
      <c r="D51" s="8"/>
      <c r="E51" s="8"/>
      <c r="F51" s="7"/>
    </row>
    <row r="52" spans="1:6" x14ac:dyDescent="0.25">
      <c r="A52" s="9" t="s">
        <v>19</v>
      </c>
      <c r="B52" s="9" t="s">
        <v>18</v>
      </c>
      <c r="C52" s="11" t="e">
        <f ca="1">_xll.BDH("CAVA US Equity","CF_NET_CHNG_CASH","FY 2021","FY 2021","Currency=USD","Period=FY","BEST_FPERIOD_OVERRIDE=FY","FILING_STATUS=MR","SCALING_FORMAT=MLN","Sort=A","Dates=H","DateFormat=P","Fill=—","Direction=H","UseDPDF=Y")</f>
        <v>#NAME?</v>
      </c>
      <c r="D52" s="11" t="e">
        <f ca="1">_xll.BDH("CAVA US Equity","CF_NET_CHNG_CASH","FY 2022","FY 2022","Currency=USD","Period=FY","BEST_FPERIOD_OVERRIDE=FY","FILING_STATUS=MR","SCALING_FORMAT=MLN","Sort=A","Dates=H","DateFormat=P","Fill=—","Direction=H","UseDPDF=Y")</f>
        <v>#NAME?</v>
      </c>
      <c r="E52" s="11" t="e">
        <f ca="1">_xll.BDH("CAVA US Equity","CF_NET_CHNG_CASH","FY 2023","FY 2023","Currency=USD","Period=FY","BEST_FPERIOD_OVERRIDE=FY","FILING_STATUS=MR","SCALING_FORMAT=MLN","Sort=A","Dates=H","DateFormat=P","Fill=—","Direction=H","UseDPDF=Y")</f>
        <v>#NAME?</v>
      </c>
      <c r="F52" s="10"/>
    </row>
    <row r="53" spans="1:6" x14ac:dyDescent="0.25">
      <c r="A53" s="9"/>
      <c r="B53" s="8"/>
      <c r="C53" s="8"/>
      <c r="D53" s="8"/>
      <c r="E53" s="8"/>
      <c r="F53" s="7"/>
    </row>
    <row r="54" spans="1:6" x14ac:dyDescent="0.25">
      <c r="A54" s="9" t="s">
        <v>17</v>
      </c>
      <c r="B54" s="9" t="s">
        <v>16</v>
      </c>
      <c r="C54" s="11" t="e">
        <f ca="1">_xll.BDH("CAVA US Equity","CF_CASH_PAID_FOR_TAX","FY 2021","FY 2021","Currency=USD","Period=FY","BEST_FPERIOD_OVERRIDE=FY","FILING_STATUS=MR","SCALING_FORMAT=MLN","Sort=A","Dates=H","DateFormat=P","Fill=—","Direction=H","UseDPDF=Y")</f>
        <v>#NAME?</v>
      </c>
      <c r="D54" s="11" t="e">
        <f ca="1">_xll.BDH("CAVA US Equity","CF_CASH_PAID_FOR_TAX","FY 2022","FY 2022","Currency=USD","Period=FY","BEST_FPERIOD_OVERRIDE=FY","FILING_STATUS=MR","SCALING_FORMAT=MLN","Sort=A","Dates=H","DateFormat=P","Fill=—","Direction=H","UseDPDF=Y")</f>
        <v>#NAME?</v>
      </c>
      <c r="E54" s="11" t="e">
        <f ca="1">_xll.BDH("CAVA US Equity","CF_CASH_PAID_FOR_TAX","FY 2023","FY 2023","Currency=USD","Period=FY","BEST_FPERIOD_OVERRIDE=FY","FILING_STATUS=MR","SCALING_FORMAT=MLN","Sort=A","Dates=H","DateFormat=P","Fill=—","Direction=H","UseDPDF=Y")</f>
        <v>#NAME?</v>
      </c>
      <c r="F54" s="10"/>
    </row>
    <row r="55" spans="1:6" x14ac:dyDescent="0.25">
      <c r="A55" s="9" t="s">
        <v>15</v>
      </c>
      <c r="B55" s="9" t="s">
        <v>14</v>
      </c>
      <c r="C55" s="11" t="e">
        <f ca="1">_xll.BDH("CAVA US Equity","CF_ACT_CASH_PAID_FOR_INT_DEBT","FY 2021","FY 2021","Currency=USD","Period=FY","BEST_FPERIOD_OVERRIDE=FY","FILING_STATUS=MR","SCALING_FORMAT=MLN","Sort=A","Dates=H","DateFormat=P","Fill=—","Direction=H","UseDPDF=Y")</f>
        <v>#NAME?</v>
      </c>
      <c r="D55" s="11" t="e">
        <f ca="1">_xll.BDH("CAVA US Equity","CF_ACT_CASH_PAID_FOR_INT_DEBT","FY 2022","FY 2022","Currency=USD","Period=FY","BEST_FPERIOD_OVERRIDE=FY","FILING_STATUS=MR","SCALING_FORMAT=MLN","Sort=A","Dates=H","DateFormat=P","Fill=—","Direction=H","UseDPDF=Y")</f>
        <v>#NAME?</v>
      </c>
      <c r="E55" s="11" t="e">
        <f ca="1">_xll.BDH("CAVA US Equity","CF_ACT_CASH_PAID_FOR_INT_DEBT","FY 2023","FY 2023","Currency=USD","Period=FY","BEST_FPERIOD_OVERRIDE=FY","FILING_STATUS=MR","SCALING_FORMAT=MLN","Sort=A","Dates=H","DateFormat=P","Fill=—","Direction=H","UseDPDF=Y")</f>
        <v>#NAME?</v>
      </c>
      <c r="F55" s="10"/>
    </row>
    <row r="56" spans="1:6" x14ac:dyDescent="0.25">
      <c r="A56" s="9"/>
      <c r="B56" s="8"/>
      <c r="C56" s="8"/>
      <c r="D56" s="8"/>
      <c r="E56" s="8"/>
      <c r="F56" s="7"/>
    </row>
    <row r="57" spans="1:6" x14ac:dyDescent="0.25">
      <c r="A57" s="9" t="s">
        <v>13</v>
      </c>
      <c r="B57" s="8"/>
      <c r="C57" s="8"/>
      <c r="D57" s="8"/>
      <c r="E57" s="8"/>
      <c r="F57" s="7"/>
    </row>
    <row r="58" spans="1:6" x14ac:dyDescent="0.25">
      <c r="A58" s="4" t="s">
        <v>12</v>
      </c>
      <c r="B58" s="4" t="s">
        <v>12</v>
      </c>
      <c r="C58" s="6" t="e">
        <f ca="1">_xll.BDH("CAVA US Equity","EBITDA","FY 2021","FY 2021","Currency=USD","Period=FY","BEST_FPERIOD_OVERRIDE=FY","FILING_STATUS=MR","SCALING_FORMAT=MLN","FA_ADJUSTED=GAAP","Sort=A","Dates=H","DateFormat=P","Fill=—","Direction=H","UseDPDF=Y")</f>
        <v>#NAME?</v>
      </c>
      <c r="D58" s="6" t="e">
        <f ca="1">_xll.BDH("CAVA US Equity","EBITDA","FY 2022","FY 2022","Currency=USD","Period=FY","BEST_FPERIOD_OVERRIDE=FY","FILING_STATUS=MR","SCALING_FORMAT=MLN","FA_ADJUSTED=GAAP","Sort=A","Dates=H","DateFormat=P","Fill=—","Direction=H","UseDPDF=Y")</f>
        <v>#NAME?</v>
      </c>
      <c r="E58" s="6" t="e">
        <f ca="1">_xll.BDH("CAVA US Equity","EBITDA","FY 2023","FY 2023","Currency=USD","Period=FY","BEST_FPERIOD_OVERRIDE=FY","FILING_STATUS=MR","SCALING_FORMAT=MLN","FA_ADJUSTED=GAAP","Sort=A","Dates=H","DateFormat=P","Fill=—","Direction=H","UseDPDF=Y")</f>
        <v>#NAME?</v>
      </c>
      <c r="F58" s="5"/>
    </row>
    <row r="59" spans="1:6" x14ac:dyDescent="0.25">
      <c r="A59" s="4" t="s">
        <v>11</v>
      </c>
      <c r="B59" s="4" t="s">
        <v>10</v>
      </c>
      <c r="C59" s="3" t="e">
        <f ca="1">_xll.BDH("CAVA US Equity","EBITDA_MARGIN","FY 2021","FY 2021","Currency=USD","Period=FY","BEST_FPERIOD_OVERRIDE=FY","FILING_STATUS=MR","FA_ADJUSTED=GAAP","Sort=A","Dates=H","DateFormat=P","Fill=—","Direction=H","UseDPDF=Y")</f>
        <v>#NAME?</v>
      </c>
      <c r="D59" s="3" t="e">
        <f ca="1">_xll.BDH("CAVA US Equity","EBITDA_MARGIN","FY 2022","FY 2022","Currency=USD","Period=FY","BEST_FPERIOD_OVERRIDE=FY","FILING_STATUS=MR","FA_ADJUSTED=GAAP","Sort=A","Dates=H","DateFormat=P","Fill=—","Direction=H","UseDPDF=Y")</f>
        <v>#NAME?</v>
      </c>
      <c r="E59" s="3" t="e">
        <f ca="1">_xll.BDH("CAVA US Equity","EBITDA_MARGIN","FY 2023","FY 2023","Currency=USD","Period=FY","BEST_FPERIOD_OVERRIDE=FY","FILING_STATUS=MR","FA_ADJUSTED=GAAP","Sort=A","Dates=H","DateFormat=P","Fill=—","Direction=H","UseDPDF=Y")</f>
        <v>#NAME?</v>
      </c>
      <c r="F59" s="2"/>
    </row>
    <row r="60" spans="1:6" x14ac:dyDescent="0.25">
      <c r="A60" s="4" t="s">
        <v>9</v>
      </c>
      <c r="B60" s="4" t="s">
        <v>8</v>
      </c>
      <c r="C60" s="6" t="e">
        <f ca="1">_xll.BDH("CAVA US Equity","CF_FREE_CASH_FLOW","FY 2021","FY 2021","Currency=USD","Period=FY","BEST_FPERIOD_OVERRIDE=FY","FILING_STATUS=MR","SCALING_FORMAT=MLN","Sort=A","Dates=H","DateFormat=P","Fill=—","Direction=H","UseDPDF=Y")</f>
        <v>#NAME?</v>
      </c>
      <c r="D60" s="6" t="e">
        <f ca="1">_xll.BDH("CAVA US Equity","CF_FREE_CASH_FLOW","FY 2022","FY 2022","Currency=USD","Period=FY","BEST_FPERIOD_OVERRIDE=FY","FILING_STATUS=MR","SCALING_FORMAT=MLN","Sort=A","Dates=H","DateFormat=P","Fill=—","Direction=H","UseDPDF=Y")</f>
        <v>#NAME?</v>
      </c>
      <c r="E60" s="6" t="e">
        <f ca="1">_xll.BDH("CAVA US Equity","CF_FREE_CASH_FLOW","FY 2023","FY 2023","Currency=USD","Period=FY","BEST_FPERIOD_OVERRIDE=FY","FILING_STATUS=MR","SCALING_FORMAT=MLN","Sort=A","Dates=H","DateFormat=P","Fill=—","Direction=H","UseDPDF=Y")</f>
        <v>#NAME?</v>
      </c>
      <c r="F60" s="5"/>
    </row>
    <row r="61" spans="1:6" x14ac:dyDescent="0.25">
      <c r="A61" s="4" t="s">
        <v>7</v>
      </c>
      <c r="B61" s="4" t="s">
        <v>6</v>
      </c>
      <c r="C61" s="6" t="e">
        <f ca="1">_xll.BDH("CAVA US Equity","FREE_CASH_FLOW_EQUITY","FY 2021","FY 2021","Currency=USD","Period=FY","BEST_FPERIOD_OVERRIDE=FY","FILING_STATUS=MR","SCALING_FORMAT=MLN","Sort=A","Dates=H","DateFormat=P","Fill=—","Direction=H","UseDPDF=Y")</f>
        <v>#NAME?</v>
      </c>
      <c r="D61" s="6" t="e">
        <f ca="1">_xll.BDH("CAVA US Equity","FREE_CASH_FLOW_EQUITY","FY 2022","FY 2022","Currency=USD","Period=FY","BEST_FPERIOD_OVERRIDE=FY","FILING_STATUS=MR","SCALING_FORMAT=MLN","Sort=A","Dates=H","DateFormat=P","Fill=—","Direction=H","UseDPDF=Y")</f>
        <v>#NAME?</v>
      </c>
      <c r="E61" s="6" t="e">
        <f ca="1">_xll.BDH("CAVA US Equity","FREE_CASH_FLOW_EQUITY","FY 2023","FY 2023","Currency=USD","Period=FY","BEST_FPERIOD_OVERRIDE=FY","FILING_STATUS=MR","SCALING_FORMAT=MLN","Sort=A","Dates=H","DateFormat=P","Fill=—","Direction=H","UseDPDF=Y")</f>
        <v>#NAME?</v>
      </c>
      <c r="F61" s="5">
        <v>-356.69099999999997</v>
      </c>
    </row>
    <row r="62" spans="1:6" x14ac:dyDescent="0.25">
      <c r="A62" s="4" t="s">
        <v>5</v>
      </c>
      <c r="B62" s="4" t="s">
        <v>4</v>
      </c>
      <c r="C62" s="3" t="e">
        <f ca="1">_xll.BDH("CAVA US Equity","FREE_CASH_FLOW_PER_SH","FY 2021","FY 2021","Currency=USD","Period=FY","BEST_FPERIOD_OVERRIDE=FY","FILING_STATUS=MR","Sort=A","Dates=H","DateFormat=P","Fill=—","Direction=H","UseDPDF=Y")</f>
        <v>#NAME?</v>
      </c>
      <c r="D62" s="3" t="e">
        <f ca="1">_xll.BDH("CAVA US Equity","FREE_CASH_FLOW_PER_SH","FY 2022","FY 2022","Currency=USD","Period=FY","BEST_FPERIOD_OVERRIDE=FY","FILING_STATUS=MR","Sort=A","Dates=H","DateFormat=P","Fill=—","Direction=H","UseDPDF=Y")</f>
        <v>#NAME?</v>
      </c>
      <c r="E62" s="3" t="e">
        <f ca="1">_xll.BDH("CAVA US Equity","FREE_CASH_FLOW_PER_SH","FY 2023","FY 2023","Currency=USD","Period=FY","BEST_FPERIOD_OVERRIDE=FY","FILING_STATUS=MR","Sort=A","Dates=H","DateFormat=P","Fill=—","Direction=H","UseDPDF=Y")</f>
        <v>#NAME?</v>
      </c>
      <c r="F62" s="2"/>
    </row>
    <row r="63" spans="1:6" x14ac:dyDescent="0.25">
      <c r="A63" s="4" t="s">
        <v>3</v>
      </c>
      <c r="B63" s="4" t="s">
        <v>2</v>
      </c>
      <c r="C63" s="3" t="e">
        <f ca="1">_xll.BDH("CAVA US Equity","CASH_FLOW_TO_NET_INC","FY 2021","FY 2021","Currency=USD","Period=FY","BEST_FPERIOD_OVERRIDE=FY","FILING_STATUS=MR","FA_ADJUSTED=GAAP","Sort=A","Dates=H","DateFormat=P","Fill=—","Direction=H","UseDPDF=Y")</f>
        <v>#NAME?</v>
      </c>
      <c r="D63" s="3" t="e">
        <f ca="1">_xll.BDH("CAVA US Equity","CASH_FLOW_TO_NET_INC","FY 2022","FY 2022","Currency=USD","Period=FY","BEST_FPERIOD_OVERRIDE=FY","FILING_STATUS=MR","FA_ADJUSTED=GAAP","Sort=A","Dates=H","DateFormat=P","Fill=—","Direction=H","UseDPDF=Y")</f>
        <v>#NAME?</v>
      </c>
      <c r="E63" s="3" t="e">
        <f ca="1">_xll.BDH("CAVA US Equity","CASH_FLOW_TO_NET_INC","FY 2023","FY 2023","Currency=USD","Period=FY","BEST_FPERIOD_OVERRIDE=FY","FILING_STATUS=MR","FA_ADJUSTED=GAAP","Sort=A","Dates=H","DateFormat=P","Fill=—","Direction=H","UseDPDF=Y")</f>
        <v>#NAME?</v>
      </c>
      <c r="F63" s="2">
        <v>11.7193753050268</v>
      </c>
    </row>
    <row r="64" spans="1:6" x14ac:dyDescent="0.25">
      <c r="A64" s="1" t="s">
        <v>1</v>
      </c>
      <c r="B64" s="1"/>
      <c r="C64" s="1" t="s">
        <v>0</v>
      </c>
      <c r="D64" s="1"/>
      <c r="E64" s="1"/>
      <c r="F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Watkins</dc:creator>
  <cp:lastModifiedBy>Danny Watkins</cp:lastModifiedBy>
  <dcterms:created xsi:type="dcterms:W3CDTF">2024-04-22T07:09:35Z</dcterms:created>
  <dcterms:modified xsi:type="dcterms:W3CDTF">2024-04-22T07:10:24Z</dcterms:modified>
</cp:coreProperties>
</file>