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17d9c0a80a0f48/Desktop/Finance Laboratory/.vscode/FinancialStatements/"/>
    </mc:Choice>
  </mc:AlternateContent>
  <xr:revisionPtr revIDLastSave="0" documentId="8_{18EA071A-0D0A-4DA6-B2A6-8FDC15008CED}" xr6:coauthVersionLast="47" xr6:coauthVersionMax="47" xr10:uidLastSave="{00000000-0000-0000-0000-000000000000}"/>
  <bookViews>
    <workbookView xWindow="3945" yWindow="705" windowWidth="32385" windowHeight="19125" xr2:uid="{22B02C71-8BE9-44B5-A278-C14AA87712BF}"/>
  </bookViews>
  <sheets>
    <sheet name="Income State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2" i="2"/>
  <c r="D42" i="2"/>
  <c r="E42" i="2"/>
  <c r="C43" i="2"/>
  <c r="D43" i="2"/>
  <c r="E43" i="2"/>
  <c r="C44" i="2"/>
  <c r="D44" i="2"/>
  <c r="E44" i="2"/>
  <c r="C46" i="2"/>
  <c r="D46" i="2"/>
  <c r="E46" i="2"/>
  <c r="C47" i="2"/>
  <c r="D47" i="2"/>
  <c r="E47" i="2"/>
  <c r="C48" i="2"/>
  <c r="D48" i="2"/>
  <c r="E48" i="2"/>
  <c r="C49" i="2"/>
  <c r="D49" i="2"/>
  <c r="E49" i="2"/>
  <c r="C51" i="2"/>
  <c r="D51" i="2"/>
  <c r="E51" i="2"/>
  <c r="C52" i="2"/>
  <c r="D52" i="2"/>
  <c r="E52" i="2"/>
  <c r="C53" i="2"/>
  <c r="D53" i="2"/>
  <c r="E53" i="2"/>
  <c r="C54" i="2"/>
  <c r="D54" i="2"/>
  <c r="E54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</calcChain>
</file>

<file path=xl/sharedStrings.xml><?xml version="1.0" encoding="utf-8"?>
<sst xmlns="http://schemas.openxmlformats.org/spreadsheetml/2006/main" count="137" uniqueCount="128">
  <si>
    <t>Right click to show data transparency (not supported for all values)</t>
  </si>
  <si>
    <t>Source: Bloomberg</t>
  </si>
  <si>
    <t>BS_CURR_RENTAL_EXPENSE</t>
  </si>
  <si>
    <t>Rental Expense</t>
  </si>
  <si>
    <t>IS_DEPR_EXP</t>
  </si>
  <si>
    <t>Depreciation Expense</t>
  </si>
  <si>
    <t>IS_TOT_CASH_COM_DVD</t>
  </si>
  <si>
    <t>Total Cash Common Dividends</t>
  </si>
  <si>
    <t>EQY_DPS</t>
  </si>
  <si>
    <t>Dividends per Share</t>
  </si>
  <si>
    <t>PROF_MARGIN</t>
  </si>
  <si>
    <t>Profit Margin</t>
  </si>
  <si>
    <t>OPER_MARGIN</t>
  </si>
  <si>
    <t>Operating Margin</t>
  </si>
  <si>
    <t>GROSS_MARGIN</t>
  </si>
  <si>
    <t>Gross Margin</t>
  </si>
  <si>
    <t>EBIT</t>
  </si>
  <si>
    <t>EBITA</t>
  </si>
  <si>
    <t>EBITDA_MARGIN</t>
  </si>
  <si>
    <t>EBITDA Margin (T12M)</t>
  </si>
  <si>
    <t>EBITDA</t>
  </si>
  <si>
    <t>US GAAP</t>
  </si>
  <si>
    <t>ACCOUNTING_STANDARD</t>
  </si>
  <si>
    <t>Accounting Standard</t>
  </si>
  <si>
    <t>Reference Items</t>
  </si>
  <si>
    <t>IS_DIL_EPS_CONT_OPS</t>
  </si>
  <si>
    <t>Diluted EPS from Cont Ops, Adjusted</t>
  </si>
  <si>
    <t>IS_DIL_EPS_BEF_XO</t>
  </si>
  <si>
    <t>Diluted EPS from Cont Ops, GAAP</t>
  </si>
  <si>
    <t>IS_DILUTED_EPS</t>
  </si>
  <si>
    <t>Diluted EPS, GAAP</t>
  </si>
  <si>
    <t>IS_SH_FOR_DILUTED_EPS</t>
  </si>
  <si>
    <t>Diluted Weighted Avg Shares</t>
  </si>
  <si>
    <t>IS_BASIC_EPS_CONT_OPS</t>
  </si>
  <si>
    <t>Basic EPS from Cont Ops, Adjusted</t>
  </si>
  <si>
    <t>IS_EARN_BEF_XO_ITEMS_PER_SH</t>
  </si>
  <si>
    <t>Basic EPS from Cont Ops, GAAP</t>
  </si>
  <si>
    <t>IS_EPS</t>
  </si>
  <si>
    <t>Basic EPS, GAAP</t>
  </si>
  <si>
    <t>IS_AVG_NUM_SH_FOR_EPS</t>
  </si>
  <si>
    <t>Basic Weighted Avg Shares</t>
  </si>
  <si>
    <t>XO_GL_NET_OF_TAX</t>
  </si>
  <si>
    <t xml:space="preserve">  Net Extraordinary Losses (Gains)</t>
  </si>
  <si>
    <t>IS_NET_ABNORMAL_ITEMS</t>
  </si>
  <si>
    <t xml:space="preserve">  Net Abnormal Losses (Gains)</t>
  </si>
  <si>
    <t>EARN_FOR_COMMON</t>
  </si>
  <si>
    <t>Net Income Avail to Common, Adj</t>
  </si>
  <si>
    <t>Net Income Avail to Common, GAAP</t>
  </si>
  <si>
    <t>OTHER_ADJUSTMENTS</t>
  </si>
  <si>
    <t xml:space="preserve">  - Other Adjustments</t>
  </si>
  <si>
    <t>IS_TOT_CASH_PFD_DVD</t>
  </si>
  <si>
    <t xml:space="preserve">  - Preferred Dividends</t>
  </si>
  <si>
    <t>NET_INCOME</t>
  </si>
  <si>
    <t>Net Income, GAAP</t>
  </si>
  <si>
    <t>MIN_NONCONTROL_INTEREST_CREDITS</t>
  </si>
  <si>
    <t xml:space="preserve">  - Minority Interest</t>
  </si>
  <si>
    <t>NI_INCLUDING_MINORITY_INT_RATIO</t>
  </si>
  <si>
    <t>Income (Loss) Incl. MI</t>
  </si>
  <si>
    <t>EXTRAORD_ITEMS_ACCOUNTING_CHANGS</t>
  </si>
  <si>
    <t xml:space="preserve">    + XO &amp; Accounting Changes</t>
  </si>
  <si>
    <t>IS_DISCONTINUED_OPERATIONS</t>
  </si>
  <si>
    <t xml:space="preserve">    + Discontinued Operations</t>
  </si>
  <si>
    <t xml:space="preserve">  - Net Extraordinary Losses (Gains)</t>
  </si>
  <si>
    <t>IS_INC_BEF_XO_ITEM</t>
  </si>
  <si>
    <t>Income (Loss) from Cont Ops</t>
  </si>
  <si>
    <t>IS_INC_TAX_EXP</t>
  </si>
  <si>
    <t xml:space="preserve">  - Income Tax Expense (Benefit)</t>
  </si>
  <si>
    <t>PRETAX_INC</t>
  </si>
  <si>
    <t>Pretax Income (Loss), GAAP</t>
  </si>
  <si>
    <t>IS_OTHER_ONE_TIME_ITEMS</t>
  </si>
  <si>
    <t xml:space="preserve">    + Other Abnormal Items</t>
  </si>
  <si>
    <t>IS_RESTRUCTURING_EXPENSES</t>
  </si>
  <si>
    <t xml:space="preserve">    + Restructuring</t>
  </si>
  <si>
    <t>IS_IMPAIRMENT_ASSETS</t>
  </si>
  <si>
    <t xml:space="preserve">    + Asset Write-Down</t>
  </si>
  <si>
    <t>IS_ABNORMAL_ITEM</t>
  </si>
  <si>
    <t xml:space="preserve">  - Abnormal Losses (Gains)</t>
  </si>
  <si>
    <t>Pretax Income (Loss), Adjusted</t>
  </si>
  <si>
    <t>IS_OTHER_NON_OPERATING_INC_LOSS</t>
  </si>
  <si>
    <t xml:space="preserve">    + Other Non-Op (Income) Loss</t>
  </si>
  <si>
    <t>IS_FOREIGN_EXCH_LOSS</t>
  </si>
  <si>
    <t xml:space="preserve">    + Foreign Exch (Gain) Loss</t>
  </si>
  <si>
    <t>IS_NET_INTEREST_EXPENSE</t>
  </si>
  <si>
    <t xml:space="preserve">    + Interest Expense, Net</t>
  </si>
  <si>
    <t>IS_NONOP_INCOME_LOSS</t>
  </si>
  <si>
    <t xml:space="preserve">  - Non-Operating (Income) Loss</t>
  </si>
  <si>
    <t>IS_OPER_INC</t>
  </si>
  <si>
    <t>Operating Income (Loss)</t>
  </si>
  <si>
    <t>IS_OTHER_OPERATING_EXPENSES</t>
  </si>
  <si>
    <t xml:space="preserve">    + Other Operating Expense</t>
  </si>
  <si>
    <t>IS_DEPRECIATION_AND_AMORTIZATION</t>
  </si>
  <si>
    <t xml:space="preserve">    + Depreciation &amp; Amortization</t>
  </si>
  <si>
    <t>IS_OPERATING_EXPENSES_RD</t>
  </si>
  <si>
    <t xml:space="preserve">    + Research &amp; Development</t>
  </si>
  <si>
    <t>IS_GENERAL_AND_ADMINISTRATIVE</t>
  </si>
  <si>
    <t xml:space="preserve">    + General &amp; Administrative</t>
  </si>
  <si>
    <t>IS_SGA_EXPENSE</t>
  </si>
  <si>
    <t xml:space="preserve">    + Selling, General &amp; Admin</t>
  </si>
  <si>
    <t>IS_OPERATING_EXPN</t>
  </si>
  <si>
    <t xml:space="preserve">  - Operating Expenses</t>
  </si>
  <si>
    <t>IS_OTHER_OPER_INC</t>
  </si>
  <si>
    <t xml:space="preserve">  + Other Operating Income</t>
  </si>
  <si>
    <t>GROSS_PROFIT</t>
  </si>
  <si>
    <t>Gross Profit</t>
  </si>
  <si>
    <t>IS_COG_AND_SERVICES_SOLD</t>
  </si>
  <si>
    <t xml:space="preserve">    + Cost of Goods &amp; Services</t>
  </si>
  <si>
    <t>IS_COGS_TO_FE_AND_PP_AND_G</t>
  </si>
  <si>
    <t xml:space="preserve">  - Cost of Revenue</t>
  </si>
  <si>
    <t>IS_OTHER_REVENUE</t>
  </si>
  <si>
    <t xml:space="preserve">    + Other Revenue</t>
  </si>
  <si>
    <t>IS_SALES_AND_SERVICES_REVENUES</t>
  </si>
  <si>
    <t xml:space="preserve">    + Sales &amp; Services Revenue</t>
  </si>
  <si>
    <t>SALES_REV_TURN</t>
  </si>
  <si>
    <t>Revenue</t>
  </si>
  <si>
    <t>12/31/2025</t>
  </si>
  <si>
    <t>12/31/2024</t>
  </si>
  <si>
    <t>12/31/2023</t>
  </si>
  <si>
    <t>12/25/2022</t>
  </si>
  <si>
    <t>12/26/2021</t>
  </si>
  <si>
    <t>12 Months Ending</t>
  </si>
  <si>
    <t>FY 2025 Est</t>
  </si>
  <si>
    <t>FY 2024 Est</t>
  </si>
  <si>
    <t>Last 12M</t>
  </si>
  <si>
    <t>FY 2023</t>
  </si>
  <si>
    <t>FY 2022</t>
  </si>
  <si>
    <t>FY 2021</t>
  </si>
  <si>
    <t>In Millions of USD except Per Share</t>
  </si>
  <si>
    <t>Cava Group Inc (CAVA US) - BBG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</si>
</sst>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Aptos Narrow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i/>
      <sz val="10"/>
      <color indexed="63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6"/>
      <color indexed="9"/>
      <name val="Arial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2" borderId="1" applyNumberFormat="0" applyAlignment="0" applyProtection="0"/>
    <xf numFmtId="164" fontId="2" fillId="3" borderId="2">
      <alignment horizontal="right"/>
    </xf>
    <xf numFmtId="164" fontId="2" fillId="4" borderId="2">
      <alignment horizontal="right"/>
    </xf>
    <xf numFmtId="0" fontId="3" fillId="3" borderId="3"/>
    <xf numFmtId="4" fontId="2" fillId="3" borderId="2">
      <alignment horizontal="right"/>
    </xf>
    <xf numFmtId="4" fontId="2" fillId="4" borderId="2">
      <alignment horizontal="right"/>
    </xf>
    <xf numFmtId="3" fontId="2" fillId="3" borderId="2">
      <alignment horizontal="right"/>
    </xf>
    <xf numFmtId="3" fontId="2" fillId="4" borderId="2">
      <alignment horizontal="right"/>
    </xf>
    <xf numFmtId="3" fontId="4" fillId="3" borderId="2">
      <alignment horizontal="right"/>
    </xf>
    <xf numFmtId="3" fontId="4" fillId="4" borderId="2">
      <alignment horizontal="right"/>
    </xf>
    <xf numFmtId="0" fontId="4" fillId="3" borderId="3"/>
    <xf numFmtId="4" fontId="4" fillId="3" borderId="2">
      <alignment horizontal="right"/>
    </xf>
    <xf numFmtId="4" fontId="4" fillId="4" borderId="2">
      <alignment horizontal="right"/>
    </xf>
    <xf numFmtId="164" fontId="4" fillId="3" borderId="2">
      <alignment horizontal="right"/>
    </xf>
    <xf numFmtId="164" fontId="4" fillId="4" borderId="2">
      <alignment horizontal="right"/>
    </xf>
    <xf numFmtId="164" fontId="1" fillId="3" borderId="2">
      <alignment horizontal="right"/>
    </xf>
    <xf numFmtId="164" fontId="1" fillId="4" borderId="2">
      <alignment horizontal="right"/>
    </xf>
    <xf numFmtId="0" fontId="5" fillId="3" borderId="3"/>
    <xf numFmtId="0" fontId="6" fillId="5" borderId="4">
      <alignment horizontal="right"/>
    </xf>
    <xf numFmtId="0" fontId="6" fillId="5" borderId="4">
      <alignment horizontal="left"/>
    </xf>
    <xf numFmtId="0" fontId="6" fillId="5" borderId="5">
      <alignment horizontal="right"/>
    </xf>
    <xf numFmtId="0" fontId="6" fillId="5" borderId="5">
      <alignment horizontal="left"/>
    </xf>
    <xf numFmtId="0" fontId="7" fillId="3" borderId="0" applyNumberFormat="0" applyBorder="0" applyProtection="0">
      <alignment horizontal="center"/>
    </xf>
    <xf numFmtId="0" fontId="8" fillId="5" borderId="6" applyNumberFormat="0" applyProtection="0">
      <alignment horizontal="left" vertical="center" readingOrder="1"/>
    </xf>
    <xf numFmtId="0" fontId="9" fillId="5" borderId="0"/>
  </cellStyleXfs>
  <cellXfs count="26">
    <xf numFmtId="0" fontId="0" fillId="0" borderId="0" xfId="0"/>
    <xf numFmtId="0" fontId="1" fillId="2" borderId="1" xfId="1"/>
    <xf numFmtId="164" fontId="2" fillId="3" borderId="2" xfId="2">
      <alignment horizontal="right"/>
    </xf>
    <xf numFmtId="164" fontId="2" fillId="4" borderId="2" xfId="3">
      <alignment horizontal="right"/>
    </xf>
    <xf numFmtId="0" fontId="3" fillId="3" borderId="3" xfId="4"/>
    <xf numFmtId="4" fontId="2" fillId="3" borderId="2" xfId="5">
      <alignment horizontal="right"/>
    </xf>
    <xf numFmtId="4" fontId="2" fillId="4" borderId="2" xfId="6">
      <alignment horizontal="right"/>
    </xf>
    <xf numFmtId="3" fontId="2" fillId="3" borderId="2" xfId="7">
      <alignment horizontal="right"/>
    </xf>
    <xf numFmtId="3" fontId="2" fillId="4" borderId="2" xfId="8">
      <alignment horizontal="right"/>
    </xf>
    <xf numFmtId="3" fontId="4" fillId="3" borderId="2" xfId="9">
      <alignment horizontal="right"/>
    </xf>
    <xf numFmtId="3" fontId="4" fillId="4" borderId="2" xfId="10">
      <alignment horizontal="right"/>
    </xf>
    <xf numFmtId="0" fontId="4" fillId="3" borderId="3" xfId="11"/>
    <xf numFmtId="4" fontId="4" fillId="3" borderId="2" xfId="12">
      <alignment horizontal="right"/>
    </xf>
    <xf numFmtId="4" fontId="4" fillId="4" borderId="2" xfId="13">
      <alignment horizontal="right"/>
    </xf>
    <xf numFmtId="164" fontId="4" fillId="3" borderId="2" xfId="14">
      <alignment horizontal="right"/>
    </xf>
    <xf numFmtId="164" fontId="4" fillId="4" borderId="2" xfId="15">
      <alignment horizontal="right"/>
    </xf>
    <xf numFmtId="164" fontId="1" fillId="3" borderId="2" xfId="16">
      <alignment horizontal="right"/>
    </xf>
    <xf numFmtId="164" fontId="1" fillId="4" borderId="2" xfId="17">
      <alignment horizontal="right"/>
    </xf>
    <xf numFmtId="0" fontId="5" fillId="3" borderId="3" xfId="18"/>
    <xf numFmtId="0" fontId="6" fillId="5" borderId="4" xfId="19">
      <alignment horizontal="right"/>
    </xf>
    <xf numFmtId="0" fontId="6" fillId="5" borderId="4" xfId="20">
      <alignment horizontal="left"/>
    </xf>
    <xf numFmtId="0" fontId="6" fillId="5" borderId="5" xfId="21">
      <alignment horizontal="right"/>
    </xf>
    <xf numFmtId="0" fontId="6" fillId="5" borderId="5" xfId="22">
      <alignment horizontal="left"/>
    </xf>
    <xf numFmtId="0" fontId="7" fillId="3" borderId="0" xfId="23">
      <alignment horizontal="center"/>
    </xf>
    <xf numFmtId="0" fontId="8" fillId="5" borderId="6" xfId="24">
      <alignment horizontal="left" vertical="center" readingOrder="1"/>
    </xf>
    <xf numFmtId="0" fontId="9" fillId="5" borderId="0" xfId="25"/>
  </cellXfs>
  <cellStyles count="26">
    <cellStyle name="blp_column_header" xfId="25" xr:uid="{37CADEDA-7D35-4376-8BBC-2F2070FE7CDB}"/>
    <cellStyle name="blp_title_header_row_left" xfId="24" xr:uid="{B7BE427D-0445-49A3-8178-57FDAAFC5583}"/>
    <cellStyle name="fa_column_header_bottom 2" xfId="19" xr:uid="{FF3B73E4-5FB0-4C4F-8498-7CA44BA3BEC5}"/>
    <cellStyle name="fa_column_header_bottom_left 2" xfId="20" xr:uid="{DB175698-A787-43B7-8A8F-033401C13566}"/>
    <cellStyle name="fa_column_header_empty" xfId="23" xr:uid="{AA696BA8-3475-4565-9256-032A4E7F57BF}"/>
    <cellStyle name="fa_column_header_top 2" xfId="21" xr:uid="{45801224-73CE-43E7-9900-24B5E1784667}"/>
    <cellStyle name="fa_column_header_top_left 2" xfId="22" xr:uid="{779611DD-3916-401E-952A-86FC49E1FB2B}"/>
    <cellStyle name="fa_data_bold_0_grouped" xfId="9" xr:uid="{DD968873-EC9B-482E-8A3C-64B2029E2550}"/>
    <cellStyle name="fa_data_bold_1_grouped" xfId="14" xr:uid="{CC7BB42B-E021-4516-8578-46A109747938}"/>
    <cellStyle name="fa_data_bold_2_grouped" xfId="12" xr:uid="{C682A41B-2F8E-4451-9511-AE3E797CE76B}"/>
    <cellStyle name="fa_data_current_bold_0_grouped" xfId="10" xr:uid="{00569380-93EA-41A7-8A0B-CF907636F18A}"/>
    <cellStyle name="fa_data_current_bold_1_grouped" xfId="15" xr:uid="{69B3E447-6494-4A81-9EED-9D6F5DE427E2}"/>
    <cellStyle name="fa_data_current_bold_2_grouped" xfId="13" xr:uid="{84E0A793-F7A7-43A8-B43B-402C4EEEF692}"/>
    <cellStyle name="fa_data_current_italic_1_grouped" xfId="17" xr:uid="{5B02BAD3-2B80-4F8F-BC1C-5A632BEA6FD8}"/>
    <cellStyle name="fa_data_current_standard_0_grouped" xfId="8" xr:uid="{4B1C3BF4-AB6B-4D6C-AA1C-8C9C76068A8E}"/>
    <cellStyle name="fa_data_current_standard_1_grouped" xfId="3" xr:uid="{1292CABA-C97C-45B9-A1A8-D76661390986}"/>
    <cellStyle name="fa_data_current_standard_2_grouped" xfId="6" xr:uid="{520EB791-B004-424D-A8E8-B3F41D1B7AA8}"/>
    <cellStyle name="fa_data_italic_1_grouped" xfId="16" xr:uid="{A16F50D8-CF27-4EE1-B961-F607A746BFB4}"/>
    <cellStyle name="fa_data_standard_0_grouped" xfId="7" xr:uid="{AF5409C4-E231-4D49-8F48-DA3B07831F75}"/>
    <cellStyle name="fa_data_standard_1_grouped" xfId="2" xr:uid="{954F51C4-06C2-4C90-9111-B4FD9DE68F1D}"/>
    <cellStyle name="fa_data_standard_2_grouped" xfId="5" xr:uid="{5C95719F-B919-4AC7-9494-E0263273DAF9}"/>
    <cellStyle name="fa_footer_italic" xfId="1" xr:uid="{175F9D92-1F91-478C-9330-F04804BC285C}"/>
    <cellStyle name="fa_row_header_bold 2" xfId="11" xr:uid="{3A7B3692-B4DE-4F88-810C-7C66E259B544}"/>
    <cellStyle name="fa_row_header_italic 2" xfId="18" xr:uid="{E1F86340-BACC-42D6-B80F-A2E5D730F0BB}"/>
    <cellStyle name="fa_row_header_standard 2" xfId="4" xr:uid="{83946273-DE50-456B-B9A0-028935F9B6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22CB-2806-4EC9-8DC3-B71CC2161AEA}">
  <dimension ref="A1:H69"/>
  <sheetViews>
    <sheetView tabSelected="1" workbookViewId="0">
      <selection activeCell="C39" sqref="C39"/>
    </sheetView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25"/>
      <c r="B1" s="25"/>
      <c r="C1" s="25"/>
      <c r="D1" s="25"/>
      <c r="E1" s="25"/>
      <c r="F1" s="25"/>
      <c r="G1" s="25"/>
      <c r="H1" s="25"/>
    </row>
    <row r="2" spans="1:8" ht="20.25" x14ac:dyDescent="0.25">
      <c r="A2" s="24" t="s">
        <v>127</v>
      </c>
      <c r="B2" s="24"/>
      <c r="C2" s="24"/>
      <c r="D2" s="24"/>
      <c r="E2" s="24"/>
      <c r="F2" s="24"/>
      <c r="G2" s="24"/>
      <c r="H2" s="24"/>
    </row>
    <row r="3" spans="1:8" x14ac:dyDescent="0.25">
      <c r="A3" s="23"/>
      <c r="B3" s="23"/>
      <c r="C3" s="23"/>
      <c r="D3" s="23"/>
      <c r="E3" s="23"/>
      <c r="F3" s="23"/>
      <c r="G3" s="23"/>
      <c r="H3" s="23"/>
    </row>
    <row r="4" spans="1:8" x14ac:dyDescent="0.25">
      <c r="A4" s="22" t="s">
        <v>126</v>
      </c>
      <c r="B4" s="22"/>
      <c r="C4" s="21" t="s">
        <v>125</v>
      </c>
      <c r="D4" s="21" t="s">
        <v>124</v>
      </c>
      <c r="E4" s="21" t="s">
        <v>123</v>
      </c>
      <c r="F4" s="21" t="s">
        <v>122</v>
      </c>
      <c r="G4" s="21" t="s">
        <v>121</v>
      </c>
      <c r="H4" s="21" t="s">
        <v>120</v>
      </c>
    </row>
    <row r="5" spans="1:8" x14ac:dyDescent="0.25">
      <c r="A5" s="20" t="s">
        <v>119</v>
      </c>
      <c r="B5" s="20"/>
      <c r="C5" s="19" t="s">
        <v>118</v>
      </c>
      <c r="D5" s="19" t="s">
        <v>117</v>
      </c>
      <c r="E5" s="19" t="s">
        <v>116</v>
      </c>
      <c r="F5" s="19" t="s">
        <v>116</v>
      </c>
      <c r="G5" s="19" t="s">
        <v>115</v>
      </c>
      <c r="H5" s="19" t="s">
        <v>114</v>
      </c>
    </row>
    <row r="6" spans="1:8" x14ac:dyDescent="0.25">
      <c r="A6" s="11" t="s">
        <v>113</v>
      </c>
      <c r="B6" s="11" t="s">
        <v>112</v>
      </c>
      <c r="C6" s="14" t="e">
        <f ca="1">_xll.BDH("CAVA US Equity","SALES_REV_TURN","FY 2021","FY 2021","Currency=USD","Period=FY","BEST_FPERIOD_OVERRIDE=FY","FILING_STATUS=MR","SCALING_FORMAT=MLN","FA_ADJUSTED=Adjusted","Sort=A","Dates=H","DateFormat=P","Fill=—","Direction=H","UseDPDF=Y")</f>
        <v>#NAME?</v>
      </c>
      <c r="D6" s="14" t="e">
        <f ca="1">_xll.BDH("CAVA US Equity","SALES_REV_TURN","FY 2022","FY 2022","Currency=USD","Period=FY","BEST_FPERIOD_OVERRIDE=FY","FILING_STATUS=MR","SCALING_FORMAT=MLN","FA_ADJUSTED=Adjusted","Sort=A","Dates=H","DateFormat=P","Fill=—","Direction=H","UseDPDF=Y")</f>
        <v>#NAME?</v>
      </c>
      <c r="E6" s="14" t="e">
        <f ca="1">_xll.BDH("CAVA US Equity","SALES_REV_TURN","FY 2023","FY 2023","Currency=USD","Period=FY","BEST_FPERIOD_OVERRIDE=FY","FILING_STATUS=MR","SCALING_FORMAT=MLN","FA_ADJUSTED=Adjusted","Sort=A","Dates=H","DateFormat=P","Fill=—","Direction=H","UseDPDF=Y")</f>
        <v>#NAME?</v>
      </c>
      <c r="F6" s="15"/>
      <c r="G6" s="14">
        <v>873.53800000000001</v>
      </c>
      <c r="H6" s="14">
        <v>1038.846</v>
      </c>
    </row>
    <row r="7" spans="1:8" x14ac:dyDescent="0.25">
      <c r="A7" s="4" t="s">
        <v>111</v>
      </c>
      <c r="B7" s="4" t="s">
        <v>110</v>
      </c>
      <c r="C7" s="2" t="e">
        <f ca="1">_xll.BDH("CAVA US Equity","IS_SALES_AND_SERVICES_REVENUES","FY 2021","FY 2021","Currency=USD","Period=FY","BEST_FPERIOD_OVERRIDE=FY","FILING_STATUS=MR","SCALING_FORMAT=MLN","FA_ADJUSTED=Adjusted","Sort=A","Dates=H","DateFormat=P","Fill=—","Direction=H","UseDPDF=Y")</f>
        <v>#NAME?</v>
      </c>
      <c r="D7" s="2" t="e">
        <f ca="1">_xll.BDH("CAVA US Equity","IS_SALES_AND_SERVICES_REVENUES","FY 2022","FY 2022","Currency=USD","Period=FY","BEST_FPERIOD_OVERRIDE=FY","FILING_STATUS=MR","SCALING_FORMAT=MLN","FA_ADJUSTED=Adjusted","Sort=A","Dates=H","DateFormat=P","Fill=—","Direction=H","UseDPDF=Y")</f>
        <v>#NAME?</v>
      </c>
      <c r="E7" s="2" t="e">
        <f ca="1">_xll.BDH("CAVA US Equity","IS_SALES_AND_SERVICES_REVENUES","FY 2023","FY 2023","Currency=USD","Period=FY","BEST_FPERIOD_OVERRIDE=FY","FILING_STATUS=MR","SCALING_FORMAT=MLN","FA_ADJUSTED=Adjusted","Sort=A","Dates=H","DateFormat=P","Fill=—","Direction=H","UseDPDF=Y")</f>
        <v>#NAME?</v>
      </c>
      <c r="F7" s="3">
        <v>520.29899999999998</v>
      </c>
      <c r="G7" s="2"/>
      <c r="H7" s="2"/>
    </row>
    <row r="8" spans="1:8" x14ac:dyDescent="0.25">
      <c r="A8" s="4" t="s">
        <v>109</v>
      </c>
      <c r="B8" s="4" t="s">
        <v>108</v>
      </c>
      <c r="C8" s="2" t="e">
        <f ca="1">_xll.BDH("CAVA US Equity","IS_OTHER_REVENUE","FY 2021","FY 2021","Currency=USD","Period=FY","BEST_FPERIOD_OVERRIDE=FY","FILING_STATUS=MR","SCALING_FORMAT=MLN","FA_ADJUSTED=Adjusted","Sort=A","Dates=H","DateFormat=P","Fill=—","Direction=H","UseDPDF=Y")</f>
        <v>#NAME?</v>
      </c>
      <c r="D8" s="2" t="e">
        <f ca="1">_xll.BDH("CAVA US Equity","IS_OTHER_REVENUE","FY 2022","FY 2022","Currency=USD","Period=FY","BEST_FPERIOD_OVERRIDE=FY","FILING_STATUS=MR","SCALING_FORMAT=MLN","FA_ADJUSTED=Adjusted","Sort=A","Dates=H","DateFormat=P","Fill=—","Direction=H","UseDPDF=Y")</f>
        <v>#NAME?</v>
      </c>
      <c r="E8" s="2" t="e">
        <f ca="1">_xll.BDH("CAVA US Equity","IS_OTHER_REVENUE","FY 2023","FY 2023","Currency=USD","Period=FY","BEST_FPERIOD_OVERRIDE=FY","FILING_STATUS=MR","SCALING_FORMAT=MLN","FA_ADJUSTED=Adjusted","Sort=A","Dates=H","DateFormat=P","Fill=—","Direction=H","UseDPDF=Y")</f>
        <v>#NAME?</v>
      </c>
      <c r="F8" s="3">
        <v>5.3179999999999996</v>
      </c>
      <c r="G8" s="2"/>
      <c r="H8" s="2"/>
    </row>
    <row r="9" spans="1:8" x14ac:dyDescent="0.25">
      <c r="A9" s="4" t="s">
        <v>107</v>
      </c>
      <c r="B9" s="4" t="s">
        <v>106</v>
      </c>
      <c r="C9" s="2" t="e">
        <f ca="1">_xll.BDH("CAVA US Equity","IS_COGS_TO_FE_AND_PP_AND_G","FY 2021","FY 2021","Currency=USD","Period=FY","BEST_FPERIOD_OVERRIDE=FY","FILING_STATUS=MR","SCALING_FORMAT=MLN","FA_ADJUSTED=Adjusted","Sort=A","Dates=H","DateFormat=P","Fill=—","Direction=H","UseDPDF=Y")</f>
        <v>#NAME?</v>
      </c>
      <c r="D9" s="2" t="e">
        <f ca="1">_xll.BDH("CAVA US Equity","IS_COGS_TO_FE_AND_PP_AND_G","FY 2022","FY 2022","Currency=USD","Period=FY","BEST_FPERIOD_OVERRIDE=FY","FILING_STATUS=MR","SCALING_FORMAT=MLN","FA_ADJUSTED=Adjusted","Sort=A","Dates=H","DateFormat=P","Fill=—","Direction=H","UseDPDF=Y")</f>
        <v>#NAME?</v>
      </c>
      <c r="E9" s="2" t="e">
        <f ca="1">_xll.BDH("CAVA US Equity","IS_COGS_TO_FE_AND_PP_AND_G","FY 2023","FY 2023","Currency=USD","Period=FY","BEST_FPERIOD_OVERRIDE=FY","FILING_STATUS=MR","SCALING_FORMAT=MLN","FA_ADJUSTED=Adjusted","Sort=A","Dates=H","DateFormat=P","Fill=—","Direction=H","UseDPDF=Y")</f>
        <v>#NAME?</v>
      </c>
      <c r="F9" s="3"/>
      <c r="G9" s="2"/>
      <c r="H9" s="2"/>
    </row>
    <row r="10" spans="1:8" x14ac:dyDescent="0.25">
      <c r="A10" s="4" t="s">
        <v>105</v>
      </c>
      <c r="B10" s="4" t="s">
        <v>104</v>
      </c>
      <c r="C10" s="2" t="e">
        <f ca="1">_xll.BDH("CAVA US Equity","IS_COG_AND_SERVICES_SOLD","FY 2021","FY 2021","Currency=USD","Period=FY","BEST_FPERIOD_OVERRIDE=FY","FILING_STATUS=MR","SCALING_FORMAT=MLN","FA_ADJUSTED=Adjusted","Sort=A","Dates=H","DateFormat=P","Fill=—","Direction=H","UseDPDF=Y")</f>
        <v>#NAME?</v>
      </c>
      <c r="D10" s="2" t="e">
        <f ca="1">_xll.BDH("CAVA US Equity","IS_COG_AND_SERVICES_SOLD","FY 2022","FY 2022","Currency=USD","Period=FY","BEST_FPERIOD_OVERRIDE=FY","FILING_STATUS=MR","SCALING_FORMAT=MLN","FA_ADJUSTED=Adjusted","Sort=A","Dates=H","DateFormat=P","Fill=—","Direction=H","UseDPDF=Y")</f>
        <v>#NAME?</v>
      </c>
      <c r="E10" s="2" t="e">
        <f ca="1">_xll.BDH("CAVA US Equity","IS_COG_AND_SERVICES_SOLD","FY 2023","FY 2023","Currency=USD","Period=FY","BEST_FPERIOD_OVERRIDE=FY","FILING_STATUS=MR","SCALING_FORMAT=MLN","FA_ADJUSTED=Adjusted","Sort=A","Dates=H","DateFormat=P","Fill=—","Direction=H","UseDPDF=Y")</f>
        <v>#NAME?</v>
      </c>
      <c r="F10" s="3">
        <v>395.83499999999998</v>
      </c>
      <c r="G10" s="2"/>
      <c r="H10" s="2"/>
    </row>
    <row r="11" spans="1:8" x14ac:dyDescent="0.25">
      <c r="A11" s="11" t="s">
        <v>103</v>
      </c>
      <c r="B11" s="11" t="s">
        <v>102</v>
      </c>
      <c r="C11" s="14" t="e">
        <f ca="1">_xll.BDH("CAVA US Equity","GROSS_PROFIT","FY 2021","FY 2021","Currency=USD","Period=FY","BEST_FPERIOD_OVERRIDE=FY","FILING_STATUS=MR","SCALING_FORMAT=MLN","FA_ADJUSTED=Adjusted","Sort=A","Dates=H","DateFormat=P","Fill=—","Direction=H","UseDPDF=Y")</f>
        <v>#NAME?</v>
      </c>
      <c r="D11" s="14" t="e">
        <f ca="1">_xll.BDH("CAVA US Equity","GROSS_PROFIT","FY 2022","FY 2022","Currency=USD","Period=FY","BEST_FPERIOD_OVERRIDE=FY","FILING_STATUS=MR","SCALING_FORMAT=MLN","FA_ADJUSTED=Adjusted","Sort=A","Dates=H","DateFormat=P","Fill=—","Direction=H","UseDPDF=Y")</f>
        <v>#NAME?</v>
      </c>
      <c r="E11" s="14" t="e">
        <f ca="1">_xll.BDH("CAVA US Equity","GROSS_PROFIT","FY 2023","FY 2023","Currency=USD","Period=FY","BEST_FPERIOD_OVERRIDE=FY","FILING_STATUS=MR","SCALING_FORMAT=MLN","FA_ADJUSTED=Adjusted","Sort=A","Dates=H","DateFormat=P","Fill=—","Direction=H","UseDPDF=Y")</f>
        <v>#NAME?</v>
      </c>
      <c r="F11" s="15"/>
      <c r="G11" s="14">
        <v>374.74780199999998</v>
      </c>
      <c r="H11" s="14">
        <v>155.82689999999999</v>
      </c>
    </row>
    <row r="12" spans="1:8" x14ac:dyDescent="0.25">
      <c r="A12" s="4" t="s">
        <v>101</v>
      </c>
      <c r="B12" s="4" t="s">
        <v>100</v>
      </c>
      <c r="C12" s="2" t="e">
        <f ca="1">_xll.BDH("CAVA US Equity","IS_OTHER_OPER_INC","FY 2021","FY 2021","Currency=USD","Period=FY","BEST_FPERIOD_OVERRIDE=FY","FILING_STATUS=MR","SCALING_FORMAT=MLN","FA_ADJUSTED=Adjusted","Sort=A","Dates=H","DateFormat=P","Fill=—","Direction=H","UseDPDF=Y")</f>
        <v>#NAME?</v>
      </c>
      <c r="D12" s="2" t="e">
        <f ca="1">_xll.BDH("CAVA US Equity","IS_OTHER_OPER_INC","FY 2022","FY 2022","Currency=USD","Period=FY","BEST_FPERIOD_OVERRIDE=FY","FILING_STATUS=MR","SCALING_FORMAT=MLN","FA_ADJUSTED=Adjusted","Sort=A","Dates=H","DateFormat=P","Fill=—","Direction=H","UseDPDF=Y")</f>
        <v>#NAME?</v>
      </c>
      <c r="E12" s="2" t="e">
        <f ca="1">_xll.BDH("CAVA US Equity","IS_OTHER_OPER_INC","FY 2023","FY 2023","Currency=USD","Period=FY","BEST_FPERIOD_OVERRIDE=FY","FILING_STATUS=MR","SCALING_FORMAT=MLN","FA_ADJUSTED=Adjusted","Sort=A","Dates=H","DateFormat=P","Fill=—","Direction=H","UseDPDF=Y")</f>
        <v>#NAME?</v>
      </c>
      <c r="F12" s="3">
        <v>0</v>
      </c>
      <c r="G12" s="2"/>
      <c r="H12" s="2"/>
    </row>
    <row r="13" spans="1:8" x14ac:dyDescent="0.25">
      <c r="A13" s="4" t="s">
        <v>99</v>
      </c>
      <c r="B13" s="4" t="s">
        <v>98</v>
      </c>
      <c r="C13" s="2" t="e">
        <f ca="1">_xll.BDH("CAVA US Equity","IS_OPERATING_EXPN","FY 2021","FY 2021","Currency=USD","Period=FY","BEST_FPERIOD_OVERRIDE=FY","FILING_STATUS=MR","SCALING_FORMAT=MLN","FA_ADJUSTED=Adjusted","Sort=A","Dates=H","DateFormat=P","Fill=—","Direction=H","UseDPDF=Y")</f>
        <v>#NAME?</v>
      </c>
      <c r="D13" s="2" t="e">
        <f ca="1">_xll.BDH("CAVA US Equity","IS_OPERATING_EXPN","FY 2022","FY 2022","Currency=USD","Period=FY","BEST_FPERIOD_OVERRIDE=FY","FILING_STATUS=MR","SCALING_FORMAT=MLN","FA_ADJUSTED=Adjusted","Sort=A","Dates=H","DateFormat=P","Fill=—","Direction=H","UseDPDF=Y")</f>
        <v>#NAME?</v>
      </c>
      <c r="E13" s="2" t="e">
        <f ca="1">_xll.BDH("CAVA US Equity","IS_OPERATING_EXPN","FY 2023","FY 2023","Currency=USD","Period=FY","BEST_FPERIOD_OVERRIDE=FY","FILING_STATUS=MR","SCALING_FORMAT=MLN","FA_ADJUSTED=Adjusted","Sort=A","Dates=H","DateFormat=P","Fill=—","Direction=H","UseDPDF=Y")</f>
        <v>#NAME?</v>
      </c>
      <c r="F13" s="3"/>
      <c r="G13" s="2"/>
      <c r="H13" s="2"/>
    </row>
    <row r="14" spans="1:8" x14ac:dyDescent="0.25">
      <c r="A14" s="4" t="s">
        <v>97</v>
      </c>
      <c r="B14" s="4" t="s">
        <v>96</v>
      </c>
      <c r="C14" s="2" t="e">
        <f ca="1">_xll.BDH("CAVA US Equity","IS_SGA_EXPENSE","FY 2021","FY 2021","Currency=USD","Period=FY","BEST_FPERIOD_OVERRIDE=FY","FILING_STATUS=MR","SCALING_FORMAT=MLN","FA_ADJUSTED=Adjusted","Sort=A","Dates=H","DateFormat=P","Fill=—","Direction=H","UseDPDF=Y")</f>
        <v>#NAME?</v>
      </c>
      <c r="D14" s="2" t="e">
        <f ca="1">_xll.BDH("CAVA US Equity","IS_SGA_EXPENSE","FY 2022","FY 2022","Currency=USD","Period=FY","BEST_FPERIOD_OVERRIDE=FY","FILING_STATUS=MR","SCALING_FORMAT=MLN","FA_ADJUSTED=Adjusted","Sort=A","Dates=H","DateFormat=P","Fill=—","Direction=H","UseDPDF=Y")</f>
        <v>#NAME?</v>
      </c>
      <c r="E14" s="2" t="e">
        <f ca="1">_xll.BDH("CAVA US Equity","IS_SGA_EXPENSE","FY 2023","FY 2023","Currency=USD","Period=FY","BEST_FPERIOD_OVERRIDE=FY","FILING_STATUS=MR","SCALING_FORMAT=MLN","FA_ADJUSTED=Adjusted","Sort=A","Dates=H","DateFormat=P","Fill=—","Direction=H","UseDPDF=Y")</f>
        <v>#NAME?</v>
      </c>
      <c r="F14" s="3">
        <v>72.466999999999999</v>
      </c>
      <c r="G14" s="2"/>
      <c r="H14" s="2"/>
    </row>
    <row r="15" spans="1:8" x14ac:dyDescent="0.25">
      <c r="A15" s="18" t="s">
        <v>95</v>
      </c>
      <c r="B15" s="18" t="s">
        <v>94</v>
      </c>
      <c r="C15" s="16" t="e">
        <f ca="1">_xll.BDH("CAVA US Equity","IS_GENERAL_AND_ADMINISTRATIVE","FY 2021","FY 2021","Currency=USD","Period=FY","BEST_FPERIOD_OVERRIDE=FY","FILING_STATUS=MR","SCALING_FORMAT=MLN","FA_ADJUSTED=Adjusted","Sort=A","Dates=H","DateFormat=P","Fill=—","Direction=H","UseDPDF=Y")</f>
        <v>#NAME?</v>
      </c>
      <c r="D15" s="16" t="e">
        <f ca="1">_xll.BDH("CAVA US Equity","IS_GENERAL_AND_ADMINISTRATIVE","FY 2022","FY 2022","Currency=USD","Period=FY","BEST_FPERIOD_OVERRIDE=FY","FILING_STATUS=MR","SCALING_FORMAT=MLN","FA_ADJUSTED=Adjusted","Sort=A","Dates=H","DateFormat=P","Fill=—","Direction=H","UseDPDF=Y")</f>
        <v>#NAME?</v>
      </c>
      <c r="E15" s="16" t="e">
        <f ca="1">_xll.BDH("CAVA US Equity","IS_GENERAL_AND_ADMINISTRATIVE","FY 2023","FY 2023","Currency=USD","Period=FY","BEST_FPERIOD_OVERRIDE=FY","FILING_STATUS=MR","SCALING_FORMAT=MLN","FA_ADJUSTED=Adjusted","Sort=A","Dates=H","DateFormat=P","Fill=—","Direction=H","UseDPDF=Y")</f>
        <v>#NAME?</v>
      </c>
      <c r="F15" s="17">
        <v>72.466999999999999</v>
      </c>
      <c r="G15" s="16"/>
      <c r="H15" s="16"/>
    </row>
    <row r="16" spans="1:8" x14ac:dyDescent="0.25">
      <c r="A16" s="4" t="s">
        <v>93</v>
      </c>
      <c r="B16" s="4" t="s">
        <v>92</v>
      </c>
      <c r="C16" s="2" t="e">
        <f ca="1">_xll.BDH("CAVA US Equity","IS_OPERATING_EXPENSES_RD","FY 2021","FY 2021","Currency=USD","Period=FY","BEST_FPERIOD_OVERRIDE=FY","FILING_STATUS=MR","SCALING_FORMAT=MLN","Sort=A","Dates=H","DateFormat=P","Fill=—","Direction=H","UseDPDF=Y")</f>
        <v>#NAME?</v>
      </c>
      <c r="D16" s="2" t="e">
        <f ca="1">_xll.BDH("CAVA US Equity","IS_OPERATING_EXPENSES_RD","FY 2022","FY 2022","Currency=USD","Period=FY","BEST_FPERIOD_OVERRIDE=FY","FILING_STATUS=MR","SCALING_FORMAT=MLN","Sort=A","Dates=H","DateFormat=P","Fill=—","Direction=H","UseDPDF=Y")</f>
        <v>#NAME?</v>
      </c>
      <c r="E16" s="2" t="e">
        <f ca="1">_xll.BDH("CAVA US Equity","IS_OPERATING_EXPENSES_RD","FY 2023","FY 2023","Currency=USD","Period=FY","BEST_FPERIOD_OVERRIDE=FY","FILING_STATUS=MR","SCALING_FORMAT=MLN","Sort=A","Dates=H","DateFormat=P","Fill=—","Direction=H","UseDPDF=Y")</f>
        <v>#NAME?</v>
      </c>
      <c r="F16" s="3">
        <v>0</v>
      </c>
      <c r="G16" s="2"/>
      <c r="H16" s="2"/>
    </row>
    <row r="17" spans="1:8" x14ac:dyDescent="0.25">
      <c r="A17" s="4" t="s">
        <v>91</v>
      </c>
      <c r="B17" s="4" t="s">
        <v>90</v>
      </c>
      <c r="C17" s="2" t="e">
        <f ca="1">_xll.BDH("CAVA US Equity","IS_DEPRECIATION_AND_AMORTIZATION","FY 2021","FY 2021","Currency=USD","Period=FY","BEST_FPERIOD_OVERRIDE=FY","FILING_STATUS=MR","SCALING_FORMAT=MLN","FA_ADJUSTED=Adjusted","Sort=A","Dates=H","DateFormat=P","Fill=—","Direction=H","UseDPDF=Y")</f>
        <v>#NAME?</v>
      </c>
      <c r="D17" s="2" t="e">
        <f ca="1">_xll.BDH("CAVA US Equity","IS_DEPRECIATION_AND_AMORTIZATION","FY 2022","FY 2022","Currency=USD","Period=FY","BEST_FPERIOD_OVERRIDE=FY","FILING_STATUS=MR","SCALING_FORMAT=MLN","FA_ADJUSTED=Adjusted","Sort=A","Dates=H","DateFormat=P","Fill=—","Direction=H","UseDPDF=Y")</f>
        <v>#NAME?</v>
      </c>
      <c r="E17" s="2" t="e">
        <f ca="1">_xll.BDH("CAVA US Equity","IS_DEPRECIATION_AND_AMORTIZATION","FY 2023","FY 2023","Currency=USD","Period=FY","BEST_FPERIOD_OVERRIDE=FY","FILING_STATUS=MR","SCALING_FORMAT=MLN","FA_ADJUSTED=Adjusted","Sort=A","Dates=H","DateFormat=P","Fill=—","Direction=H","UseDPDF=Y")</f>
        <v>#NAME?</v>
      </c>
      <c r="F17" s="3">
        <v>34.573999999999998</v>
      </c>
      <c r="G17" s="2"/>
      <c r="H17" s="2"/>
    </row>
    <row r="18" spans="1:8" x14ac:dyDescent="0.25">
      <c r="A18" s="4" t="s">
        <v>89</v>
      </c>
      <c r="B18" s="4" t="s">
        <v>88</v>
      </c>
      <c r="C18" s="2" t="e">
        <f ca="1">_xll.BDH("CAVA US Equity","IS_OTHER_OPERATING_EXPENSES","FY 2021","FY 2021","Currency=USD","Period=FY","BEST_FPERIOD_OVERRIDE=FY","FILING_STATUS=MR","SCALING_FORMAT=MLN","FA_ADJUSTED=Adjusted","Sort=A","Dates=H","DateFormat=P","Fill=—","Direction=H","UseDPDF=Y")</f>
        <v>#NAME?</v>
      </c>
      <c r="D18" s="2" t="e">
        <f ca="1">_xll.BDH("CAVA US Equity","IS_OTHER_OPERATING_EXPENSES","FY 2022","FY 2022","Currency=USD","Period=FY","BEST_FPERIOD_OVERRIDE=FY","FILING_STATUS=MR","SCALING_FORMAT=MLN","FA_ADJUSTED=Adjusted","Sort=A","Dates=H","DateFormat=P","Fill=—","Direction=H","UseDPDF=Y")</f>
        <v>#NAME?</v>
      </c>
      <c r="E18" s="2" t="e">
        <f ca="1">_xll.BDH("CAVA US Equity","IS_OTHER_OPERATING_EXPENSES","FY 2023","FY 2023","Currency=USD","Period=FY","BEST_FPERIOD_OVERRIDE=FY","FILING_STATUS=MR","SCALING_FORMAT=MLN","FA_ADJUSTED=Adjusted","Sort=A","Dates=H","DateFormat=P","Fill=—","Direction=H","UseDPDF=Y")</f>
        <v>#NAME?</v>
      </c>
      <c r="F18" s="3">
        <v>9.7189999999999994</v>
      </c>
      <c r="G18" s="2"/>
      <c r="H18" s="2"/>
    </row>
    <row r="19" spans="1:8" x14ac:dyDescent="0.25">
      <c r="A19" s="11" t="s">
        <v>87</v>
      </c>
      <c r="B19" s="11" t="s">
        <v>86</v>
      </c>
      <c r="C19" s="14" t="e">
        <f ca="1">_xll.BDH("CAVA US Equity","IS_OPER_INC","FY 2021","FY 2021","Currency=USD","Period=FY","BEST_FPERIOD_OVERRIDE=FY","FILING_STATUS=MR","SCALING_FORMAT=MLN","FA_ADJUSTED=Adjusted","Sort=A","Dates=H","DateFormat=P","Fill=—","Direction=H","UseDPDF=Y")</f>
        <v>#NAME?</v>
      </c>
      <c r="D19" s="14" t="e">
        <f ca="1">_xll.BDH("CAVA US Equity","IS_OPER_INC","FY 2022","FY 2022","Currency=USD","Period=FY","BEST_FPERIOD_OVERRIDE=FY","FILING_STATUS=MR","SCALING_FORMAT=MLN","FA_ADJUSTED=Adjusted","Sort=A","Dates=H","DateFormat=P","Fill=—","Direction=H","UseDPDF=Y")</f>
        <v>#NAME?</v>
      </c>
      <c r="E19" s="14" t="e">
        <f ca="1">_xll.BDH("CAVA US Equity","IS_OPER_INC","FY 2023","FY 2023","Currency=USD","Period=FY","BEST_FPERIOD_OVERRIDE=FY","FILING_STATUS=MR","SCALING_FORMAT=MLN","FA_ADJUSTED=Adjusted","Sort=A","Dates=H","DateFormat=P","Fill=—","Direction=H","UseDPDF=Y")</f>
        <v>#NAME?</v>
      </c>
      <c r="F19" s="15"/>
      <c r="G19" s="14">
        <v>14.032999999999999</v>
      </c>
      <c r="H19" s="14">
        <v>25.469000000000001</v>
      </c>
    </row>
    <row r="20" spans="1:8" x14ac:dyDescent="0.25">
      <c r="A20" s="4" t="s">
        <v>85</v>
      </c>
      <c r="B20" s="4" t="s">
        <v>84</v>
      </c>
      <c r="C20" s="2" t="e">
        <f ca="1">_xll.BDH("CAVA US Equity","IS_NONOP_INCOME_LOSS","FY 2021","FY 2021","Currency=USD","Period=FY","BEST_FPERIOD_OVERRIDE=FY","FILING_STATUS=MR","SCALING_FORMAT=MLN","FA_ADJUSTED=Adjusted","Sort=A","Dates=H","DateFormat=P","Fill=—","Direction=H","UseDPDF=Y")</f>
        <v>#NAME?</v>
      </c>
      <c r="D20" s="2" t="e">
        <f ca="1">_xll.BDH("CAVA US Equity","IS_NONOP_INCOME_LOSS","FY 2022","FY 2022","Currency=USD","Period=FY","BEST_FPERIOD_OVERRIDE=FY","FILING_STATUS=MR","SCALING_FORMAT=MLN","FA_ADJUSTED=Adjusted","Sort=A","Dates=H","DateFormat=P","Fill=—","Direction=H","UseDPDF=Y")</f>
        <v>#NAME?</v>
      </c>
      <c r="E20" s="2" t="e">
        <f ca="1">_xll.BDH("CAVA US Equity","IS_NONOP_INCOME_LOSS","FY 2023","FY 2023","Currency=USD","Period=FY","BEST_FPERIOD_OVERRIDE=FY","FILING_STATUS=MR","SCALING_FORMAT=MLN","FA_ADJUSTED=Adjusted","Sort=A","Dates=H","DateFormat=P","Fill=—","Direction=H","UseDPDF=Y")</f>
        <v>#NAME?</v>
      </c>
      <c r="F20" s="3">
        <v>-9.1739999999999995</v>
      </c>
      <c r="G20" s="2"/>
      <c r="H20" s="2"/>
    </row>
    <row r="21" spans="1:8" x14ac:dyDescent="0.25">
      <c r="A21" s="4" t="s">
        <v>83</v>
      </c>
      <c r="B21" s="4" t="s">
        <v>82</v>
      </c>
      <c r="C21" s="2" t="e">
        <f ca="1">_xll.BDH("CAVA US Equity","IS_NET_INTEREST_EXPENSE","FY 2021","FY 2021","Currency=USD","Period=FY","BEST_FPERIOD_OVERRIDE=FY","FILING_STATUS=MR","SCALING_FORMAT=MLN","FA_ADJUSTED=Adjusted","Sort=A","Dates=H","DateFormat=P","Fill=—","Direction=H","UseDPDF=Y")</f>
        <v>#NAME?</v>
      </c>
      <c r="D21" s="2" t="e">
        <f ca="1">_xll.BDH("CAVA US Equity","IS_NET_INTEREST_EXPENSE","FY 2022","FY 2022","Currency=USD","Period=FY","BEST_FPERIOD_OVERRIDE=FY","FILING_STATUS=MR","SCALING_FORMAT=MLN","FA_ADJUSTED=Adjusted","Sort=A","Dates=H","DateFormat=P","Fill=—","Direction=H","UseDPDF=Y")</f>
        <v>#NAME?</v>
      </c>
      <c r="E21" s="2" t="e">
        <f ca="1">_xll.BDH("CAVA US Equity","IS_NET_INTEREST_EXPENSE","FY 2023","FY 2023","Currency=USD","Period=FY","BEST_FPERIOD_OVERRIDE=FY","FILING_STATUS=MR","SCALING_FORMAT=MLN","FA_ADJUSTED=Adjusted","Sort=A","Dates=H","DateFormat=P","Fill=—","Direction=H","UseDPDF=Y")</f>
        <v>#NAME?</v>
      </c>
      <c r="F21" s="3">
        <v>-8.8770000000000007</v>
      </c>
      <c r="G21" s="2"/>
      <c r="H21" s="2"/>
    </row>
    <row r="22" spans="1:8" x14ac:dyDescent="0.25">
      <c r="A22" s="4" t="s">
        <v>81</v>
      </c>
      <c r="B22" s="4" t="s">
        <v>80</v>
      </c>
      <c r="C22" s="2" t="e">
        <f ca="1">_xll.BDH("CAVA US Equity","IS_FOREIGN_EXCH_LOSS","FY 2021","FY 2021","Currency=USD","Period=FY","BEST_FPERIOD_OVERRIDE=FY","FILING_STATUS=MR","SCALING_FORMAT=MLN","FA_ADJUSTED=Adjusted","Sort=A","Dates=H","DateFormat=P","Fill=—","Direction=H","UseDPDF=Y")</f>
        <v>#NAME?</v>
      </c>
      <c r="D22" s="2" t="e">
        <f ca="1">_xll.BDH("CAVA US Equity","IS_FOREIGN_EXCH_LOSS","FY 2022","FY 2022","Currency=USD","Period=FY","BEST_FPERIOD_OVERRIDE=FY","FILING_STATUS=MR","SCALING_FORMAT=MLN","FA_ADJUSTED=Adjusted","Sort=A","Dates=H","DateFormat=P","Fill=—","Direction=H","UseDPDF=Y")</f>
        <v>#NAME?</v>
      </c>
      <c r="E22" s="2" t="e">
        <f ca="1">_xll.BDH("CAVA US Equity","IS_FOREIGN_EXCH_LOSS","FY 2023","FY 2023","Currency=USD","Period=FY","BEST_FPERIOD_OVERRIDE=FY","FILING_STATUS=MR","SCALING_FORMAT=MLN","FA_ADJUSTED=Adjusted","Sort=A","Dates=H","DateFormat=P","Fill=—","Direction=H","UseDPDF=Y")</f>
        <v>#NAME?</v>
      </c>
      <c r="F22" s="3"/>
      <c r="G22" s="2"/>
      <c r="H22" s="2"/>
    </row>
    <row r="23" spans="1:8" x14ac:dyDescent="0.25">
      <c r="A23" s="4" t="s">
        <v>79</v>
      </c>
      <c r="B23" s="4" t="s">
        <v>78</v>
      </c>
      <c r="C23" s="2" t="e">
        <f ca="1">_xll.BDH("CAVA US Equity","IS_OTHER_NON_OPERATING_INC_LOSS","FY 2021","FY 2021","Currency=USD","Period=FY","BEST_FPERIOD_OVERRIDE=FY","FILING_STATUS=MR","SCALING_FORMAT=MLN","FA_ADJUSTED=Adjusted","Sort=A","Dates=H","DateFormat=P","Fill=—","Direction=H","UseDPDF=Y")</f>
        <v>#NAME?</v>
      </c>
      <c r="D23" s="2" t="e">
        <f ca="1">_xll.BDH("CAVA US Equity","IS_OTHER_NON_OPERATING_INC_LOSS","FY 2022","FY 2022","Currency=USD","Period=FY","BEST_FPERIOD_OVERRIDE=FY","FILING_STATUS=MR","SCALING_FORMAT=MLN","FA_ADJUSTED=Adjusted","Sort=A","Dates=H","DateFormat=P","Fill=—","Direction=H","UseDPDF=Y")</f>
        <v>#NAME?</v>
      </c>
      <c r="E23" s="2" t="e">
        <f ca="1">_xll.BDH("CAVA US Equity","IS_OTHER_NON_OPERATING_INC_LOSS","FY 2023","FY 2023","Currency=USD","Period=FY","BEST_FPERIOD_OVERRIDE=FY","FILING_STATUS=MR","SCALING_FORMAT=MLN","FA_ADJUSTED=Adjusted","Sort=A","Dates=H","DateFormat=P","Fill=—","Direction=H","UseDPDF=Y")</f>
        <v>#NAME?</v>
      </c>
      <c r="F23" s="3">
        <v>-0.29699999999999999</v>
      </c>
      <c r="G23" s="2"/>
      <c r="H23" s="2"/>
    </row>
    <row r="24" spans="1:8" x14ac:dyDescent="0.25">
      <c r="A24" s="11" t="s">
        <v>77</v>
      </c>
      <c r="B24" s="11" t="s">
        <v>67</v>
      </c>
      <c r="C24" s="14" t="e">
        <f ca="1">_xll.BDH("CAVA US Equity","PRETAX_INC","FY 2021","FY 2021","Currency=USD","Period=FY","BEST_FPERIOD_OVERRIDE=FY","FILING_STATUS=MR","SCALING_FORMAT=MLN","FA_ADJUSTED=Adjusted","Sort=A","Dates=H","DateFormat=P","Fill=—","Direction=H","UseDPDF=Y")</f>
        <v>#NAME?</v>
      </c>
      <c r="D24" s="14" t="e">
        <f ca="1">_xll.BDH("CAVA US Equity","PRETAX_INC","FY 2022","FY 2022","Currency=USD","Period=FY","BEST_FPERIOD_OVERRIDE=FY","FILING_STATUS=MR","SCALING_FORMAT=MLN","FA_ADJUSTED=Adjusted","Sort=A","Dates=H","DateFormat=P","Fill=—","Direction=H","UseDPDF=Y")</f>
        <v>#NAME?</v>
      </c>
      <c r="E24" s="14" t="e">
        <f ca="1">_xll.BDH("CAVA US Equity","PRETAX_INC","FY 2023","FY 2023","Currency=USD","Period=FY","BEST_FPERIOD_OVERRIDE=FY","FILING_STATUS=MR","SCALING_FORMAT=MLN","FA_ADJUSTED=Adjusted","Sort=A","Dates=H","DateFormat=P","Fill=—","Direction=H","UseDPDF=Y")</f>
        <v>#NAME?</v>
      </c>
      <c r="F24" s="15"/>
      <c r="G24" s="14">
        <v>27</v>
      </c>
      <c r="H24" s="14">
        <v>36.966999999999999</v>
      </c>
    </row>
    <row r="25" spans="1:8" x14ac:dyDescent="0.25">
      <c r="A25" s="4" t="s">
        <v>76</v>
      </c>
      <c r="B25" s="4" t="s">
        <v>75</v>
      </c>
      <c r="C25" s="2" t="e">
        <f ca="1">_xll.BDH("CAVA US Equity","IS_ABNORMAL_ITEM","FY 2021","FY 2021","Currency=USD","Period=FY","BEST_FPERIOD_OVERRIDE=FY","FILING_STATUS=MR","SCALING_FORMAT=MLN","Sort=A","Dates=H","DateFormat=P","Fill=—","Direction=H","UseDPDF=Y")</f>
        <v>#NAME?</v>
      </c>
      <c r="D25" s="2" t="e">
        <f ca="1">_xll.BDH("CAVA US Equity","IS_ABNORMAL_ITEM","FY 2022","FY 2022","Currency=USD","Period=FY","BEST_FPERIOD_OVERRIDE=FY","FILING_STATUS=MR","SCALING_FORMAT=MLN","Sort=A","Dates=H","DateFormat=P","Fill=—","Direction=H","UseDPDF=Y")</f>
        <v>#NAME?</v>
      </c>
      <c r="E25" s="2" t="e">
        <f ca="1">_xll.BDH("CAVA US Equity","IS_ABNORMAL_ITEM","FY 2023","FY 2023","Currency=USD","Period=FY","BEST_FPERIOD_OVERRIDE=FY","FILING_STATUS=MR","SCALING_FORMAT=MLN","Sort=A","Dates=H","DateFormat=P","Fill=—","Direction=H","UseDPDF=Y")</f>
        <v>#NAME?</v>
      </c>
      <c r="F25" s="3"/>
      <c r="G25" s="2"/>
      <c r="H25" s="2"/>
    </row>
    <row r="26" spans="1:8" x14ac:dyDescent="0.25">
      <c r="A26" s="4" t="s">
        <v>74</v>
      </c>
      <c r="B26" s="4" t="s">
        <v>73</v>
      </c>
      <c r="C26" s="2" t="e">
        <f ca="1">_xll.BDH("CAVA US Equity","IS_IMPAIRMENT_ASSETS","FY 2021","FY 2021","Currency=USD","Period=FY","BEST_FPERIOD_OVERRIDE=FY","FILING_STATUS=MR","SCALING_FORMAT=MLN","Sort=A","Dates=H","DateFormat=P","Fill=—","Direction=H","UseDPDF=Y")</f>
        <v>#NAME?</v>
      </c>
      <c r="D26" s="2" t="e">
        <f ca="1">_xll.BDH("CAVA US Equity","IS_IMPAIRMENT_ASSETS","FY 2022","FY 2022","Currency=USD","Period=FY","BEST_FPERIOD_OVERRIDE=FY","FILING_STATUS=MR","SCALING_FORMAT=MLN","Sort=A","Dates=H","DateFormat=P","Fill=—","Direction=H","UseDPDF=Y")</f>
        <v>#NAME?</v>
      </c>
      <c r="E26" s="2" t="e">
        <f ca="1">_xll.BDH("CAVA US Equity","IS_IMPAIRMENT_ASSETS","FY 2023","FY 2023","Currency=USD","Period=FY","BEST_FPERIOD_OVERRIDE=FY","FILING_STATUS=MR","SCALING_FORMAT=MLN","Sort=A","Dates=H","DateFormat=P","Fill=—","Direction=H","UseDPDF=Y")</f>
        <v>#NAME?</v>
      </c>
      <c r="F26" s="3">
        <v>0.60399999999999998</v>
      </c>
      <c r="G26" s="2"/>
      <c r="H26" s="2"/>
    </row>
    <row r="27" spans="1:8" x14ac:dyDescent="0.25">
      <c r="A27" s="4" t="s">
        <v>72</v>
      </c>
      <c r="B27" s="4" t="s">
        <v>71</v>
      </c>
      <c r="C27" s="2" t="e">
        <f ca="1">_xll.BDH("CAVA US Equity","IS_RESTRUCTURING_EXPENSES","FY 2021","FY 2021","Currency=USD","Period=FY","BEST_FPERIOD_OVERRIDE=FY","FILING_STATUS=MR","SCALING_FORMAT=MLN","Sort=A","Dates=H","DateFormat=P","Fill=—","Direction=H","UseDPDF=Y")</f>
        <v>#NAME?</v>
      </c>
      <c r="D27" s="2" t="e">
        <f ca="1">_xll.BDH("CAVA US Equity","IS_RESTRUCTURING_EXPENSES","FY 2022","FY 2022","Currency=USD","Period=FY","BEST_FPERIOD_OVERRIDE=FY","FILING_STATUS=MR","SCALING_FORMAT=MLN","Sort=A","Dates=H","DateFormat=P","Fill=—","Direction=H","UseDPDF=Y")</f>
        <v>#NAME?</v>
      </c>
      <c r="E27" s="2" t="e">
        <f ca="1">_xll.BDH("CAVA US Equity","IS_RESTRUCTURING_EXPENSES","FY 2023","FY 2023","Currency=USD","Period=FY","BEST_FPERIOD_OVERRIDE=FY","FILING_STATUS=MR","SCALING_FORMAT=MLN","Sort=A","Dates=H","DateFormat=P","Fill=—","Direction=H","UseDPDF=Y")</f>
        <v>#NAME?</v>
      </c>
      <c r="F27" s="3">
        <v>0.92</v>
      </c>
      <c r="G27" s="2"/>
      <c r="H27" s="2"/>
    </row>
    <row r="28" spans="1:8" x14ac:dyDescent="0.25">
      <c r="A28" s="4" t="s">
        <v>70</v>
      </c>
      <c r="B28" s="4" t="s">
        <v>69</v>
      </c>
      <c r="C28" s="2" t="e">
        <f ca="1">_xll.BDH("CAVA US Equity","IS_OTHER_ONE_TIME_ITEMS","FY 2021","FY 2021","Currency=USD","Period=FY","BEST_FPERIOD_OVERRIDE=FY","FILING_STATUS=MR","SCALING_FORMAT=MLN","Sort=A","Dates=H","DateFormat=P","Fill=—","Direction=H","UseDPDF=Y")</f>
        <v>#NAME?</v>
      </c>
      <c r="D28" s="2" t="e">
        <f ca="1">_xll.BDH("CAVA US Equity","IS_OTHER_ONE_TIME_ITEMS","FY 2022","FY 2022","Currency=USD","Period=FY","BEST_FPERIOD_OVERRIDE=FY","FILING_STATUS=MR","SCALING_FORMAT=MLN","Sort=A","Dates=H","DateFormat=P","Fill=—","Direction=H","UseDPDF=Y")</f>
        <v>#NAME?</v>
      </c>
      <c r="E28" s="2" t="e">
        <f ca="1">_xll.BDH("CAVA US Equity","IS_OTHER_ONE_TIME_ITEMS","FY 2023","FY 2023","Currency=USD","Period=FY","BEST_FPERIOD_OVERRIDE=FY","FILING_STATUS=MR","SCALING_FORMAT=MLN","Sort=A","Dates=H","DateFormat=P","Fill=—","Direction=H","UseDPDF=Y")</f>
        <v>#NAME?</v>
      </c>
      <c r="F28" s="3"/>
      <c r="G28" s="2"/>
      <c r="H28" s="2"/>
    </row>
    <row r="29" spans="1:8" x14ac:dyDescent="0.25">
      <c r="A29" s="11" t="s">
        <v>68</v>
      </c>
      <c r="B29" s="11" t="s">
        <v>67</v>
      </c>
      <c r="C29" s="14" t="e">
        <f ca="1">_xll.BDH("CAVA US Equity","PRETAX_INC","FY 2021","FY 2021","Currency=USD","Period=FY","BEST_FPERIOD_OVERRIDE=FY","FILING_STATUS=MR","SCALING_FORMAT=MLN","FA_ADJUSTED=GAAP","Sort=A","Dates=H","DateFormat=P","Fill=—","Direction=H","UseDPDF=Y")</f>
        <v>#NAME?</v>
      </c>
      <c r="D29" s="14" t="e">
        <f ca="1">_xll.BDH("CAVA US Equity","PRETAX_INC","FY 2022","FY 2022","Currency=USD","Period=FY","BEST_FPERIOD_OVERRIDE=FY","FILING_STATUS=MR","SCALING_FORMAT=MLN","FA_ADJUSTED=GAAP","Sort=A","Dates=H","DateFormat=P","Fill=—","Direction=H","UseDPDF=Y")</f>
        <v>#NAME?</v>
      </c>
      <c r="E29" s="14" t="e">
        <f ca="1">_xll.BDH("CAVA US Equity","PRETAX_INC","FY 2023","FY 2023","Currency=USD","Period=FY","BEST_FPERIOD_OVERRIDE=FY","FILING_STATUS=MR","SCALING_FORMAT=MLN","FA_ADJUSTED=GAAP","Sort=A","Dates=H","DateFormat=P","Fill=—","Direction=H","UseDPDF=Y")</f>
        <v>#NAME?</v>
      </c>
      <c r="F29" s="15"/>
      <c r="G29" s="14">
        <v>27</v>
      </c>
      <c r="H29" s="14">
        <v>36.966999999999999</v>
      </c>
    </row>
    <row r="30" spans="1:8" x14ac:dyDescent="0.25">
      <c r="A30" s="4" t="s">
        <v>66</v>
      </c>
      <c r="B30" s="4" t="s">
        <v>65</v>
      </c>
      <c r="C30" s="2" t="e">
        <f ca="1">_xll.BDH("CAVA US Equity","IS_INC_TAX_EXP","FY 2021","FY 2021","Currency=USD","Period=FY","BEST_FPERIOD_OVERRIDE=FY","FILING_STATUS=MR","SCALING_FORMAT=MLN","FA_ADJUSTED=GAAP","Sort=A","Dates=H","DateFormat=P","Fill=—","Direction=H","UseDPDF=Y")</f>
        <v>#NAME?</v>
      </c>
      <c r="D30" s="2" t="e">
        <f ca="1">_xll.BDH("CAVA US Equity","IS_INC_TAX_EXP","FY 2022","FY 2022","Currency=USD","Period=FY","BEST_FPERIOD_OVERRIDE=FY","FILING_STATUS=MR","SCALING_FORMAT=MLN","FA_ADJUSTED=GAAP","Sort=A","Dates=H","DateFormat=P","Fill=—","Direction=H","UseDPDF=Y")</f>
        <v>#NAME?</v>
      </c>
      <c r="E30" s="2" t="e">
        <f ca="1">_xll.BDH("CAVA US Equity","IS_INC_TAX_EXP","FY 2023","FY 2023","Currency=USD","Period=FY","BEST_FPERIOD_OVERRIDE=FY","FILING_STATUS=MR","SCALING_FORMAT=MLN","FA_ADJUSTED=GAAP","Sort=A","Dates=H","DateFormat=P","Fill=—","Direction=H","UseDPDF=Y")</f>
        <v>#NAME?</v>
      </c>
      <c r="F30" s="3"/>
      <c r="G30" s="2"/>
      <c r="H30" s="2"/>
    </row>
    <row r="31" spans="1:8" x14ac:dyDescent="0.25">
      <c r="A31" s="11" t="s">
        <v>64</v>
      </c>
      <c r="B31" s="11" t="s">
        <v>63</v>
      </c>
      <c r="C31" s="14" t="e">
        <f ca="1">_xll.BDH("CAVA US Equity","IS_INC_BEF_XO_ITEM","FY 2021","FY 2021","Currency=USD","Period=FY","BEST_FPERIOD_OVERRIDE=FY","FILING_STATUS=MR","SCALING_FORMAT=MLN","Sort=A","Dates=H","DateFormat=P","Fill=—","Direction=H","UseDPDF=Y")</f>
        <v>#NAME?</v>
      </c>
      <c r="D31" s="14" t="e">
        <f ca="1">_xll.BDH("CAVA US Equity","IS_INC_BEF_XO_ITEM","FY 2022","FY 2022","Currency=USD","Period=FY","BEST_FPERIOD_OVERRIDE=FY","FILING_STATUS=MR","SCALING_FORMAT=MLN","Sort=A","Dates=H","DateFormat=P","Fill=—","Direction=H","UseDPDF=Y")</f>
        <v>#NAME?</v>
      </c>
      <c r="E31" s="14" t="e">
        <f ca="1">_xll.BDH("CAVA US Equity","IS_INC_BEF_XO_ITEM","FY 2023","FY 2023","Currency=USD","Period=FY","BEST_FPERIOD_OVERRIDE=FY","FILING_STATUS=MR","SCALING_FORMAT=MLN","Sort=A","Dates=H","DateFormat=P","Fill=—","Direction=H","UseDPDF=Y")</f>
        <v>#NAME?</v>
      </c>
      <c r="F31" s="15"/>
      <c r="G31" s="14">
        <v>29.55</v>
      </c>
      <c r="H31" s="14">
        <v>40.200000000000003</v>
      </c>
    </row>
    <row r="32" spans="1:8" x14ac:dyDescent="0.25">
      <c r="A32" s="4" t="s">
        <v>62</v>
      </c>
      <c r="B32" s="4" t="s">
        <v>41</v>
      </c>
      <c r="C32" s="2" t="e">
        <f ca="1">_xll.BDH("CAVA US Equity","XO_GL_NET_OF_TAX","FY 2021","FY 2021","Currency=USD","Period=FY","BEST_FPERIOD_OVERRIDE=FY","FILING_STATUS=MR","SCALING_FORMAT=MLN","Sort=A","Dates=H","DateFormat=P","Fill=—","Direction=H","UseDPDF=Y")</f>
        <v>#NAME?</v>
      </c>
      <c r="D32" s="2" t="e">
        <f ca="1">_xll.BDH("CAVA US Equity","XO_GL_NET_OF_TAX","FY 2022","FY 2022","Currency=USD","Period=FY","BEST_FPERIOD_OVERRIDE=FY","FILING_STATUS=MR","SCALING_FORMAT=MLN","Sort=A","Dates=H","DateFormat=P","Fill=—","Direction=H","UseDPDF=Y")</f>
        <v>#NAME?</v>
      </c>
      <c r="E32" s="2" t="e">
        <f ca="1">_xll.BDH("CAVA US Equity","XO_GL_NET_OF_TAX","FY 2023","FY 2023","Currency=USD","Period=FY","BEST_FPERIOD_OVERRIDE=FY","FILING_STATUS=MR","SCALING_FORMAT=MLN","Sort=A","Dates=H","DateFormat=P","Fill=—","Direction=H","UseDPDF=Y")</f>
        <v>#NAME?</v>
      </c>
      <c r="F32" s="3"/>
      <c r="G32" s="2"/>
      <c r="H32" s="2"/>
    </row>
    <row r="33" spans="1:8" x14ac:dyDescent="0.25">
      <c r="A33" s="4" t="s">
        <v>61</v>
      </c>
      <c r="B33" s="4" t="s">
        <v>60</v>
      </c>
      <c r="C33" s="2" t="e">
        <f ca="1">_xll.BDH("CAVA US Equity","IS_DISCONTINUED_OPERATIONS","FY 2021","FY 2021","Currency=USD","Period=FY","BEST_FPERIOD_OVERRIDE=FY","FILING_STATUS=MR","SCALING_FORMAT=MLN","Sort=A","Dates=H","DateFormat=P","Fill=—","Direction=H","UseDPDF=Y")</f>
        <v>#NAME?</v>
      </c>
      <c r="D33" s="2" t="e">
        <f ca="1">_xll.BDH("CAVA US Equity","IS_DISCONTINUED_OPERATIONS","FY 2022","FY 2022","Currency=USD","Period=FY","BEST_FPERIOD_OVERRIDE=FY","FILING_STATUS=MR","SCALING_FORMAT=MLN","Sort=A","Dates=H","DateFormat=P","Fill=—","Direction=H","UseDPDF=Y")</f>
        <v>#NAME?</v>
      </c>
      <c r="E33" s="2" t="e">
        <f ca="1">_xll.BDH("CAVA US Equity","IS_DISCONTINUED_OPERATIONS","FY 2023","FY 2023","Currency=USD","Period=FY","BEST_FPERIOD_OVERRIDE=FY","FILING_STATUS=MR","SCALING_FORMAT=MLN","Sort=A","Dates=H","DateFormat=P","Fill=—","Direction=H","UseDPDF=Y")</f>
        <v>#NAME?</v>
      </c>
      <c r="F33" s="3">
        <v>0</v>
      </c>
      <c r="G33" s="2"/>
      <c r="H33" s="2"/>
    </row>
    <row r="34" spans="1:8" x14ac:dyDescent="0.25">
      <c r="A34" s="4" t="s">
        <v>59</v>
      </c>
      <c r="B34" s="4" t="s">
        <v>58</v>
      </c>
      <c r="C34" s="2" t="e">
        <f ca="1">_xll.BDH("CAVA US Equity","EXTRAORD_ITEMS_ACCOUNTING_CHANGS","FY 2021","FY 2021","Currency=USD","Period=FY","BEST_FPERIOD_OVERRIDE=FY","FILING_STATUS=MR","SCALING_FORMAT=MLN","Sort=A","Dates=H","DateFormat=P","Fill=—","Direction=H","UseDPDF=Y")</f>
        <v>#NAME?</v>
      </c>
      <c r="D34" s="2" t="e">
        <f ca="1">_xll.BDH("CAVA US Equity","EXTRAORD_ITEMS_ACCOUNTING_CHANGS","FY 2022","FY 2022","Currency=USD","Period=FY","BEST_FPERIOD_OVERRIDE=FY","FILING_STATUS=MR","SCALING_FORMAT=MLN","Sort=A","Dates=H","DateFormat=P","Fill=—","Direction=H","UseDPDF=Y")</f>
        <v>#NAME?</v>
      </c>
      <c r="E34" s="2" t="e">
        <f ca="1">_xll.BDH("CAVA US Equity","EXTRAORD_ITEMS_ACCOUNTING_CHANGS","FY 2023","FY 2023","Currency=USD","Period=FY","BEST_FPERIOD_OVERRIDE=FY","FILING_STATUS=MR","SCALING_FORMAT=MLN","Sort=A","Dates=H","DateFormat=P","Fill=—","Direction=H","UseDPDF=Y")</f>
        <v>#NAME?</v>
      </c>
      <c r="F34" s="3">
        <v>0</v>
      </c>
      <c r="G34" s="2"/>
      <c r="H34" s="2"/>
    </row>
    <row r="35" spans="1:8" x14ac:dyDescent="0.25">
      <c r="A35" s="11" t="s">
        <v>57</v>
      </c>
      <c r="B35" s="11" t="s">
        <v>56</v>
      </c>
      <c r="C35" s="14" t="e">
        <f ca="1">_xll.BDH("CAVA US Equity","NI_INCLUDING_MINORITY_INT_RATIO","FY 2021","FY 2021","Currency=USD","Period=FY","BEST_FPERIOD_OVERRIDE=FY","FILING_STATUS=MR","SCALING_FORMAT=MLN","FA_ADJUSTED=GAAP","Sort=A","Dates=H","DateFormat=P","Fill=—","Direction=H","UseDPDF=Y")</f>
        <v>#NAME?</v>
      </c>
      <c r="D35" s="14" t="e">
        <f ca="1">_xll.BDH("CAVA US Equity","NI_INCLUDING_MINORITY_INT_RATIO","FY 2022","FY 2022","Currency=USD","Period=FY","BEST_FPERIOD_OVERRIDE=FY","FILING_STATUS=MR","SCALING_FORMAT=MLN","FA_ADJUSTED=GAAP","Sort=A","Dates=H","DateFormat=P","Fill=—","Direction=H","UseDPDF=Y")</f>
        <v>#NAME?</v>
      </c>
      <c r="E35" s="14" t="e">
        <f ca="1">_xll.BDH("CAVA US Equity","NI_INCLUDING_MINORITY_INT_RATIO","FY 2023","FY 2023","Currency=USD","Period=FY","BEST_FPERIOD_OVERRIDE=FY","FILING_STATUS=MR","SCALING_FORMAT=MLN","FA_ADJUSTED=GAAP","Sort=A","Dates=H","DateFormat=P","Fill=—","Direction=H","UseDPDF=Y")</f>
        <v>#NAME?</v>
      </c>
      <c r="F35" s="15">
        <v>15.420999999999999</v>
      </c>
      <c r="G35" s="14"/>
      <c r="H35" s="14"/>
    </row>
    <row r="36" spans="1:8" x14ac:dyDescent="0.25">
      <c r="A36" s="4" t="s">
        <v>55</v>
      </c>
      <c r="B36" s="4" t="s">
        <v>54</v>
      </c>
      <c r="C36" s="2" t="e">
        <f ca="1">_xll.BDH("CAVA US Equity","MIN_NONCONTROL_INTEREST_CREDITS","FY 2021","FY 2021","Currency=USD","Period=FY","BEST_FPERIOD_OVERRIDE=FY","FILING_STATUS=MR","SCALING_FORMAT=MLN","FA_ADJUSTED=GAAP","Sort=A","Dates=H","DateFormat=P","Fill=—","Direction=H","UseDPDF=Y")</f>
        <v>#NAME?</v>
      </c>
      <c r="D36" s="2" t="e">
        <f ca="1">_xll.BDH("CAVA US Equity","MIN_NONCONTROL_INTEREST_CREDITS","FY 2022","FY 2022","Currency=USD","Period=FY","BEST_FPERIOD_OVERRIDE=FY","FILING_STATUS=MR","SCALING_FORMAT=MLN","FA_ADJUSTED=GAAP","Sort=A","Dates=H","DateFormat=P","Fill=—","Direction=H","UseDPDF=Y")</f>
        <v>#NAME?</v>
      </c>
      <c r="E36" s="2" t="e">
        <f ca="1">_xll.BDH("CAVA US Equity","MIN_NONCONTROL_INTEREST_CREDITS","FY 2023","FY 2023","Currency=USD","Period=FY","BEST_FPERIOD_OVERRIDE=FY","FILING_STATUS=MR","SCALING_FORMAT=MLN","FA_ADJUSTED=GAAP","Sort=A","Dates=H","DateFormat=P","Fill=—","Direction=H","UseDPDF=Y")</f>
        <v>#NAME?</v>
      </c>
      <c r="F36" s="3"/>
      <c r="G36" s="2"/>
      <c r="H36" s="2"/>
    </row>
    <row r="37" spans="1:8" x14ac:dyDescent="0.25">
      <c r="A37" s="11" t="s">
        <v>53</v>
      </c>
      <c r="B37" s="11" t="s">
        <v>52</v>
      </c>
      <c r="C37" s="14" t="e">
        <f ca="1">_xll.BDH("CAVA US Equity","NET_INCOME","FY 2021","FY 2021","Currency=USD","Period=FY","BEST_FPERIOD_OVERRIDE=FY","FILING_STATUS=MR","SCALING_FORMAT=MLN","FA_ADJUSTED=GAAP","Sort=A","Dates=H","DateFormat=P","Fill=—","Direction=H","UseDPDF=Y")</f>
        <v>#NAME?</v>
      </c>
      <c r="D37" s="14" t="e">
        <f ca="1">_xll.BDH("CAVA US Equity","NET_INCOME","FY 2022","FY 2022","Currency=USD","Period=FY","BEST_FPERIOD_OVERRIDE=FY","FILING_STATUS=MR","SCALING_FORMAT=MLN","FA_ADJUSTED=GAAP","Sort=A","Dates=H","DateFormat=P","Fill=—","Direction=H","UseDPDF=Y")</f>
        <v>#NAME?</v>
      </c>
      <c r="E37" s="14" t="e">
        <f ca="1">_xll.BDH("CAVA US Equity","NET_INCOME","FY 2023","FY 2023","Currency=USD","Period=FY","BEST_FPERIOD_OVERRIDE=FY","FILING_STATUS=MR","SCALING_FORMAT=MLN","FA_ADJUSTED=GAAP","Sort=A","Dates=H","DateFormat=P","Fill=—","Direction=H","UseDPDF=Y")</f>
        <v>#NAME?</v>
      </c>
      <c r="F37" s="15"/>
      <c r="G37" s="14">
        <v>29.55</v>
      </c>
      <c r="H37" s="14">
        <v>40.200000000000003</v>
      </c>
    </row>
    <row r="38" spans="1:8" x14ac:dyDescent="0.25">
      <c r="A38" s="4" t="s">
        <v>51</v>
      </c>
      <c r="B38" s="4" t="s">
        <v>50</v>
      </c>
      <c r="C38" s="2" t="e">
        <f ca="1">_xll.BDH("CAVA US Equity","IS_TOT_CASH_PFD_DVD","FY 2021","FY 2021","Currency=USD","Period=FY","BEST_FPERIOD_OVERRIDE=FY","FILING_STATUS=MR","SCALING_FORMAT=MLN","Sort=A","Dates=H","DateFormat=P","Fill=—","Direction=H","UseDPDF=Y")</f>
        <v>#NAME?</v>
      </c>
      <c r="D38" s="2" t="e">
        <f ca="1">_xll.BDH("CAVA US Equity","IS_TOT_CASH_PFD_DVD","FY 2022","FY 2022","Currency=USD","Period=FY","BEST_FPERIOD_OVERRIDE=FY","FILING_STATUS=MR","SCALING_FORMAT=MLN","Sort=A","Dates=H","DateFormat=P","Fill=—","Direction=H","UseDPDF=Y")</f>
        <v>#NAME?</v>
      </c>
      <c r="E38" s="2" t="e">
        <f ca="1">_xll.BDH("CAVA US Equity","IS_TOT_CASH_PFD_DVD","FY 2023","FY 2023","Currency=USD","Period=FY","BEST_FPERIOD_OVERRIDE=FY","FILING_STATUS=MR","SCALING_FORMAT=MLN","Sort=A","Dates=H","DateFormat=P","Fill=—","Direction=H","UseDPDF=Y")</f>
        <v>#NAME?</v>
      </c>
      <c r="F38" s="3"/>
      <c r="G38" s="2"/>
      <c r="H38" s="2"/>
    </row>
    <row r="39" spans="1:8" x14ac:dyDescent="0.25">
      <c r="A39" s="4" t="s">
        <v>49</v>
      </c>
      <c r="B39" s="4" t="s">
        <v>48</v>
      </c>
      <c r="C39" s="2" t="e">
        <f ca="1">_xll.BDH("CAVA US Equity","OTHER_ADJUSTMENTS","FY 2021","FY 2021","Currency=USD","Period=FY","BEST_FPERIOD_OVERRIDE=FY","FILING_STATUS=MR","SCALING_FORMAT=MLN","Sort=A","Dates=H","DateFormat=P","Fill=—","Direction=H","UseDPDF=Y")</f>
        <v>#NAME?</v>
      </c>
      <c r="D39" s="2" t="e">
        <f ca="1">_xll.BDH("CAVA US Equity","OTHER_ADJUSTMENTS","FY 2022","FY 2022","Currency=USD","Period=FY","BEST_FPERIOD_OVERRIDE=FY","FILING_STATUS=MR","SCALING_FORMAT=MLN","Sort=A","Dates=H","DateFormat=P","Fill=—","Direction=H","UseDPDF=Y")</f>
        <v>#NAME?</v>
      </c>
      <c r="E39" s="2" t="e">
        <f ca="1">_xll.BDH("CAVA US Equity","OTHER_ADJUSTMENTS","FY 2023","FY 2023","Currency=USD","Period=FY","BEST_FPERIOD_OVERRIDE=FY","FILING_STATUS=MR","SCALING_FORMAT=MLN","Sort=A","Dates=H","DateFormat=P","Fill=—","Direction=H","UseDPDF=Y")</f>
        <v>#NAME?</v>
      </c>
      <c r="F39" s="3"/>
      <c r="G39" s="2"/>
      <c r="H39" s="2"/>
    </row>
    <row r="40" spans="1:8" x14ac:dyDescent="0.25">
      <c r="A40" s="11" t="s">
        <v>47</v>
      </c>
      <c r="B40" s="11" t="s">
        <v>45</v>
      </c>
      <c r="C40" s="14" t="e">
        <f ca="1">_xll.BDH("CAVA US Equity","EARN_FOR_COMMON","FY 2021","FY 2021","Currency=USD","Period=FY","BEST_FPERIOD_OVERRIDE=FY","FILING_STATUS=MR","SCALING_FORMAT=MLN","FA_ADJUSTED=GAAP","Sort=A","Dates=H","DateFormat=P","Fill=—","Direction=H","UseDPDF=Y")</f>
        <v>#NAME?</v>
      </c>
      <c r="D40" s="14" t="e">
        <f ca="1">_xll.BDH("CAVA US Equity","EARN_FOR_COMMON","FY 2022","FY 2022","Currency=USD","Period=FY","BEST_FPERIOD_OVERRIDE=FY","FILING_STATUS=MR","SCALING_FORMAT=MLN","FA_ADJUSTED=GAAP","Sort=A","Dates=H","DateFormat=P","Fill=—","Direction=H","UseDPDF=Y")</f>
        <v>#NAME?</v>
      </c>
      <c r="E40" s="14" t="e">
        <f ca="1">_xll.BDH("CAVA US Equity","EARN_FOR_COMMON","FY 2023","FY 2023","Currency=USD","Period=FY","BEST_FPERIOD_OVERRIDE=FY","FILING_STATUS=MR","SCALING_FORMAT=MLN","FA_ADJUSTED=GAAP","Sort=A","Dates=H","DateFormat=P","Fill=—","Direction=H","UseDPDF=Y")</f>
        <v>#NAME?</v>
      </c>
      <c r="F40" s="15"/>
      <c r="G40" s="14">
        <v>29.55</v>
      </c>
      <c r="H40" s="14">
        <v>40.200000000000003</v>
      </c>
    </row>
    <row r="41" spans="1:8" x14ac:dyDescent="0.25">
      <c r="A41" s="11"/>
      <c r="B41" s="9"/>
      <c r="C41" s="9"/>
      <c r="D41" s="9"/>
      <c r="E41" s="9"/>
      <c r="F41" s="10"/>
      <c r="G41" s="9"/>
      <c r="H41" s="9"/>
    </row>
    <row r="42" spans="1:8" x14ac:dyDescent="0.25">
      <c r="A42" s="11" t="s">
        <v>46</v>
      </c>
      <c r="B42" s="11" t="s">
        <v>45</v>
      </c>
      <c r="C42" s="14" t="e">
        <f ca="1">_xll.BDH("CAVA US Equity","EARN_FOR_COMMON","FY 2021","FY 2021","Currency=USD","Period=FY","BEST_FPERIOD_OVERRIDE=FY","FILING_STATUS=MR","SCALING_FORMAT=MLN","FA_ADJUSTED=Adjusted","Sort=A","Dates=H","DateFormat=P","Fill=—","Direction=H","UseDPDF=Y")</f>
        <v>#NAME?</v>
      </c>
      <c r="D42" s="14" t="e">
        <f ca="1">_xll.BDH("CAVA US Equity","EARN_FOR_COMMON","FY 2022","FY 2022","Currency=USD","Period=FY","BEST_FPERIOD_OVERRIDE=FY","FILING_STATUS=MR","SCALING_FORMAT=MLN","FA_ADJUSTED=Adjusted","Sort=A","Dates=H","DateFormat=P","Fill=—","Direction=H","UseDPDF=Y")</f>
        <v>#NAME?</v>
      </c>
      <c r="E42" s="14" t="e">
        <f ca="1">_xll.BDH("CAVA US Equity","EARN_FOR_COMMON","FY 2023","FY 2023","Currency=USD","Period=FY","BEST_FPERIOD_OVERRIDE=FY","FILING_STATUS=MR","SCALING_FORMAT=MLN","FA_ADJUSTED=Adjusted","Sort=A","Dates=H","DateFormat=P","Fill=—","Direction=H","UseDPDF=Y")</f>
        <v>#NAME?</v>
      </c>
      <c r="F42" s="15"/>
      <c r="G42" s="14">
        <v>26.841999999999999</v>
      </c>
      <c r="H42" s="14">
        <v>36.857999999999997</v>
      </c>
    </row>
    <row r="43" spans="1:8" x14ac:dyDescent="0.25">
      <c r="A43" s="4" t="s">
        <v>44</v>
      </c>
      <c r="B43" s="4" t="s">
        <v>43</v>
      </c>
      <c r="C43" s="2" t="e">
        <f ca="1">_xll.BDH("CAVA US Equity","IS_NET_ABNORMAL_ITEMS","FY 2021","FY 2021","Currency=USD","Period=FY","BEST_FPERIOD_OVERRIDE=FY","FILING_STATUS=MR","SCALING_FORMAT=MLN","Sort=A","Dates=H","DateFormat=P","Fill=—","Direction=H","UseDPDF=Y")</f>
        <v>#NAME?</v>
      </c>
      <c r="D43" s="2" t="e">
        <f ca="1">_xll.BDH("CAVA US Equity","IS_NET_ABNORMAL_ITEMS","FY 2022","FY 2022","Currency=USD","Period=FY","BEST_FPERIOD_OVERRIDE=FY","FILING_STATUS=MR","SCALING_FORMAT=MLN","Sort=A","Dates=H","DateFormat=P","Fill=—","Direction=H","UseDPDF=Y")</f>
        <v>#NAME?</v>
      </c>
      <c r="E43" s="2" t="e">
        <f ca="1">_xll.BDH("CAVA US Equity","IS_NET_ABNORMAL_ITEMS","FY 2023","FY 2023","Currency=USD","Period=FY","BEST_FPERIOD_OVERRIDE=FY","FILING_STATUS=MR","SCALING_FORMAT=MLN","Sort=A","Dates=H","DateFormat=P","Fill=—","Direction=H","UseDPDF=Y")</f>
        <v>#NAME?</v>
      </c>
      <c r="F43" s="3">
        <v>4.77555</v>
      </c>
      <c r="G43" s="2"/>
      <c r="H43" s="2"/>
    </row>
    <row r="44" spans="1:8" x14ac:dyDescent="0.25">
      <c r="A44" s="4" t="s">
        <v>42</v>
      </c>
      <c r="B44" s="4" t="s">
        <v>41</v>
      </c>
      <c r="C44" s="2" t="e">
        <f ca="1">_xll.BDH("CAVA US Equity","XO_GL_NET_OF_TAX","FY 2021","FY 2021","Currency=USD","Period=FY","BEST_FPERIOD_OVERRIDE=FY","FILING_STATUS=MR","SCALING_FORMAT=MLN","Sort=A","Dates=H","DateFormat=P","Fill=—","Direction=H","UseDPDF=Y")</f>
        <v>#NAME?</v>
      </c>
      <c r="D44" s="2" t="e">
        <f ca="1">_xll.BDH("CAVA US Equity","XO_GL_NET_OF_TAX","FY 2022","FY 2022","Currency=USD","Period=FY","BEST_FPERIOD_OVERRIDE=FY","FILING_STATUS=MR","SCALING_FORMAT=MLN","Sort=A","Dates=H","DateFormat=P","Fill=—","Direction=H","UseDPDF=Y")</f>
        <v>#NAME?</v>
      </c>
      <c r="E44" s="2" t="e">
        <f ca="1">_xll.BDH("CAVA US Equity","XO_GL_NET_OF_TAX","FY 2023","FY 2023","Currency=USD","Period=FY","BEST_FPERIOD_OVERRIDE=FY","FILING_STATUS=MR","SCALING_FORMAT=MLN","Sort=A","Dates=H","DateFormat=P","Fill=—","Direction=H","UseDPDF=Y")</f>
        <v>#NAME?</v>
      </c>
      <c r="F44" s="3"/>
      <c r="G44" s="2"/>
      <c r="H44" s="2"/>
    </row>
    <row r="45" spans="1:8" x14ac:dyDescent="0.25">
      <c r="A45" s="11"/>
      <c r="B45" s="9"/>
      <c r="C45" s="9"/>
      <c r="D45" s="9"/>
      <c r="E45" s="9"/>
      <c r="F45" s="10"/>
      <c r="G45" s="9"/>
      <c r="H45" s="9"/>
    </row>
    <row r="46" spans="1:8" x14ac:dyDescent="0.25">
      <c r="A46" s="4" t="s">
        <v>40</v>
      </c>
      <c r="B46" s="4" t="s">
        <v>39</v>
      </c>
      <c r="C46" s="2" t="e">
        <f ca="1">_xll.BDH("CAVA US Equity","IS_AVG_NUM_SH_FOR_EPS","FY 2021","FY 2021","Currency=USD","Period=FY","BEST_FPERIOD_OVERRIDE=FY","FILING_STATUS=MR","Sort=A","Dates=H","DateFormat=P","Fill=—","Direction=H","UseDPDF=Y")</f>
        <v>#NAME?</v>
      </c>
      <c r="D46" s="2" t="e">
        <f ca="1">_xll.BDH("CAVA US Equity","IS_AVG_NUM_SH_FOR_EPS","FY 2022","FY 2022","Currency=USD","Period=FY","BEST_FPERIOD_OVERRIDE=FY","FILING_STATUS=MR","Sort=A","Dates=H","DateFormat=P","Fill=—","Direction=H","UseDPDF=Y")</f>
        <v>#NAME?</v>
      </c>
      <c r="E46" s="2" t="e">
        <f ca="1">_xll.BDH("CAVA US Equity","IS_AVG_NUM_SH_FOR_EPS","FY 2023","FY 2023","Currency=USD","Period=FY","BEST_FPERIOD_OVERRIDE=FY","FILING_STATUS=MR","Sort=A","Dates=H","DateFormat=P","Fill=—","Direction=H","UseDPDF=Y")</f>
        <v>#NAME?</v>
      </c>
      <c r="F46" s="3">
        <v>113.642</v>
      </c>
      <c r="G46" s="2"/>
      <c r="H46" s="2"/>
    </row>
    <row r="47" spans="1:8" x14ac:dyDescent="0.25">
      <c r="A47" s="11" t="s">
        <v>38</v>
      </c>
      <c r="B47" s="11" t="s">
        <v>37</v>
      </c>
      <c r="C47" s="12" t="e">
        <f ca="1">_xll.BDH("CAVA US Equity","IS_EPS","FY 2021","FY 2021","Currency=USD","Period=FY","BEST_FPERIOD_OVERRIDE=FY","FILING_STATUS=MR","FA_ADJUSTED=GAAP","Sort=A","Dates=H","DateFormat=P","Fill=—","Direction=H","UseDPDF=Y")</f>
        <v>#NAME?</v>
      </c>
      <c r="D47" s="12" t="e">
        <f ca="1">_xll.BDH("CAVA US Equity","IS_EPS","FY 2022","FY 2022","Currency=USD","Period=FY","BEST_FPERIOD_OVERRIDE=FY","FILING_STATUS=MR","FA_ADJUSTED=GAAP","Sort=A","Dates=H","DateFormat=P","Fill=—","Direction=H","UseDPDF=Y")</f>
        <v>#NAME?</v>
      </c>
      <c r="E47" s="12" t="e">
        <f ca="1">_xll.BDH("CAVA US Equity","IS_EPS","FY 2023","FY 2023","Currency=USD","Period=FY","BEST_FPERIOD_OVERRIDE=FY","FILING_STATUS=MR","FA_ADJUSTED=GAAP","Sort=A","Dates=H","DateFormat=P","Fill=—","Direction=H","UseDPDF=Y")</f>
        <v>#NAME?</v>
      </c>
      <c r="F47" s="13"/>
      <c r="G47" s="12">
        <v>0.251</v>
      </c>
      <c r="H47" s="12">
        <v>0.34599999999999997</v>
      </c>
    </row>
    <row r="48" spans="1:8" x14ac:dyDescent="0.25">
      <c r="A48" s="11" t="s">
        <v>36</v>
      </c>
      <c r="B48" s="11" t="s">
        <v>35</v>
      </c>
      <c r="C48" s="12" t="e">
        <f ca="1">_xll.BDH("CAVA US Equity","IS_EARN_BEF_XO_ITEMS_PER_SH","FY 2021","FY 2021","Currency=USD","Period=FY","BEST_FPERIOD_OVERRIDE=FY","FILING_STATUS=MR","Sort=A","Dates=H","DateFormat=P","Fill=—","Direction=H","UseDPDF=Y")</f>
        <v>#NAME?</v>
      </c>
      <c r="D48" s="12" t="e">
        <f ca="1">_xll.BDH("CAVA US Equity","IS_EARN_BEF_XO_ITEMS_PER_SH","FY 2022","FY 2022","Currency=USD","Period=FY","BEST_FPERIOD_OVERRIDE=FY","FILING_STATUS=MR","Sort=A","Dates=H","DateFormat=P","Fill=—","Direction=H","UseDPDF=Y")</f>
        <v>#NAME?</v>
      </c>
      <c r="E48" s="12" t="e">
        <f ca="1">_xll.BDH("CAVA US Equity","IS_EARN_BEF_XO_ITEMS_PER_SH","FY 2023","FY 2023","Currency=USD","Period=FY","BEST_FPERIOD_OVERRIDE=FY","FILING_STATUS=MR","Sort=A","Dates=H","DateFormat=P","Fill=—","Direction=H","UseDPDF=Y")</f>
        <v>#NAME?</v>
      </c>
      <c r="F48" s="13"/>
      <c r="G48" s="12">
        <v>0.251</v>
      </c>
      <c r="H48" s="12">
        <v>0.34599999999999997</v>
      </c>
    </row>
    <row r="49" spans="1:8" x14ac:dyDescent="0.25">
      <c r="A49" s="11" t="s">
        <v>34</v>
      </c>
      <c r="B49" s="11" t="s">
        <v>33</v>
      </c>
      <c r="C49" s="12" t="e">
        <f ca="1">_xll.BDH("CAVA US Equity","IS_BASIC_EPS_CONT_OPS","FY 2021","FY 2021","Currency=USD","Period=FY","BEST_FPERIOD_OVERRIDE=FY","FILING_STATUS=MR","Sort=A","Dates=H","DateFormat=P","Fill=—","Direction=H","UseDPDF=Y")</f>
        <v>#NAME?</v>
      </c>
      <c r="D49" s="12" t="e">
        <f ca="1">_xll.BDH("CAVA US Equity","IS_BASIC_EPS_CONT_OPS","FY 2022","FY 2022","Currency=USD","Period=FY","BEST_FPERIOD_OVERRIDE=FY","FILING_STATUS=MR","Sort=A","Dates=H","DateFormat=P","Fill=—","Direction=H","UseDPDF=Y")</f>
        <v>#NAME?</v>
      </c>
      <c r="E49" s="12" t="e">
        <f ca="1">_xll.BDH("CAVA US Equity","IS_BASIC_EPS_CONT_OPS","FY 2023","FY 2023","Currency=USD","Period=FY","BEST_FPERIOD_OVERRIDE=FY","FILING_STATUS=MR","Sort=A","Dates=H","DateFormat=P","Fill=—","Direction=H","UseDPDF=Y")</f>
        <v>#NAME?</v>
      </c>
      <c r="F49" s="13"/>
      <c r="G49" s="12">
        <v>0.23699999999999999</v>
      </c>
      <c r="H49" s="12">
        <v>0.32400000000000001</v>
      </c>
    </row>
    <row r="50" spans="1:8" x14ac:dyDescent="0.25">
      <c r="A50" s="11"/>
      <c r="B50" s="9"/>
      <c r="C50" s="9"/>
      <c r="D50" s="9"/>
      <c r="E50" s="9"/>
      <c r="F50" s="10"/>
      <c r="G50" s="9"/>
      <c r="H50" s="9"/>
    </row>
    <row r="51" spans="1:8" x14ac:dyDescent="0.25">
      <c r="A51" s="4" t="s">
        <v>32</v>
      </c>
      <c r="B51" s="4" t="s">
        <v>31</v>
      </c>
      <c r="C51" s="2" t="e">
        <f ca="1">_xll.BDH("CAVA US Equity","IS_SH_FOR_DILUTED_EPS","FY 2021","FY 2021","Currency=USD","Period=FY","BEST_FPERIOD_OVERRIDE=FY","FILING_STATUS=MR","Sort=A","Dates=H","DateFormat=P","Fill=—","Direction=H","UseDPDF=Y")</f>
        <v>#NAME?</v>
      </c>
      <c r="D51" s="2" t="e">
        <f ca="1">_xll.BDH("CAVA US Equity","IS_SH_FOR_DILUTED_EPS","FY 2022","FY 2022","Currency=USD","Period=FY","BEST_FPERIOD_OVERRIDE=FY","FILING_STATUS=MR","Sort=A","Dates=H","DateFormat=P","Fill=—","Direction=H","UseDPDF=Y")</f>
        <v>#NAME?</v>
      </c>
      <c r="E51" s="2" t="e">
        <f ca="1">_xll.BDH("CAVA US Equity","IS_SH_FOR_DILUTED_EPS","FY 2023","FY 2023","Currency=USD","Period=FY","BEST_FPERIOD_OVERRIDE=FY","FILING_STATUS=MR","Sort=A","Dates=H","DateFormat=P","Fill=—","Direction=H","UseDPDF=Y")</f>
        <v>#NAME?</v>
      </c>
      <c r="F51" s="3">
        <v>117.25</v>
      </c>
      <c r="G51" s="2"/>
      <c r="H51" s="2"/>
    </row>
    <row r="52" spans="1:8" x14ac:dyDescent="0.25">
      <c r="A52" s="11" t="s">
        <v>30</v>
      </c>
      <c r="B52" s="11" t="s">
        <v>29</v>
      </c>
      <c r="C52" s="12" t="e">
        <f ca="1">_xll.BDH("CAVA US Equity","IS_DILUTED_EPS","FY 2021","FY 2021","Currency=USD","Period=FY","BEST_FPERIOD_OVERRIDE=FY","FILING_STATUS=MR","FA_ADJUSTED=GAAP","Sort=A","Dates=H","DateFormat=P","Fill=—","Direction=H","UseDPDF=Y")</f>
        <v>#NAME?</v>
      </c>
      <c r="D52" s="12" t="e">
        <f ca="1">_xll.BDH("CAVA US Equity","IS_DILUTED_EPS","FY 2022","FY 2022","Currency=USD","Period=FY","BEST_FPERIOD_OVERRIDE=FY","FILING_STATUS=MR","FA_ADJUSTED=GAAP","Sort=A","Dates=H","DateFormat=P","Fill=—","Direction=H","UseDPDF=Y")</f>
        <v>#NAME?</v>
      </c>
      <c r="E52" s="12" t="e">
        <f ca="1">_xll.BDH("CAVA US Equity","IS_DILUTED_EPS","FY 2023","FY 2023","Currency=USD","Period=FY","BEST_FPERIOD_OVERRIDE=FY","FILING_STATUS=MR","FA_ADJUSTED=GAAP","Sort=A","Dates=H","DateFormat=P","Fill=—","Direction=H","UseDPDF=Y")</f>
        <v>#NAME?</v>
      </c>
      <c r="F52" s="13"/>
      <c r="G52" s="12">
        <v>0.251</v>
      </c>
      <c r="H52" s="12">
        <v>0.34599999999999997</v>
      </c>
    </row>
    <row r="53" spans="1:8" x14ac:dyDescent="0.25">
      <c r="A53" s="11" t="s">
        <v>28</v>
      </c>
      <c r="B53" s="11" t="s">
        <v>27</v>
      </c>
      <c r="C53" s="12" t="e">
        <f ca="1">_xll.BDH("CAVA US Equity","IS_DIL_EPS_BEF_XO","FY 2021","FY 2021","Currency=USD","Period=FY","BEST_FPERIOD_OVERRIDE=FY","FILING_STATUS=MR","Sort=A","Dates=H","DateFormat=P","Fill=—","Direction=H","UseDPDF=Y")</f>
        <v>#NAME?</v>
      </c>
      <c r="D53" s="12" t="e">
        <f ca="1">_xll.BDH("CAVA US Equity","IS_DIL_EPS_BEF_XO","FY 2022","FY 2022","Currency=USD","Period=FY","BEST_FPERIOD_OVERRIDE=FY","FILING_STATUS=MR","Sort=A","Dates=H","DateFormat=P","Fill=—","Direction=H","UseDPDF=Y")</f>
        <v>#NAME?</v>
      </c>
      <c r="E53" s="12" t="e">
        <f ca="1">_xll.BDH("CAVA US Equity","IS_DIL_EPS_BEF_XO","FY 2023","FY 2023","Currency=USD","Period=FY","BEST_FPERIOD_OVERRIDE=FY","FILING_STATUS=MR","Sort=A","Dates=H","DateFormat=P","Fill=—","Direction=H","UseDPDF=Y")</f>
        <v>#NAME?</v>
      </c>
      <c r="F53" s="13"/>
      <c r="G53" s="12">
        <v>0.251</v>
      </c>
      <c r="H53" s="12">
        <v>0.34599999999999997</v>
      </c>
    </row>
    <row r="54" spans="1:8" x14ac:dyDescent="0.25">
      <c r="A54" s="11" t="s">
        <v>26</v>
      </c>
      <c r="B54" s="11" t="s">
        <v>25</v>
      </c>
      <c r="C54" s="12" t="e">
        <f ca="1">_xll.BDH("CAVA US Equity","IS_DIL_EPS_CONT_OPS","FY 2021","FY 2021","Currency=USD","Period=FY","BEST_FPERIOD_OVERRIDE=FY","FILING_STATUS=MR","Sort=A","Dates=H","DateFormat=P","Fill=—","Direction=H","UseDPDF=Y")</f>
        <v>#NAME?</v>
      </c>
      <c r="D54" s="12" t="e">
        <f ca="1">_xll.BDH("CAVA US Equity","IS_DIL_EPS_CONT_OPS","FY 2022","FY 2022","Currency=USD","Period=FY","BEST_FPERIOD_OVERRIDE=FY","FILING_STATUS=MR","Sort=A","Dates=H","DateFormat=P","Fill=—","Direction=H","UseDPDF=Y")</f>
        <v>#NAME?</v>
      </c>
      <c r="E54" s="12" t="e">
        <f ca="1">_xll.BDH("CAVA US Equity","IS_DIL_EPS_CONT_OPS","FY 2023","FY 2023","Currency=USD","Period=FY","BEST_FPERIOD_OVERRIDE=FY","FILING_STATUS=MR","Sort=A","Dates=H","DateFormat=P","Fill=—","Direction=H","UseDPDF=Y")</f>
        <v>#NAME?</v>
      </c>
      <c r="F54" s="13"/>
      <c r="G54" s="12">
        <v>0.23699999999999999</v>
      </c>
      <c r="H54" s="12">
        <v>0.32400000000000001</v>
      </c>
    </row>
    <row r="55" spans="1:8" x14ac:dyDescent="0.25">
      <c r="A55" s="11"/>
      <c r="B55" s="9"/>
      <c r="C55" s="9"/>
      <c r="D55" s="9"/>
      <c r="E55" s="9"/>
      <c r="F55" s="10"/>
      <c r="G55" s="9"/>
      <c r="H55" s="9"/>
    </row>
    <row r="56" spans="1:8" x14ac:dyDescent="0.25">
      <c r="A56" s="11" t="s">
        <v>24</v>
      </c>
      <c r="B56" s="9"/>
      <c r="C56" s="9"/>
      <c r="D56" s="9"/>
      <c r="E56" s="9"/>
      <c r="F56" s="10"/>
      <c r="G56" s="9"/>
      <c r="H56" s="9"/>
    </row>
    <row r="57" spans="1:8" x14ac:dyDescent="0.25">
      <c r="A57" s="4" t="s">
        <v>23</v>
      </c>
      <c r="B57" s="4" t="s">
        <v>22</v>
      </c>
      <c r="C57" s="7" t="s">
        <v>21</v>
      </c>
      <c r="D57" s="7" t="s">
        <v>21</v>
      </c>
      <c r="E57" s="7" t="s">
        <v>21</v>
      </c>
      <c r="F57" s="8"/>
      <c r="G57" s="7"/>
      <c r="H57" s="7"/>
    </row>
    <row r="58" spans="1:8" x14ac:dyDescent="0.25">
      <c r="A58" s="4" t="s">
        <v>20</v>
      </c>
      <c r="B58" s="4" t="s">
        <v>20</v>
      </c>
      <c r="C58" s="2" t="e">
        <f ca="1">_xll.BDH("CAVA US Equity","EBITDA","FY 2021","FY 2021","Currency=USD","Period=FY","BEST_FPERIOD_OVERRIDE=FY","FILING_STATUS=MR","SCALING_FORMAT=MLN","FA_ADJUSTED=Adjusted","Sort=A","Dates=H","DateFormat=P","Fill=—","Direction=H","UseDPDF=Y")</f>
        <v>#NAME?</v>
      </c>
      <c r="D58" s="2" t="e">
        <f ca="1">_xll.BDH("CAVA US Equity","EBITDA","FY 2022","FY 2022","Currency=USD","Period=FY","BEST_FPERIOD_OVERRIDE=FY","FILING_STATUS=MR","SCALING_FORMAT=MLN","FA_ADJUSTED=Adjusted","Sort=A","Dates=H","DateFormat=P","Fill=—","Direction=H","UseDPDF=Y")</f>
        <v>#NAME?</v>
      </c>
      <c r="E58" s="2" t="e">
        <f ca="1">_xll.BDH("CAVA US Equity","EBITDA","FY 2023","FY 2023","Currency=USD","Period=FY","BEST_FPERIOD_OVERRIDE=FY","FILING_STATUS=MR","SCALING_FORMAT=MLN","FA_ADJUSTED=Adjusted","Sort=A","Dates=H","DateFormat=P","Fill=—","Direction=H","UseDPDF=Y")</f>
        <v>#NAME?</v>
      </c>
      <c r="F58" s="3"/>
      <c r="G58" s="2">
        <v>91.933000000000007</v>
      </c>
      <c r="H58" s="2">
        <v>114.75</v>
      </c>
    </row>
    <row r="59" spans="1:8" x14ac:dyDescent="0.25">
      <c r="A59" s="4" t="s">
        <v>19</v>
      </c>
      <c r="B59" s="4" t="s">
        <v>18</v>
      </c>
      <c r="C59" s="5" t="e">
        <f ca="1">_xll.BDH("CAVA US Equity","EBITDA_MARGIN","FY 2021","FY 2021","Currency=USD","Period=FY","BEST_FPERIOD_OVERRIDE=FY","FILING_STATUS=MR","FA_ADJUSTED=Adjusted","Sort=A","Dates=H","DateFormat=P","Fill=—","Direction=H","UseDPDF=Y")</f>
        <v>#NAME?</v>
      </c>
      <c r="D59" s="5" t="e">
        <f ca="1">_xll.BDH("CAVA US Equity","EBITDA_MARGIN","FY 2022","FY 2022","Currency=USD","Period=FY","BEST_FPERIOD_OVERRIDE=FY","FILING_STATUS=MR","FA_ADJUSTED=Adjusted","Sort=A","Dates=H","DateFormat=P","Fill=—","Direction=H","UseDPDF=Y")</f>
        <v>#NAME?</v>
      </c>
      <c r="E59" s="5" t="e">
        <f ca="1">_xll.BDH("CAVA US Equity","EBITDA_MARGIN","FY 2023","FY 2023","Currency=USD","Period=FY","BEST_FPERIOD_OVERRIDE=FY","FILING_STATUS=MR","FA_ADJUSTED=Adjusted","Sort=A","Dates=H","DateFormat=P","Fill=—","Direction=H","UseDPDF=Y")</f>
        <v>#NAME?</v>
      </c>
      <c r="F59" s="6"/>
      <c r="G59" s="5">
        <v>10.5242130279393</v>
      </c>
      <c r="H59" s="5">
        <v>11.0459105584466</v>
      </c>
    </row>
    <row r="60" spans="1:8" x14ac:dyDescent="0.25">
      <c r="A60" s="4" t="s">
        <v>17</v>
      </c>
      <c r="B60" s="4" t="s">
        <v>17</v>
      </c>
      <c r="C60" s="2" t="e">
        <f ca="1">_xll.BDH("CAVA US Equity","EBITA","FY 2021","FY 2021","Currency=USD","Period=FY","BEST_FPERIOD_OVERRIDE=FY","FILING_STATUS=MR","SCALING_FORMAT=MLN","FA_ADJUSTED=Adjusted","Sort=A","Dates=H","DateFormat=P","Fill=—","Direction=H","UseDPDF=Y")</f>
        <v>#NAME?</v>
      </c>
      <c r="D60" s="2" t="e">
        <f ca="1">_xll.BDH("CAVA US Equity","EBITA","FY 2022","FY 2022","Currency=USD","Period=FY","BEST_FPERIOD_OVERRIDE=FY","FILING_STATUS=MR","SCALING_FORMAT=MLN","FA_ADJUSTED=Adjusted","Sort=A","Dates=H","DateFormat=P","Fill=—","Direction=H","UseDPDF=Y")</f>
        <v>#NAME?</v>
      </c>
      <c r="E60" s="2" t="e">
        <f ca="1">_xll.BDH("CAVA US Equity","EBITA","FY 2023","FY 2023","Currency=USD","Period=FY","BEST_FPERIOD_OVERRIDE=FY","FILING_STATUS=MR","SCALING_FORMAT=MLN","FA_ADJUSTED=Adjusted","Sort=A","Dates=H","DateFormat=P","Fill=—","Direction=H","UseDPDF=Y")</f>
        <v>#NAME?</v>
      </c>
      <c r="F60" s="3">
        <v>28.212</v>
      </c>
      <c r="G60" s="2"/>
      <c r="H60" s="2"/>
    </row>
    <row r="61" spans="1:8" x14ac:dyDescent="0.25">
      <c r="A61" s="4" t="s">
        <v>16</v>
      </c>
      <c r="B61" s="4" t="s">
        <v>16</v>
      </c>
      <c r="C61" s="2" t="e">
        <f ca="1">_xll.BDH("CAVA US Equity","EBIT","FY 2021","FY 2021","Currency=USD","Period=FY","BEST_FPERIOD_OVERRIDE=FY","FILING_STATUS=MR","SCALING_FORMAT=MLN","FA_ADJUSTED=Adjusted","Sort=A","Dates=H","DateFormat=P","Fill=—","Direction=H","UseDPDF=Y")</f>
        <v>#NAME?</v>
      </c>
      <c r="D61" s="2" t="e">
        <f ca="1">_xll.BDH("CAVA US Equity","EBIT","FY 2022","FY 2022","Currency=USD","Period=FY","BEST_FPERIOD_OVERRIDE=FY","FILING_STATUS=MR","SCALING_FORMAT=MLN","FA_ADJUSTED=Adjusted","Sort=A","Dates=H","DateFormat=P","Fill=—","Direction=H","UseDPDF=Y")</f>
        <v>#NAME?</v>
      </c>
      <c r="E61" s="2" t="e">
        <f ca="1">_xll.BDH("CAVA US Equity","EBIT","FY 2023","FY 2023","Currency=USD","Period=FY","BEST_FPERIOD_OVERRIDE=FY","FILING_STATUS=MR","SCALING_FORMAT=MLN","FA_ADJUSTED=Adjusted","Sort=A","Dates=H","DateFormat=P","Fill=—","Direction=H","UseDPDF=Y")</f>
        <v>#NAME?</v>
      </c>
      <c r="F61" s="3">
        <v>13.022</v>
      </c>
      <c r="G61" s="2">
        <v>14.032999999999999</v>
      </c>
      <c r="H61" s="2">
        <v>25.469000000000001</v>
      </c>
    </row>
    <row r="62" spans="1:8" x14ac:dyDescent="0.25">
      <c r="A62" s="4" t="s">
        <v>15</v>
      </c>
      <c r="B62" s="4" t="s">
        <v>14</v>
      </c>
      <c r="C62" s="5" t="e">
        <f ca="1">_xll.BDH("CAVA US Equity","GROSS_MARGIN","FY 2021","FY 2021","Currency=USD","Period=FY","BEST_FPERIOD_OVERRIDE=FY","FILING_STATUS=MR","FA_ADJUSTED=Adjusted","Sort=A","Dates=H","DateFormat=P","Fill=—","Direction=H","UseDPDF=Y")</f>
        <v>#NAME?</v>
      </c>
      <c r="D62" s="5" t="e">
        <f ca="1">_xll.BDH("CAVA US Equity","GROSS_MARGIN","FY 2022","FY 2022","Currency=USD","Period=FY","BEST_FPERIOD_OVERRIDE=FY","FILING_STATUS=MR","FA_ADJUSTED=Adjusted","Sort=A","Dates=H","DateFormat=P","Fill=—","Direction=H","UseDPDF=Y")</f>
        <v>#NAME?</v>
      </c>
      <c r="E62" s="5" t="e">
        <f ca="1">_xll.BDH("CAVA US Equity","GROSS_MARGIN","FY 2023","FY 2023","Currency=USD","Period=FY","BEST_FPERIOD_OVERRIDE=FY","FILING_STATUS=MR","FA_ADJUSTED=Adjusted","Sort=A","Dates=H","DateFormat=P","Fill=—","Direction=H","UseDPDF=Y")</f>
        <v>#NAME?</v>
      </c>
      <c r="F62" s="6"/>
      <c r="G62" s="5">
        <v>42.9</v>
      </c>
      <c r="H62" s="5">
        <v>15</v>
      </c>
    </row>
    <row r="63" spans="1:8" x14ac:dyDescent="0.25">
      <c r="A63" s="4" t="s">
        <v>13</v>
      </c>
      <c r="B63" s="4" t="s">
        <v>12</v>
      </c>
      <c r="C63" s="5" t="e">
        <f ca="1">_xll.BDH("CAVA US Equity","OPER_MARGIN","FY 2021","FY 2021","Currency=USD","Period=FY","BEST_FPERIOD_OVERRIDE=FY","FILING_STATUS=MR","FA_ADJUSTED=Adjusted","Sort=A","Dates=H","DateFormat=P","Fill=—","Direction=H","UseDPDF=Y")</f>
        <v>#NAME?</v>
      </c>
      <c r="D63" s="5" t="e">
        <f ca="1">_xll.BDH("CAVA US Equity","OPER_MARGIN","FY 2022","FY 2022","Currency=USD","Period=FY","BEST_FPERIOD_OVERRIDE=FY","FILING_STATUS=MR","FA_ADJUSTED=Adjusted","Sort=A","Dates=H","DateFormat=P","Fill=—","Direction=H","UseDPDF=Y")</f>
        <v>#NAME?</v>
      </c>
      <c r="E63" s="5" t="e">
        <f ca="1">_xll.BDH("CAVA US Equity","OPER_MARGIN","FY 2023","FY 2023","Currency=USD","Period=FY","BEST_FPERIOD_OVERRIDE=FY","FILING_STATUS=MR","FA_ADJUSTED=Adjusted","Sort=A","Dates=H","DateFormat=P","Fill=—","Direction=H","UseDPDF=Y")</f>
        <v>#NAME?</v>
      </c>
      <c r="F63" s="6"/>
      <c r="G63" s="5">
        <v>1.60645558636259</v>
      </c>
      <c r="H63" s="5">
        <v>2.4516627103536002</v>
      </c>
    </row>
    <row r="64" spans="1:8" x14ac:dyDescent="0.25">
      <c r="A64" s="4" t="s">
        <v>11</v>
      </c>
      <c r="B64" s="4" t="s">
        <v>10</v>
      </c>
      <c r="C64" s="5" t="e">
        <f ca="1">_xll.BDH("CAVA US Equity","PROF_MARGIN","FY 2021","FY 2021","Currency=USD","Period=FY","BEST_FPERIOD_OVERRIDE=FY","FILING_STATUS=MR","FA_ADJUSTED=Adjusted","Sort=A","Dates=H","DateFormat=P","Fill=—","Direction=H","UseDPDF=Y")</f>
        <v>#NAME?</v>
      </c>
      <c r="D64" s="5" t="e">
        <f ca="1">_xll.BDH("CAVA US Equity","PROF_MARGIN","FY 2022","FY 2022","Currency=USD","Period=FY","BEST_FPERIOD_OVERRIDE=FY","FILING_STATUS=MR","FA_ADJUSTED=Adjusted","Sort=A","Dates=H","DateFormat=P","Fill=—","Direction=H","UseDPDF=Y")</f>
        <v>#NAME?</v>
      </c>
      <c r="E64" s="5" t="e">
        <f ca="1">_xll.BDH("CAVA US Equity","PROF_MARGIN","FY 2023","FY 2023","Currency=USD","Period=FY","BEST_FPERIOD_OVERRIDE=FY","FILING_STATUS=MR","FA_ADJUSTED=Adjusted","Sort=A","Dates=H","DateFormat=P","Fill=—","Direction=H","UseDPDF=Y")</f>
        <v>#NAME?</v>
      </c>
      <c r="F64" s="6"/>
      <c r="G64" s="5">
        <v>3.07279133821311</v>
      </c>
      <c r="H64" s="5">
        <v>3.5479753495705801</v>
      </c>
    </row>
    <row r="65" spans="1:8" x14ac:dyDescent="0.25">
      <c r="A65" s="4" t="s">
        <v>9</v>
      </c>
      <c r="B65" s="4" t="s">
        <v>8</v>
      </c>
      <c r="C65" s="5" t="e">
        <f ca="1">_xll.BDH("CAVA US Equity","EQY_DPS","FY 2021","FY 2021","Currency=USD","Period=FY","BEST_FPERIOD_OVERRIDE=FY","FILING_STATUS=MR","Sort=A","Dates=H","DateFormat=P","Fill=—","Direction=H","UseDPDF=Y")</f>
        <v>#NAME?</v>
      </c>
      <c r="D65" s="5" t="e">
        <f ca="1">_xll.BDH("CAVA US Equity","EQY_DPS","FY 2022","FY 2022","Currency=USD","Period=FY","BEST_FPERIOD_OVERRIDE=FY","FILING_STATUS=MR","Sort=A","Dates=H","DateFormat=P","Fill=—","Direction=H","UseDPDF=Y")</f>
        <v>#NAME?</v>
      </c>
      <c r="E65" s="5" t="e">
        <f ca="1">_xll.BDH("CAVA US Equity","EQY_DPS","FY 2023","FY 2023","Currency=USD","Period=FY","BEST_FPERIOD_OVERRIDE=FY","FILING_STATUS=MR","Sort=A","Dates=H","DateFormat=P","Fill=—","Direction=H","UseDPDF=Y")</f>
        <v>#NAME?</v>
      </c>
      <c r="F65" s="6"/>
      <c r="G65" s="5">
        <v>0</v>
      </c>
      <c r="H65" s="5">
        <v>0</v>
      </c>
    </row>
    <row r="66" spans="1:8" x14ac:dyDescent="0.25">
      <c r="A66" s="4" t="s">
        <v>7</v>
      </c>
      <c r="B66" s="4" t="s">
        <v>6</v>
      </c>
      <c r="C66" s="2" t="e">
        <f ca="1">_xll.BDH("CAVA US Equity","IS_TOT_CASH_COM_DVD","FY 2021","FY 2021","Currency=USD","Period=FY","BEST_FPERIOD_OVERRIDE=FY","FILING_STATUS=MR","SCALING_FORMAT=MLN","Sort=A","Dates=H","DateFormat=P","Fill=—","Direction=H","UseDPDF=Y")</f>
        <v>#NAME?</v>
      </c>
      <c r="D66" s="2" t="e">
        <f ca="1">_xll.BDH("CAVA US Equity","IS_TOT_CASH_COM_DVD","FY 2022","FY 2022","Currency=USD","Period=FY","BEST_FPERIOD_OVERRIDE=FY","FILING_STATUS=MR","SCALING_FORMAT=MLN","Sort=A","Dates=H","DateFormat=P","Fill=—","Direction=H","UseDPDF=Y")</f>
        <v>#NAME?</v>
      </c>
      <c r="E66" s="2" t="e">
        <f ca="1">_xll.BDH("CAVA US Equity","IS_TOT_CASH_COM_DVD","FY 2023","FY 2023","Currency=USD","Period=FY","BEST_FPERIOD_OVERRIDE=FY","FILING_STATUS=MR","SCALING_FORMAT=MLN","Sort=A","Dates=H","DateFormat=P","Fill=—","Direction=H","UseDPDF=Y")</f>
        <v>#NAME?</v>
      </c>
      <c r="F66" s="3"/>
      <c r="G66" s="2"/>
      <c r="H66" s="2"/>
    </row>
    <row r="67" spans="1:8" x14ac:dyDescent="0.25">
      <c r="A67" s="4" t="s">
        <v>5</v>
      </c>
      <c r="B67" s="4" t="s">
        <v>4</v>
      </c>
      <c r="C67" s="2" t="e">
        <f ca="1">_xll.BDH("CAVA US Equity","IS_DEPR_EXP","FY 2021","FY 2021","Currency=USD","Period=FY","BEST_FPERIOD_OVERRIDE=FY","FILING_STATUS=MR","SCALING_FORMAT=MLN","Sort=A","Dates=H","DateFormat=P","Fill=—","Direction=H","UseDPDF=Y")</f>
        <v>#NAME?</v>
      </c>
      <c r="D67" s="2" t="e">
        <f ca="1">_xll.BDH("CAVA US Equity","IS_DEPR_EXP","FY 2022","FY 2022","Currency=USD","Period=FY","BEST_FPERIOD_OVERRIDE=FY","FILING_STATUS=MR","SCALING_FORMAT=MLN","Sort=A","Dates=H","DateFormat=P","Fill=—","Direction=H","UseDPDF=Y")</f>
        <v>#NAME?</v>
      </c>
      <c r="E67" s="2" t="e">
        <f ca="1">_xll.BDH("CAVA US Equity","IS_DEPR_EXP","FY 2023","FY 2023","Currency=USD","Period=FY","BEST_FPERIOD_OVERRIDE=FY","FILING_STATUS=MR","SCALING_FORMAT=MLN","Sort=A","Dates=H","DateFormat=P","Fill=—","Direction=H","UseDPDF=Y")</f>
        <v>#NAME?</v>
      </c>
      <c r="F67" s="3">
        <v>23.864999999999998</v>
      </c>
      <c r="G67" s="2"/>
      <c r="H67" s="2"/>
    </row>
    <row r="68" spans="1:8" x14ac:dyDescent="0.25">
      <c r="A68" s="4" t="s">
        <v>3</v>
      </c>
      <c r="B68" s="4" t="s">
        <v>2</v>
      </c>
      <c r="C68" s="2" t="e">
        <f ca="1">_xll.BDH("CAVA US Equity","BS_CURR_RENTAL_EXPENSE","FY 2021","FY 2021","Currency=USD","Period=FY","BEST_FPERIOD_OVERRIDE=FY","FILING_STATUS=MR","SCALING_FORMAT=MLN","Sort=A","Dates=H","DateFormat=P","Fill=—","Direction=H","UseDPDF=Y")</f>
        <v>#NAME?</v>
      </c>
      <c r="D68" s="2" t="e">
        <f ca="1">_xll.BDH("CAVA US Equity","BS_CURR_RENTAL_EXPENSE","FY 2022","FY 2022","Currency=USD","Period=FY","BEST_FPERIOD_OVERRIDE=FY","FILING_STATUS=MR","SCALING_FORMAT=MLN","Sort=A","Dates=H","DateFormat=P","Fill=—","Direction=H","UseDPDF=Y")</f>
        <v>#NAME?</v>
      </c>
      <c r="E68" s="2" t="e">
        <f ca="1">_xll.BDH("CAVA US Equity","BS_CURR_RENTAL_EXPENSE","FY 2023","FY 2023","Currency=USD","Period=FY","BEST_FPERIOD_OVERRIDE=FY","FILING_STATUS=MR","SCALING_FORMAT=MLN","Sort=A","Dates=H","DateFormat=P","Fill=—","Direction=H","UseDPDF=Y")</f>
        <v>#NAME?</v>
      </c>
      <c r="F68" s="3">
        <v>35.573999999999998</v>
      </c>
      <c r="G68" s="2"/>
      <c r="H68" s="2"/>
    </row>
    <row r="69" spans="1:8" x14ac:dyDescent="0.25">
      <c r="A69" s="1" t="s">
        <v>1</v>
      </c>
      <c r="B69" s="1"/>
      <c r="C69" s="1" t="s">
        <v>0</v>
      </c>
      <c r="D69" s="1"/>
      <c r="E69" s="1"/>
      <c r="F69" s="1"/>
      <c r="G69" s="1"/>
      <c r="H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Watkins</dc:creator>
  <cp:lastModifiedBy>Danny Watkins</cp:lastModifiedBy>
  <dcterms:created xsi:type="dcterms:W3CDTF">2024-04-22T07:06:53Z</dcterms:created>
  <dcterms:modified xsi:type="dcterms:W3CDTF">2024-04-22T07:08:41Z</dcterms:modified>
</cp:coreProperties>
</file>