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17d9c0a80a0f48/Desktop/Finance Laboratory/.vscode/GeneratedDCF/"/>
    </mc:Choice>
  </mc:AlternateContent>
  <xr:revisionPtr revIDLastSave="24" documentId="11_C2A058B80F28511CE866B5B9745BC243762FE0DF" xr6:coauthVersionLast="47" xr6:coauthVersionMax="47" xr10:uidLastSave="{6EACB775-9D38-4145-820B-8AE929DEB51B}"/>
  <bookViews>
    <workbookView xWindow="-105" yWindow="0" windowWidth="38610" windowHeight="20985" activeTab="6" xr2:uid="{00000000-000D-0000-FFFF-FFFF00000000}"/>
  </bookViews>
  <sheets>
    <sheet name="OUTPUTS &gt;&gt;&gt;" sheetId="1" r:id="rId1"/>
    <sheet name="Historical Financial Data" sheetId="2" r:id="rId2"/>
    <sheet name="DCF" sheetId="3" r:id="rId3"/>
    <sheet name="WACC" sheetId="4" r:id="rId4"/>
    <sheet name="Assumptions" sheetId="9" r:id="rId5"/>
    <sheet name="SOURCE DATA &gt;&gt;&gt;" sheetId="5" r:id="rId6"/>
    <sheet name="Income Statement" sheetId="6" r:id="rId7"/>
    <sheet name="Statement Cash Flows" sheetId="7" r:id="rId8"/>
    <sheet name="Balance Sheet" sheetId="8" r:id="rId9"/>
  </sheets>
  <definedNames>
    <definedName name="_xlnm.Print_Area" localSheetId="2">DCF!$A$1:$X$43</definedName>
    <definedName name="_xlnm.Print_Area" localSheetId="1">'Historical Financial Data'!$A$1:$O$40</definedName>
    <definedName name="_xlnm.Print_Area" localSheetId="3">WACC!$A$1:$D$23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6" l="1"/>
  <c r="E81" i="8"/>
  <c r="D81" i="8"/>
  <c r="C81" i="8"/>
  <c r="E80" i="8"/>
  <c r="D80" i="8"/>
  <c r="C80" i="8"/>
  <c r="E79" i="8"/>
  <c r="D79" i="8"/>
  <c r="C79" i="8"/>
  <c r="E78" i="8"/>
  <c r="D78" i="8"/>
  <c r="C78" i="8"/>
  <c r="E77" i="8"/>
  <c r="D77" i="8"/>
  <c r="C77" i="8"/>
  <c r="E76" i="8"/>
  <c r="D76" i="8"/>
  <c r="C76" i="8"/>
  <c r="E75" i="8"/>
  <c r="D75" i="8"/>
  <c r="C75" i="8"/>
  <c r="E74" i="8"/>
  <c r="D74" i="8"/>
  <c r="C74" i="8"/>
  <c r="E73" i="8"/>
  <c r="D73" i="8"/>
  <c r="C73" i="8"/>
  <c r="E72" i="8"/>
  <c r="D72" i="8"/>
  <c r="C72" i="8"/>
  <c r="E71" i="8"/>
  <c r="D71" i="8"/>
  <c r="C71" i="8"/>
  <c r="E67" i="8"/>
  <c r="D67" i="8"/>
  <c r="C67" i="8"/>
  <c r="E66" i="8"/>
  <c r="D66" i="8"/>
  <c r="C66" i="8"/>
  <c r="E65" i="8"/>
  <c r="D65" i="8"/>
  <c r="C65" i="8"/>
  <c r="E64" i="8"/>
  <c r="D64" i="8"/>
  <c r="C64" i="8"/>
  <c r="E63" i="8"/>
  <c r="D63" i="8"/>
  <c r="C63" i="8"/>
  <c r="E62" i="8"/>
  <c r="D62" i="8"/>
  <c r="C62" i="8"/>
  <c r="E61" i="8"/>
  <c r="D61" i="8"/>
  <c r="C61" i="8"/>
  <c r="E60" i="8"/>
  <c r="D60" i="8"/>
  <c r="C60" i="8"/>
  <c r="E59" i="8"/>
  <c r="D59" i="8"/>
  <c r="C59" i="8"/>
  <c r="E58" i="8"/>
  <c r="D58" i="8"/>
  <c r="C58" i="8"/>
  <c r="E57" i="8"/>
  <c r="D57" i="8"/>
  <c r="C57" i="8"/>
  <c r="E56" i="8"/>
  <c r="D56" i="8"/>
  <c r="C56" i="8"/>
  <c r="E55" i="8"/>
  <c r="D55" i="8"/>
  <c r="C55" i="8"/>
  <c r="E54" i="8"/>
  <c r="D54" i="8"/>
  <c r="C54" i="8"/>
  <c r="E53" i="8"/>
  <c r="D53" i="8"/>
  <c r="C53" i="8"/>
  <c r="E52" i="8"/>
  <c r="D52" i="8"/>
  <c r="C52" i="8"/>
  <c r="E51" i="8"/>
  <c r="D51" i="8"/>
  <c r="C51" i="8"/>
  <c r="E50" i="8"/>
  <c r="D50" i="8"/>
  <c r="C50" i="8"/>
  <c r="E49" i="8"/>
  <c r="D49" i="8"/>
  <c r="C49" i="8"/>
  <c r="E48" i="8"/>
  <c r="D48" i="8"/>
  <c r="C48" i="8"/>
  <c r="E47" i="8"/>
  <c r="D47" i="8"/>
  <c r="C47" i="8"/>
  <c r="E46" i="8"/>
  <c r="D46" i="8"/>
  <c r="C46" i="8"/>
  <c r="E45" i="8"/>
  <c r="D45" i="8"/>
  <c r="C45" i="8"/>
  <c r="E44" i="8"/>
  <c r="D44" i="8"/>
  <c r="C44" i="8"/>
  <c r="E43" i="8"/>
  <c r="D43" i="8"/>
  <c r="C43" i="8"/>
  <c r="E42" i="8"/>
  <c r="D42" i="8"/>
  <c r="C42" i="8"/>
  <c r="E41" i="8"/>
  <c r="D41" i="8"/>
  <c r="C41" i="8"/>
  <c r="E40" i="8"/>
  <c r="D40" i="8"/>
  <c r="C40" i="8"/>
  <c r="E39" i="8"/>
  <c r="D39" i="8"/>
  <c r="C39" i="8"/>
  <c r="E38" i="8"/>
  <c r="D38" i="8"/>
  <c r="C38" i="8"/>
  <c r="E37" i="8"/>
  <c r="D37" i="8"/>
  <c r="C37" i="8"/>
  <c r="E36" i="8"/>
  <c r="D36" i="8"/>
  <c r="C36" i="8"/>
  <c r="E35" i="8"/>
  <c r="D35" i="8"/>
  <c r="C35" i="8"/>
  <c r="E34" i="8"/>
  <c r="D34" i="8"/>
  <c r="C34" i="8"/>
  <c r="E33" i="8"/>
  <c r="D33" i="8"/>
  <c r="C33" i="8"/>
  <c r="E32" i="8"/>
  <c r="D32" i="8"/>
  <c r="C32" i="8"/>
  <c r="E31" i="8"/>
  <c r="D31" i="8"/>
  <c r="C31" i="8"/>
  <c r="E28" i="8"/>
  <c r="D28" i="8"/>
  <c r="C28" i="8"/>
  <c r="E27" i="8"/>
  <c r="D27" i="8"/>
  <c r="C27" i="8"/>
  <c r="E26" i="8"/>
  <c r="D26" i="8"/>
  <c r="C26" i="8"/>
  <c r="E25" i="8"/>
  <c r="D25" i="8"/>
  <c r="C25" i="8"/>
  <c r="E24" i="8"/>
  <c r="D24" i="8"/>
  <c r="C24" i="8"/>
  <c r="E23" i="8"/>
  <c r="D23" i="8"/>
  <c r="C23" i="8"/>
  <c r="E22" i="8"/>
  <c r="D22" i="8"/>
  <c r="C22" i="8"/>
  <c r="E21" i="8"/>
  <c r="D21" i="8"/>
  <c r="C21" i="8"/>
  <c r="E20" i="8"/>
  <c r="D20" i="8"/>
  <c r="C20" i="8"/>
  <c r="E19" i="8"/>
  <c r="D19" i="8"/>
  <c r="C19" i="8"/>
  <c r="E18" i="8"/>
  <c r="D18" i="8"/>
  <c r="C18" i="8"/>
  <c r="E17" i="8"/>
  <c r="D17" i="8"/>
  <c r="C17" i="8"/>
  <c r="E16" i="8"/>
  <c r="D16" i="8"/>
  <c r="C16" i="8"/>
  <c r="E15" i="8"/>
  <c r="D15" i="8"/>
  <c r="C15" i="8"/>
  <c r="E14" i="8"/>
  <c r="D14" i="8"/>
  <c r="C14" i="8"/>
  <c r="E13" i="8"/>
  <c r="D13" i="8"/>
  <c r="C13" i="8"/>
  <c r="E12" i="8"/>
  <c r="D12" i="8"/>
  <c r="C12" i="8"/>
  <c r="E11" i="8"/>
  <c r="D11" i="8"/>
  <c r="C11" i="8"/>
  <c r="E10" i="8"/>
  <c r="D10" i="8"/>
  <c r="C10" i="8"/>
  <c r="E9" i="8"/>
  <c r="D9" i="8"/>
  <c r="C9" i="8"/>
  <c r="E8" i="8"/>
  <c r="D8" i="8"/>
  <c r="C8" i="8"/>
  <c r="E7" i="8"/>
  <c r="D7" i="8"/>
  <c r="C7" i="8"/>
  <c r="E6" i="8"/>
  <c r="D6" i="8"/>
  <c r="C6" i="8"/>
  <c r="E62" i="7"/>
  <c r="D62" i="7"/>
  <c r="C62" i="7"/>
  <c r="E61" i="7"/>
  <c r="D61" i="7"/>
  <c r="C61" i="7"/>
  <c r="E60" i="7"/>
  <c r="D60" i="7"/>
  <c r="C60" i="7"/>
  <c r="E59" i="7"/>
  <c r="D59" i="7"/>
  <c r="C59" i="7"/>
  <c r="E58" i="7"/>
  <c r="D58" i="7"/>
  <c r="C58" i="7"/>
  <c r="E57" i="7"/>
  <c r="D57" i="7"/>
  <c r="C57" i="7"/>
  <c r="E54" i="7"/>
  <c r="D54" i="7"/>
  <c r="C54" i="7"/>
  <c r="E53" i="7"/>
  <c r="D53" i="7"/>
  <c r="C53" i="7"/>
  <c r="E51" i="7"/>
  <c r="D51" i="7"/>
  <c r="C51" i="7"/>
  <c r="E49" i="7"/>
  <c r="D49" i="7"/>
  <c r="C49" i="7"/>
  <c r="E47" i="7"/>
  <c r="D47" i="7"/>
  <c r="C47" i="7"/>
  <c r="E46" i="7"/>
  <c r="D46" i="7"/>
  <c r="C46" i="7"/>
  <c r="E45" i="7"/>
  <c r="D45" i="7"/>
  <c r="C45" i="7"/>
  <c r="E44" i="7"/>
  <c r="D44" i="7"/>
  <c r="C44" i="7"/>
  <c r="E43" i="7"/>
  <c r="D43" i="7"/>
  <c r="C43" i="7"/>
  <c r="E42" i="7"/>
  <c r="D42" i="7"/>
  <c r="C42" i="7"/>
  <c r="E41" i="7"/>
  <c r="D41" i="7"/>
  <c r="C41" i="7"/>
  <c r="E40" i="7"/>
  <c r="D40" i="7"/>
  <c r="C40" i="7"/>
  <c r="E37" i="7"/>
  <c r="D37" i="7"/>
  <c r="C37" i="7"/>
  <c r="E36" i="7"/>
  <c r="D36" i="7"/>
  <c r="C36" i="7"/>
  <c r="E35" i="7"/>
  <c r="D35" i="7"/>
  <c r="C35" i="7"/>
  <c r="E34" i="7"/>
  <c r="D34" i="7"/>
  <c r="C34" i="7"/>
  <c r="E33" i="7"/>
  <c r="D33" i="7"/>
  <c r="C33" i="7"/>
  <c r="E32" i="7"/>
  <c r="D32" i="7"/>
  <c r="C32" i="7"/>
  <c r="E31" i="7"/>
  <c r="D31" i="7"/>
  <c r="C31" i="7"/>
  <c r="E30" i="7"/>
  <c r="D30" i="7"/>
  <c r="C30" i="7"/>
  <c r="E29" i="7"/>
  <c r="D29" i="7"/>
  <c r="C29" i="7"/>
  <c r="E28" i="7"/>
  <c r="D28" i="7"/>
  <c r="C28" i="7"/>
  <c r="E27" i="7"/>
  <c r="D27" i="7"/>
  <c r="C27" i="7"/>
  <c r="E26" i="7"/>
  <c r="D26" i="7"/>
  <c r="C26" i="7"/>
  <c r="E25" i="7"/>
  <c r="D25" i="7"/>
  <c r="C25" i="7"/>
  <c r="E24" i="7"/>
  <c r="D24" i="7"/>
  <c r="C24" i="7"/>
  <c r="E23" i="7"/>
  <c r="D23" i="7"/>
  <c r="C23" i="7"/>
  <c r="E22" i="7"/>
  <c r="D22" i="7"/>
  <c r="C22" i="7"/>
  <c r="E21" i="7"/>
  <c r="D21" i="7"/>
  <c r="C21" i="7"/>
  <c r="E18" i="7"/>
  <c r="D18" i="7"/>
  <c r="C18" i="7"/>
  <c r="E17" i="7"/>
  <c r="D17" i="7"/>
  <c r="C17" i="7"/>
  <c r="E16" i="7"/>
  <c r="D16" i="7"/>
  <c r="C16" i="7"/>
  <c r="E15" i="7"/>
  <c r="D15" i="7"/>
  <c r="C15" i="7"/>
  <c r="E14" i="7"/>
  <c r="D14" i="7"/>
  <c r="C14" i="7"/>
  <c r="E13" i="7"/>
  <c r="D13" i="7"/>
  <c r="C13" i="7"/>
  <c r="E12" i="7"/>
  <c r="D12" i="7"/>
  <c r="C12" i="7"/>
  <c r="E11" i="7"/>
  <c r="D11" i="7"/>
  <c r="C11" i="7"/>
  <c r="E10" i="7"/>
  <c r="D10" i="7"/>
  <c r="C10" i="7"/>
  <c r="E9" i="7"/>
  <c r="D9" i="7"/>
  <c r="C9" i="7"/>
  <c r="E8" i="7"/>
  <c r="D8" i="7"/>
  <c r="C8" i="7"/>
  <c r="E7" i="7"/>
  <c r="D7" i="7"/>
  <c r="C7" i="7"/>
  <c r="E6" i="7"/>
  <c r="D6" i="7"/>
  <c r="C6" i="7"/>
  <c r="E67" i="6"/>
  <c r="D67" i="6"/>
  <c r="C67" i="6"/>
  <c r="E66" i="6"/>
  <c r="D66" i="6"/>
  <c r="C66" i="6"/>
  <c r="E65" i="6"/>
  <c r="D65" i="6"/>
  <c r="C65" i="6"/>
  <c r="E64" i="6"/>
  <c r="D64" i="6"/>
  <c r="C64" i="6"/>
  <c r="E63" i="6"/>
  <c r="D63" i="6"/>
  <c r="C63" i="6"/>
  <c r="E62" i="6"/>
  <c r="D62" i="6"/>
  <c r="C62" i="6"/>
  <c r="E61" i="6"/>
  <c r="D61" i="6"/>
  <c r="C61" i="6"/>
  <c r="E60" i="6"/>
  <c r="D60" i="6"/>
  <c r="C60" i="6"/>
  <c r="E59" i="6"/>
  <c r="D59" i="6"/>
  <c r="C59" i="6"/>
  <c r="E58" i="6"/>
  <c r="D58" i="6"/>
  <c r="C58" i="6"/>
  <c r="E57" i="6"/>
  <c r="D57" i="6"/>
  <c r="C57" i="6"/>
  <c r="E53" i="6"/>
  <c r="D53" i="6"/>
  <c r="C53" i="6"/>
  <c r="E52" i="6"/>
  <c r="D52" i="6"/>
  <c r="C52" i="6"/>
  <c r="E51" i="6"/>
  <c r="D51" i="6"/>
  <c r="C51" i="6"/>
  <c r="E50" i="6"/>
  <c r="D50" i="6"/>
  <c r="C50" i="6"/>
  <c r="E48" i="6"/>
  <c r="D48" i="6"/>
  <c r="C48" i="6"/>
  <c r="E47" i="6"/>
  <c r="D47" i="6"/>
  <c r="C47" i="6"/>
  <c r="E46" i="6"/>
  <c r="D46" i="6"/>
  <c r="C46" i="6"/>
  <c r="E45" i="6"/>
  <c r="D45" i="6"/>
  <c r="C45" i="6"/>
  <c r="E43" i="6"/>
  <c r="D43" i="6"/>
  <c r="C43" i="6"/>
  <c r="E42" i="6"/>
  <c r="D42" i="6"/>
  <c r="C42" i="6"/>
  <c r="E41" i="6"/>
  <c r="D41" i="6"/>
  <c r="C41" i="6"/>
  <c r="E39" i="6"/>
  <c r="D39" i="6"/>
  <c r="C39" i="6"/>
  <c r="E38" i="6"/>
  <c r="D38" i="6"/>
  <c r="C38" i="6"/>
  <c r="E37" i="6"/>
  <c r="D37" i="6"/>
  <c r="C37" i="6"/>
  <c r="E36" i="6"/>
  <c r="D36" i="6"/>
  <c r="C36" i="6"/>
  <c r="E35" i="6"/>
  <c r="D35" i="6"/>
  <c r="C35" i="6"/>
  <c r="E34" i="6"/>
  <c r="D34" i="6"/>
  <c r="C34" i="6"/>
  <c r="E33" i="6"/>
  <c r="D33" i="6"/>
  <c r="C33" i="6"/>
  <c r="E32" i="6"/>
  <c r="D32" i="6"/>
  <c r="C32" i="6"/>
  <c r="E31" i="6"/>
  <c r="D31" i="6"/>
  <c r="C31" i="6"/>
  <c r="E30" i="6"/>
  <c r="D30" i="6"/>
  <c r="C30" i="6"/>
  <c r="E29" i="6"/>
  <c r="D29" i="6"/>
  <c r="C29" i="6"/>
  <c r="E28" i="6"/>
  <c r="D28" i="6"/>
  <c r="C28" i="6"/>
  <c r="E27" i="6"/>
  <c r="D27" i="6"/>
  <c r="C27" i="6"/>
  <c r="E26" i="6"/>
  <c r="D26" i="6"/>
  <c r="C26" i="6"/>
  <c r="E25" i="6"/>
  <c r="D25" i="6"/>
  <c r="C25" i="6"/>
  <c r="E24" i="6"/>
  <c r="D24" i="6"/>
  <c r="C24" i="6"/>
  <c r="E23" i="6"/>
  <c r="D23" i="6"/>
  <c r="C23" i="6"/>
  <c r="E22" i="6"/>
  <c r="D22" i="6"/>
  <c r="C22" i="6"/>
  <c r="E21" i="6"/>
  <c r="D21" i="6"/>
  <c r="C21" i="6"/>
  <c r="E20" i="6"/>
  <c r="D20" i="6"/>
  <c r="C20" i="6"/>
  <c r="E19" i="6"/>
  <c r="D19" i="6"/>
  <c r="C19" i="6"/>
  <c r="E18" i="6"/>
  <c r="D18" i="6"/>
  <c r="C18" i="6"/>
  <c r="E17" i="6"/>
  <c r="D17" i="6"/>
  <c r="C17" i="6"/>
  <c r="E16" i="6"/>
  <c r="D16" i="6"/>
  <c r="C16" i="6"/>
  <c r="E15" i="6"/>
  <c r="D15" i="6"/>
  <c r="C15" i="6"/>
  <c r="E14" i="6"/>
  <c r="D14" i="6"/>
  <c r="C14" i="6"/>
  <c r="E13" i="6"/>
  <c r="D13" i="6"/>
  <c r="C13" i="6"/>
  <c r="E12" i="6"/>
  <c r="D12" i="6"/>
  <c r="C12" i="6"/>
  <c r="E11" i="6"/>
  <c r="D11" i="6"/>
  <c r="C11" i="6"/>
  <c r="E10" i="6"/>
  <c r="D10" i="6"/>
  <c r="C10" i="6"/>
  <c r="E9" i="6"/>
  <c r="D9" i="6"/>
  <c r="C9" i="6"/>
  <c r="E8" i="6"/>
  <c r="D8" i="6"/>
  <c r="C8" i="6"/>
  <c r="E7" i="6"/>
  <c r="D7" i="6"/>
  <c r="C7" i="6"/>
  <c r="E6" i="6"/>
  <c r="D6" i="6"/>
  <c r="C6" i="6"/>
  <c r="E5" i="6"/>
  <c r="C5" i="6"/>
  <c r="C15" i="4"/>
  <c r="C19" i="4" s="1"/>
  <c r="C14" i="4"/>
  <c r="C8" i="4"/>
  <c r="C18" i="4" s="1"/>
  <c r="C20" i="4" s="1"/>
  <c r="O29" i="3" s="1"/>
  <c r="C7" i="4"/>
  <c r="I25" i="3"/>
  <c r="I24" i="3"/>
  <c r="H24" i="3"/>
  <c r="H25" i="3" s="1"/>
  <c r="C24" i="3" a="1"/>
  <c r="N24" i="3" s="1"/>
  <c r="N25" i="3" s="1"/>
  <c r="C24" i="3"/>
  <c r="C25" i="3" s="1"/>
  <c r="N22" i="3"/>
  <c r="M22" i="3"/>
  <c r="L22" i="3"/>
  <c r="L23" i="3" s="1"/>
  <c r="K22" i="3"/>
  <c r="K23" i="3" s="1"/>
  <c r="J22" i="3"/>
  <c r="J23" i="3" s="1"/>
  <c r="I22" i="3"/>
  <c r="I23" i="3" s="1"/>
  <c r="G22" i="3"/>
  <c r="G23" i="3" s="1"/>
  <c r="F22" i="3"/>
  <c r="F23" i="3" s="1"/>
  <c r="E22" i="3"/>
  <c r="E23" i="3" s="1"/>
  <c r="D22" i="3"/>
  <c r="D23" i="3" s="1"/>
  <c r="C22" i="3" a="1"/>
  <c r="H22" i="3" s="1"/>
  <c r="H23" i="3" s="1"/>
  <c r="C22" i="3"/>
  <c r="C23" i="3" s="1"/>
  <c r="C21" i="3"/>
  <c r="C20" i="3" a="1"/>
  <c r="H20" i="3" s="1"/>
  <c r="H21" i="3" s="1"/>
  <c r="C20" i="3"/>
  <c r="L17" i="3"/>
  <c r="G17" i="3"/>
  <c r="E17" i="3"/>
  <c r="D17" i="3"/>
  <c r="N16" i="3"/>
  <c r="N17" i="3" s="1"/>
  <c r="M16" i="3"/>
  <c r="M17" i="3" s="1"/>
  <c r="L16" i="3"/>
  <c r="K16" i="3"/>
  <c r="K17" i="3" s="1"/>
  <c r="J16" i="3"/>
  <c r="J17" i="3" s="1"/>
  <c r="I16" i="3"/>
  <c r="I17" i="3" s="1"/>
  <c r="H16" i="3"/>
  <c r="H17" i="3" s="1"/>
  <c r="G16" i="3"/>
  <c r="F16" i="3"/>
  <c r="F17" i="3" s="1"/>
  <c r="Q17" i="3" s="1"/>
  <c r="E16" i="3"/>
  <c r="D16" i="3"/>
  <c r="C16" i="3" a="1"/>
  <c r="C16" i="3" s="1"/>
  <c r="C17" i="3" s="1"/>
  <c r="J12" i="3"/>
  <c r="J13" i="3" s="1"/>
  <c r="E12" i="3"/>
  <c r="E13" i="3" s="1"/>
  <c r="C12" i="3" a="1"/>
  <c r="K12" i="3" s="1"/>
  <c r="K13" i="3" s="1"/>
  <c r="L9" i="3"/>
  <c r="L8" i="3"/>
  <c r="L10" i="3" s="1"/>
  <c r="K8" i="3"/>
  <c r="K9" i="3" s="1"/>
  <c r="E8" i="3"/>
  <c r="E10" i="3" s="1"/>
  <c r="C8" i="3" a="1"/>
  <c r="N8" i="3" s="1"/>
  <c r="D7" i="3"/>
  <c r="N6" i="3"/>
  <c r="R6" i="3" s="1"/>
  <c r="M6" i="3"/>
  <c r="M23" i="3" s="1"/>
  <c r="L6" i="3"/>
  <c r="K6" i="3"/>
  <c r="L7" i="3" s="1"/>
  <c r="J6" i="3"/>
  <c r="I6" i="3"/>
  <c r="H6" i="3"/>
  <c r="G6" i="3"/>
  <c r="F6" i="3"/>
  <c r="E6" i="3"/>
  <c r="D6" i="3"/>
  <c r="E7" i="3" s="1"/>
  <c r="C6" i="3"/>
  <c r="R5" i="3"/>
  <c r="S5" i="3" s="1"/>
  <c r="T5" i="3" s="1"/>
  <c r="U5" i="3" s="1"/>
  <c r="V5" i="3" s="1"/>
  <c r="M5" i="3"/>
  <c r="L5" i="3"/>
  <c r="K5" i="3"/>
  <c r="J5" i="3" s="1"/>
  <c r="I5" i="3" s="1"/>
  <c r="H5" i="3" s="1"/>
  <c r="G5" i="3" s="1"/>
  <c r="F5" i="3" s="1"/>
  <c r="E5" i="3" s="1"/>
  <c r="D5" i="3" s="1"/>
  <c r="C5" i="3" s="1"/>
  <c r="N37" i="2"/>
  <c r="M37" i="2"/>
  <c r="L37" i="2"/>
  <c r="K37" i="2"/>
  <c r="J37" i="2"/>
  <c r="I37" i="2"/>
  <c r="H37" i="2"/>
  <c r="G37" i="2"/>
  <c r="F37" i="2"/>
  <c r="E37" i="2"/>
  <c r="D37" i="2"/>
  <c r="C37" i="2"/>
  <c r="N35" i="2"/>
  <c r="M35" i="2"/>
  <c r="L35" i="2"/>
  <c r="K35" i="2"/>
  <c r="J35" i="2"/>
  <c r="I35" i="2"/>
  <c r="H35" i="2"/>
  <c r="G35" i="2"/>
  <c r="F35" i="2"/>
  <c r="E35" i="2"/>
  <c r="D35" i="2"/>
  <c r="C35" i="2"/>
  <c r="N33" i="2"/>
  <c r="M33" i="2"/>
  <c r="L33" i="2"/>
  <c r="K33" i="2"/>
  <c r="J33" i="2"/>
  <c r="I33" i="2"/>
  <c r="H33" i="2"/>
  <c r="G33" i="2"/>
  <c r="F33" i="2"/>
  <c r="E33" i="2"/>
  <c r="D33" i="2"/>
  <c r="C33" i="2"/>
  <c r="M31" i="2"/>
  <c r="L31" i="2"/>
  <c r="K31" i="2"/>
  <c r="J31" i="2"/>
  <c r="I31" i="2" s="1"/>
  <c r="H31" i="2" s="1"/>
  <c r="G31" i="2" s="1"/>
  <c r="F31" i="2" s="1"/>
  <c r="E31" i="2" s="1"/>
  <c r="D31" i="2" s="1"/>
  <c r="C31" i="2" s="1"/>
  <c r="N25" i="2"/>
  <c r="M25" i="2"/>
  <c r="L25" i="2"/>
  <c r="K25" i="2"/>
  <c r="J25" i="2"/>
  <c r="I25" i="2"/>
  <c r="H25" i="2"/>
  <c r="G25" i="2"/>
  <c r="F25" i="2"/>
  <c r="E25" i="2"/>
  <c r="D25" i="2"/>
  <c r="C25" i="2"/>
  <c r="N21" i="2"/>
  <c r="M21" i="2"/>
  <c r="L21" i="2"/>
  <c r="K21" i="2"/>
  <c r="J21" i="2"/>
  <c r="I21" i="2"/>
  <c r="H21" i="2"/>
  <c r="G21" i="2"/>
  <c r="F21" i="2"/>
  <c r="E21" i="2"/>
  <c r="D21" i="2"/>
  <c r="C21" i="2"/>
  <c r="N17" i="2"/>
  <c r="M17" i="2"/>
  <c r="L17" i="2"/>
  <c r="K17" i="2"/>
  <c r="J17" i="2"/>
  <c r="I17" i="2"/>
  <c r="H17" i="2"/>
  <c r="G17" i="2"/>
  <c r="F17" i="2"/>
  <c r="E17" i="2"/>
  <c r="D17" i="2"/>
  <c r="C17" i="2"/>
  <c r="N14" i="2"/>
  <c r="N18" i="2" s="1"/>
  <c r="L14" i="2"/>
  <c r="L18" i="2" s="1"/>
  <c r="K14" i="2"/>
  <c r="K18" i="2" s="1"/>
  <c r="I14" i="2"/>
  <c r="I18" i="2" s="1"/>
  <c r="G14" i="2"/>
  <c r="G18" i="2" s="1"/>
  <c r="F14" i="2"/>
  <c r="F18" i="2" s="1"/>
  <c r="N13" i="2"/>
  <c r="M13" i="2"/>
  <c r="L13" i="2"/>
  <c r="K13" i="2"/>
  <c r="J13" i="2"/>
  <c r="I13" i="2"/>
  <c r="H13" i="2"/>
  <c r="G13" i="2"/>
  <c r="F13" i="2"/>
  <c r="E13" i="2"/>
  <c r="D13" i="2"/>
  <c r="C13" i="2"/>
  <c r="N11" i="2"/>
  <c r="L11" i="2"/>
  <c r="K11" i="2"/>
  <c r="I11" i="2"/>
  <c r="G11" i="2"/>
  <c r="F11" i="2"/>
  <c r="N10" i="2"/>
  <c r="M10" i="2"/>
  <c r="M14" i="2" s="1"/>
  <c r="L10" i="2"/>
  <c r="K10" i="2"/>
  <c r="J10" i="2"/>
  <c r="J14" i="2" s="1"/>
  <c r="I10" i="2"/>
  <c r="H10" i="2"/>
  <c r="H14" i="2" s="1"/>
  <c r="G10" i="2"/>
  <c r="F10" i="2"/>
  <c r="E10" i="2"/>
  <c r="E14" i="2" s="1"/>
  <c r="D10" i="2"/>
  <c r="D14" i="2" s="1"/>
  <c r="C10" i="2"/>
  <c r="C14" i="2" s="1"/>
  <c r="N9" i="2"/>
  <c r="M9" i="2"/>
  <c r="L9" i="2"/>
  <c r="K9" i="2"/>
  <c r="J9" i="2"/>
  <c r="I9" i="2"/>
  <c r="H9" i="2"/>
  <c r="G9" i="2"/>
  <c r="F9" i="2"/>
  <c r="E9" i="2"/>
  <c r="D9" i="2"/>
  <c r="C9" i="2"/>
  <c r="N7" i="2"/>
  <c r="M7" i="2"/>
  <c r="L7" i="2"/>
  <c r="K7" i="2"/>
  <c r="J7" i="2"/>
  <c r="I7" i="2"/>
  <c r="H7" i="2"/>
  <c r="G7" i="2"/>
  <c r="F7" i="2"/>
  <c r="E7" i="2"/>
  <c r="D7" i="2"/>
  <c r="M5" i="2"/>
  <c r="L5" i="2"/>
  <c r="K5" i="2" s="1"/>
  <c r="J5" i="2" s="1"/>
  <c r="I5" i="2" s="1"/>
  <c r="H5" i="2" s="1"/>
  <c r="G5" i="2" s="1"/>
  <c r="F5" i="2" s="1"/>
  <c r="E5" i="2" s="1"/>
  <c r="D5" i="2" s="1"/>
  <c r="C5" i="2" s="1"/>
  <c r="L22" i="2" l="1"/>
  <c r="L19" i="2"/>
  <c r="K22" i="2"/>
  <c r="K19" i="2"/>
  <c r="E11" i="3"/>
  <c r="E14" i="3"/>
  <c r="L11" i="3"/>
  <c r="D18" i="2"/>
  <c r="D15" i="2"/>
  <c r="P17" i="3"/>
  <c r="G10" i="3"/>
  <c r="I10" i="3"/>
  <c r="N9" i="3"/>
  <c r="N10" i="3"/>
  <c r="C18" i="2"/>
  <c r="C15" i="2"/>
  <c r="E18" i="2"/>
  <c r="E15" i="2"/>
  <c r="H18" i="2"/>
  <c r="H15" i="2"/>
  <c r="F19" i="2"/>
  <c r="F22" i="2"/>
  <c r="J18" i="2"/>
  <c r="J15" i="2"/>
  <c r="G22" i="2"/>
  <c r="G19" i="2"/>
  <c r="R8" i="3"/>
  <c r="R12" i="3"/>
  <c r="R22" i="3"/>
  <c r="S6" i="3"/>
  <c r="R20" i="3"/>
  <c r="R10" i="3"/>
  <c r="R24" i="3"/>
  <c r="R16" i="3"/>
  <c r="M18" i="2"/>
  <c r="M15" i="2"/>
  <c r="N22" i="2"/>
  <c r="N19" i="2"/>
  <c r="F10" i="3"/>
  <c r="H10" i="3"/>
  <c r="I22" i="2"/>
  <c r="I19" i="2"/>
  <c r="P7" i="3"/>
  <c r="E11" i="2"/>
  <c r="J7" i="3"/>
  <c r="I20" i="3"/>
  <c r="I21" i="3" s="1"/>
  <c r="K7" i="3"/>
  <c r="K10" i="3"/>
  <c r="J20" i="3"/>
  <c r="J21" i="3" s="1"/>
  <c r="K20" i="3"/>
  <c r="K21" i="3" s="1"/>
  <c r="K15" i="2"/>
  <c r="H11" i="2"/>
  <c r="M7" i="3"/>
  <c r="C12" i="3"/>
  <c r="C13" i="3" s="1"/>
  <c r="L20" i="3"/>
  <c r="L21" i="3" s="1"/>
  <c r="N7" i="3"/>
  <c r="E9" i="3"/>
  <c r="O17" i="3"/>
  <c r="M20" i="3"/>
  <c r="M21" i="3" s="1"/>
  <c r="J11" i="2"/>
  <c r="O7" i="3"/>
  <c r="D12" i="3"/>
  <c r="D13" i="3" s="1"/>
  <c r="N20" i="3"/>
  <c r="N21" i="3" s="1"/>
  <c r="Q7" i="3"/>
  <c r="F12" i="3"/>
  <c r="F13" i="3" s="1"/>
  <c r="N23" i="3"/>
  <c r="P23" i="3" s="1"/>
  <c r="M11" i="2"/>
  <c r="C8" i="3"/>
  <c r="G12" i="3"/>
  <c r="G13" i="3" s="1"/>
  <c r="H12" i="3"/>
  <c r="H13" i="3" s="1"/>
  <c r="D8" i="3"/>
  <c r="I12" i="3"/>
  <c r="I13" i="3" s="1"/>
  <c r="F15" i="2"/>
  <c r="G8" i="3"/>
  <c r="G9" i="3" s="1"/>
  <c r="L12" i="3"/>
  <c r="L13" i="3" s="1"/>
  <c r="D24" i="3"/>
  <c r="D25" i="3" s="1"/>
  <c r="G15" i="2"/>
  <c r="H8" i="3"/>
  <c r="H9" i="3" s="1"/>
  <c r="M12" i="3"/>
  <c r="M13" i="3" s="1"/>
  <c r="E24" i="3"/>
  <c r="E25" i="3" s="1"/>
  <c r="I8" i="3"/>
  <c r="I9" i="3" s="1"/>
  <c r="N12" i="3"/>
  <c r="N13" i="3" s="1"/>
  <c r="F24" i="3"/>
  <c r="F25" i="3" s="1"/>
  <c r="F8" i="3"/>
  <c r="F9" i="3" s="1"/>
  <c r="I15" i="2"/>
  <c r="J8" i="3"/>
  <c r="G24" i="3"/>
  <c r="G25" i="3" s="1"/>
  <c r="L15" i="2"/>
  <c r="M8" i="3"/>
  <c r="M9" i="3" s="1"/>
  <c r="D20" i="3"/>
  <c r="D21" i="3" s="1"/>
  <c r="J24" i="3"/>
  <c r="J25" i="3" s="1"/>
  <c r="F7" i="3"/>
  <c r="E20" i="3"/>
  <c r="E21" i="3" s="1"/>
  <c r="K24" i="3"/>
  <c r="K25" i="3" s="1"/>
  <c r="G7" i="3"/>
  <c r="F20" i="3"/>
  <c r="F21" i="3" s="1"/>
  <c r="L24" i="3"/>
  <c r="L25" i="3" s="1"/>
  <c r="C11" i="2"/>
  <c r="H7" i="3"/>
  <c r="G20" i="3"/>
  <c r="G21" i="3" s="1"/>
  <c r="M24" i="3"/>
  <c r="M25" i="3" s="1"/>
  <c r="N15" i="2"/>
  <c r="D11" i="2"/>
  <c r="I7" i="3"/>
  <c r="H22" i="2" l="1"/>
  <c r="H19" i="2"/>
  <c r="I26" i="2"/>
  <c r="I27" i="2" s="1"/>
  <c r="I23" i="2"/>
  <c r="N14" i="3"/>
  <c r="N11" i="3"/>
  <c r="N26" i="2"/>
  <c r="N27" i="2" s="1"/>
  <c r="N23" i="2"/>
  <c r="Q23" i="3"/>
  <c r="M10" i="3"/>
  <c r="O21" i="3"/>
  <c r="Q21" i="3"/>
  <c r="P21" i="3"/>
  <c r="E22" i="2"/>
  <c r="E19" i="2"/>
  <c r="H11" i="3"/>
  <c r="H14" i="3"/>
  <c r="Q13" i="3"/>
  <c r="P13" i="3"/>
  <c r="O13" i="3"/>
  <c r="C22" i="2"/>
  <c r="C19" i="2"/>
  <c r="I14" i="3"/>
  <c r="I11" i="3"/>
  <c r="G14" i="3"/>
  <c r="G11" i="3"/>
  <c r="O23" i="3"/>
  <c r="R11" i="3"/>
  <c r="R14" i="3"/>
  <c r="S8" i="3"/>
  <c r="S22" i="3"/>
  <c r="S16" i="3"/>
  <c r="T6" i="3"/>
  <c r="S20" i="3"/>
  <c r="S10" i="3"/>
  <c r="S12" i="3"/>
  <c r="S24" i="3"/>
  <c r="D22" i="2"/>
  <c r="D19" i="2"/>
  <c r="E18" i="3"/>
  <c r="E15" i="3"/>
  <c r="D10" i="3"/>
  <c r="D9" i="3"/>
  <c r="F26" i="2"/>
  <c r="F27" i="2" s="1"/>
  <c r="F23" i="2"/>
  <c r="J9" i="3"/>
  <c r="J10" i="3"/>
  <c r="F14" i="3"/>
  <c r="F11" i="3"/>
  <c r="M22" i="2"/>
  <c r="M19" i="2"/>
  <c r="P25" i="3"/>
  <c r="Q25" i="3"/>
  <c r="O25" i="3"/>
  <c r="L14" i="3"/>
  <c r="G26" i="2"/>
  <c r="G27" i="2" s="1"/>
  <c r="G23" i="2"/>
  <c r="K14" i="3"/>
  <c r="K11" i="3"/>
  <c r="J22" i="2"/>
  <c r="J19" i="2"/>
  <c r="K26" i="2"/>
  <c r="K27" i="2" s="1"/>
  <c r="K23" i="2"/>
  <c r="C10" i="3"/>
  <c r="C9" i="3"/>
  <c r="L26" i="2"/>
  <c r="L27" i="2" s="1"/>
  <c r="L23" i="2"/>
  <c r="C26" i="2" l="1"/>
  <c r="C27" i="2" s="1"/>
  <c r="C23" i="2"/>
  <c r="Q9" i="3"/>
  <c r="P9" i="3"/>
  <c r="O9" i="3"/>
  <c r="D11" i="3"/>
  <c r="D14" i="3"/>
  <c r="C14" i="3"/>
  <c r="C11" i="3"/>
  <c r="D26" i="2"/>
  <c r="D27" i="2" s="1"/>
  <c r="D23" i="2"/>
  <c r="J23" i="2"/>
  <c r="J26" i="2"/>
  <c r="J27" i="2" s="1"/>
  <c r="M14" i="3"/>
  <c r="M11" i="3"/>
  <c r="T8" i="3"/>
  <c r="T22" i="3"/>
  <c r="T12" i="3"/>
  <c r="U6" i="3"/>
  <c r="T16" i="3"/>
  <c r="T20" i="3"/>
  <c r="T10" i="3"/>
  <c r="T24" i="3"/>
  <c r="L18" i="3"/>
  <c r="L15" i="3"/>
  <c r="N18" i="3"/>
  <c r="N15" i="3"/>
  <c r="F18" i="3"/>
  <c r="F15" i="3"/>
  <c r="I15" i="3"/>
  <c r="I18" i="3"/>
  <c r="E26" i="3"/>
  <c r="E27" i="3" s="1"/>
  <c r="E19" i="3"/>
  <c r="E26" i="2"/>
  <c r="E27" i="2" s="1"/>
  <c r="E23" i="2"/>
  <c r="R18" i="3"/>
  <c r="R15" i="3"/>
  <c r="M23" i="2"/>
  <c r="M26" i="2"/>
  <c r="M27" i="2" s="1"/>
  <c r="J14" i="3"/>
  <c r="J11" i="3"/>
  <c r="H18" i="3"/>
  <c r="H15" i="3"/>
  <c r="S11" i="3"/>
  <c r="S14" i="3"/>
  <c r="K18" i="3"/>
  <c r="K15" i="3"/>
  <c r="G18" i="3"/>
  <c r="G15" i="3"/>
  <c r="H26" i="2"/>
  <c r="H27" i="2" s="1"/>
  <c r="H23" i="2"/>
  <c r="L19" i="3" l="1"/>
  <c r="L26" i="3"/>
  <c r="L27" i="3" s="1"/>
  <c r="T14" i="3"/>
  <c r="T11" i="3"/>
  <c r="J15" i="3"/>
  <c r="J18" i="3"/>
  <c r="I19" i="3"/>
  <c r="I26" i="3"/>
  <c r="I27" i="3" s="1"/>
  <c r="R19" i="3"/>
  <c r="R26" i="3"/>
  <c r="D18" i="3"/>
  <c r="D15" i="3"/>
  <c r="F26" i="3"/>
  <c r="F27" i="3" s="1"/>
  <c r="F19" i="3"/>
  <c r="G19" i="3"/>
  <c r="G26" i="3"/>
  <c r="G27" i="3" s="1"/>
  <c r="K19" i="3"/>
  <c r="K26" i="3"/>
  <c r="K27" i="3" s="1"/>
  <c r="S18" i="3"/>
  <c r="S15" i="3"/>
  <c r="U22" i="3"/>
  <c r="U12" i="3"/>
  <c r="U16" i="3"/>
  <c r="U20" i="3"/>
  <c r="U24" i="3"/>
  <c r="V6" i="3"/>
  <c r="U8" i="3"/>
  <c r="U10" i="3" s="1"/>
  <c r="H19" i="3"/>
  <c r="H26" i="3"/>
  <c r="H27" i="3" s="1"/>
  <c r="M15" i="3"/>
  <c r="M18" i="3"/>
  <c r="C18" i="3"/>
  <c r="C15" i="3"/>
  <c r="N19" i="3"/>
  <c r="N26" i="3"/>
  <c r="N27" i="3" s="1"/>
  <c r="U14" i="3" l="1"/>
  <c r="U11" i="3"/>
  <c r="D26" i="3"/>
  <c r="D27" i="3" s="1"/>
  <c r="D19" i="3"/>
  <c r="J19" i="3"/>
  <c r="J26" i="3"/>
  <c r="J27" i="3" s="1"/>
  <c r="S19" i="3"/>
  <c r="S26" i="3"/>
  <c r="R30" i="3"/>
  <c r="R27" i="3"/>
  <c r="C26" i="3"/>
  <c r="C27" i="3" s="1"/>
  <c r="C19" i="3"/>
  <c r="M19" i="3"/>
  <c r="M26" i="3"/>
  <c r="M27" i="3" s="1"/>
  <c r="V12" i="3"/>
  <c r="V22" i="3"/>
  <c r="V16" i="3"/>
  <c r="V20" i="3"/>
  <c r="V24" i="3"/>
  <c r="V8" i="3"/>
  <c r="V10" i="3" s="1"/>
  <c r="T18" i="3"/>
  <c r="T15" i="3"/>
  <c r="V14" i="3" l="1"/>
  <c r="V11" i="3"/>
  <c r="T19" i="3"/>
  <c r="T26" i="3"/>
  <c r="S30" i="3"/>
  <c r="S27" i="3"/>
  <c r="U18" i="3"/>
  <c r="U15" i="3"/>
  <c r="U19" i="3" l="1"/>
  <c r="U26" i="3"/>
  <c r="T30" i="3"/>
  <c r="T27" i="3"/>
  <c r="V18" i="3"/>
  <c r="V15" i="3"/>
  <c r="V19" i="3" l="1"/>
  <c r="V26" i="3"/>
  <c r="U30" i="3"/>
  <c r="U27" i="3"/>
  <c r="V30" i="3" l="1"/>
  <c r="V27" i="3"/>
  <c r="W30" i="3" l="1"/>
  <c r="C31" i="3"/>
  <c r="C35" i="3" s="1"/>
  <c r="C37" i="3" s="1"/>
  <c r="C40" i="3" s="1"/>
</calcChain>
</file>

<file path=xl/sharedStrings.xml><?xml version="1.0" encoding="utf-8"?>
<sst xmlns="http://schemas.openxmlformats.org/spreadsheetml/2006/main" count="505" uniqueCount="422">
  <si>
    <t>Valuation Model - Danny Watkins</t>
  </si>
  <si>
    <t>Historical Income Statement Common Size Analysis</t>
  </si>
  <si>
    <t>In Millions of USD</t>
  </si>
  <si>
    <t>Revenue</t>
  </si>
  <si>
    <t>% Growth YoY</t>
  </si>
  <si>
    <t>(-) Cost of Good Sold</t>
  </si>
  <si>
    <t>% of Sales</t>
  </si>
  <si>
    <t>(=) Gross Profit</t>
  </si>
  <si>
    <t>% Margin</t>
  </si>
  <si>
    <t>(-) Operating Expenses Including D/A</t>
  </si>
  <si>
    <t>(=) EBIT</t>
  </si>
  <si>
    <t>(-) Non Operating Loss (Income) (AKA Interest Exp)</t>
  </si>
  <si>
    <t>(=) Adjusted EBT</t>
  </si>
  <si>
    <t>(-) Abnormal Losses (Gains)</t>
  </si>
  <si>
    <t>(=) EBT</t>
  </si>
  <si>
    <t>(-) Income Tax Expense</t>
  </si>
  <si>
    <t>(=) Net Income</t>
  </si>
  <si>
    <t>Historical Free Cash Flow Adjustment</t>
  </si>
  <si>
    <t>Depreciation and Amortization</t>
  </si>
  <si>
    <t>CAPEX</t>
  </si>
  <si>
    <t>Changes in Non-Cash Working Capital</t>
  </si>
  <si>
    <t>Historical Period</t>
  </si>
  <si>
    <t>Historical Period Statistics</t>
  </si>
  <si>
    <t>Projection Period</t>
  </si>
  <si>
    <t>Min</t>
  </si>
  <si>
    <t>Avg</t>
  </si>
  <si>
    <t>Max</t>
  </si>
  <si>
    <t>(-) Cost of Goods Sold</t>
  </si>
  <si>
    <t>(-) Operating Expenses including D/A</t>
  </si>
  <si>
    <t>EBIT</t>
  </si>
  <si>
    <t>(=) NOPAT</t>
  </si>
  <si>
    <t>(=) Depreciation and Amortization</t>
  </si>
  <si>
    <t>(-) CAPEX</t>
  </si>
  <si>
    <t>(+/-) Changes in NWC</t>
  </si>
  <si>
    <t>(=) Free Cash flow</t>
  </si>
  <si>
    <t>WACC</t>
  </si>
  <si>
    <t>Terminal</t>
  </si>
  <si>
    <t>Implied Share Price Calculations</t>
  </si>
  <si>
    <t>Terminal Rate</t>
  </si>
  <si>
    <t>PV FCF</t>
  </si>
  <si>
    <t>Implied Enterprise Value</t>
  </si>
  <si>
    <t>(-) Debt</t>
  </si>
  <si>
    <t>(+) Cash</t>
  </si>
  <si>
    <t>(-) Non Controlling Interest</t>
  </si>
  <si>
    <t>Sensitivity Analysis</t>
  </si>
  <si>
    <t>(=) Implied Equity Value</t>
  </si>
  <si>
    <t>(/) Shares Outstanding</t>
  </si>
  <si>
    <t>(=) Implied Share Price</t>
  </si>
  <si>
    <t>Current Share Price</t>
  </si>
  <si>
    <t>Implied Share Appreciation/Depreciation</t>
  </si>
  <si>
    <t>Cost of Equity</t>
  </si>
  <si>
    <t>Risk Free Rate</t>
  </si>
  <si>
    <t>Beta</t>
  </si>
  <si>
    <t>Market Return</t>
  </si>
  <si>
    <t>Cost of Equity (Expected Return CAPM)</t>
  </si>
  <si>
    <t>Equity Weight</t>
  </si>
  <si>
    <t>Cost of Debt</t>
  </si>
  <si>
    <t>Pre-Tax Cost of Debt (Yield on longest tenor non-callable bond)</t>
  </si>
  <si>
    <t>Corporate Tax Rate</t>
  </si>
  <si>
    <t>Post-Tax Cost of Debt</t>
  </si>
  <si>
    <t>Debt Weight</t>
  </si>
  <si>
    <t>Weight Equity Cost</t>
  </si>
  <si>
    <t>Weighted Debt Cost</t>
  </si>
  <si>
    <t>Weighted Average Cost of Capital</t>
  </si>
  <si>
    <t>Cava Group Inc (CAVA US) - BBG Adjusted</t>
  </si>
  <si>
    <t>In Millions of USD except Per Share</t>
  </si>
  <si>
    <t>FY 2021</t>
  </si>
  <si>
    <t>FY 2022</t>
  </si>
  <si>
    <t>FY 2023</t>
  </si>
  <si>
    <t>Last 12M</t>
  </si>
  <si>
    <t>FY 2024 Est</t>
  </si>
  <si>
    <t>FY 2025 Est</t>
  </si>
  <si>
    <t>12 Months Ending</t>
  </si>
  <si>
    <t>12/26/2021</t>
  </si>
  <si>
    <t>12/25/2022</t>
  </si>
  <si>
    <t>12/31/2023</t>
  </si>
  <si>
    <t>12/31/2024</t>
  </si>
  <si>
    <t>12/31/2025</t>
  </si>
  <si>
    <t>SALES_REV_TURN</t>
  </si>
  <si>
    <t xml:space="preserve">    + Sales &amp; Services Revenue</t>
  </si>
  <si>
    <t>IS_SALES_AND_SERVICES_REVENUES</t>
  </si>
  <si>
    <t xml:space="preserve">    + Other Revenue</t>
  </si>
  <si>
    <t>IS_OTHER_REVENUE</t>
  </si>
  <si>
    <t xml:space="preserve">  - Cost of Revenue</t>
  </si>
  <si>
    <t>IS_COGS_TO_FE_AND_PP_AND_G</t>
  </si>
  <si>
    <t xml:space="preserve">    + Cost of Goods &amp; Services</t>
  </si>
  <si>
    <t>IS_COG_AND_SERVICES_SOLD</t>
  </si>
  <si>
    <t>Gross Profit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</si>
  <si>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</si>
  <si>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</si>
  <si>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</si>
  <si>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</si>
  <si>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</si>
  <si>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</si>
  <si>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IS_SGA_EXPENSE</t>
  </si>
  <si>
    <t xml:space="preserve">    + General &amp; Administrative</t>
  </si>
  <si>
    <t>IS_GENERAL_AND_ADMINISTRATIVE</t>
  </si>
  <si>
    <t xml:space="preserve">    + Research &amp; Development</t>
  </si>
  <si>
    <t>IS_OPERATING_EXPENSES_RD</t>
  </si>
  <si>
    <t xml:space="preserve">    + Depreciation &amp; Amortization</t>
  </si>
  <si>
    <t>IS_DEPRECIATION_AND_AMORTIZATION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</si>
  <si>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</si>
  <si>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</si>
  <si>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</si>
  <si>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</si>
  <si>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</si>
  <si>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</si>
  <si>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</si>
  <si>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</si>
  <si>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Foreign Exch (Gain) Loss</t>
  </si>
  <si>
    <t>IS_FOREIGN_EXCH_LOSS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</si>
  <si>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</si>
  <si>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</si>
  <si>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</si>
  <si>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</si>
  <si>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</si>
  <si>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</si>
  <si>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Asset Write-Down</t>
  </si>
  <si>
    <t>IS_IMPAIRMENT_ASSETS</t>
  </si>
  <si>
    <t xml:space="preserve">    + Restructuring</t>
  </si>
  <si>
    <t>IS_RESTRUCTURING_EXPENSES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</si>
  <si>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</si>
  <si>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</si>
  <si>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</si>
  <si>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</si>
  <si>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</si>
  <si>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</si>
  <si>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</si>
  <si>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</si>
  <si>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</si>
  <si>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</si>
  <si>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</si>
  <si>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</si>
  <si>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EXTRAORD_ITEMS_ACCOUNTING_CHANGS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</si>
  <si>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</si>
  <si>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</si>
  <si>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</si>
  <si>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</si>
  <si>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</si>
  <si>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</si>
  <si>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</si>
  <si>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</si>
  <si>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</si>
  <si>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</si>
  <si>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</si>
  <si>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</si>
  <si>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</si>
  <si>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</si>
  <si>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</si>
  <si>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</si>
  <si>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</si>
  <si>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</si>
  <si>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</si>
  <si>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</si>
  <si>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</si>
  <si>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</si>
  <si>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</si>
  <si>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</si>
  <si>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</si>
  <si>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</si>
  <si>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</si>
  <si>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</si>
  <si>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</si>
  <si>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</si>
  <si>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</si>
  <si>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</si>
  <si>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Reference Items</t>
  </si>
  <si>
    <t>Accounting Standard</t>
  </si>
  <si>
    <t>ACCOUNTING_STANDARD</t>
  </si>
  <si>
    <t>US GAAP</t>
  </si>
  <si>
    <t>EBITDA</t>
  </si>
  <si>
    <t>EBITDA Margin (T12M)</t>
  </si>
  <si>
    <t>EBITDA_MARGIN</t>
  </si>
  <si>
    <t>EBITA</t>
  </si>
  <si>
    <t>Gross Margin</t>
  </si>
  <si>
    <t>GROSS_MARGIN</t>
  </si>
  <si>
    <t>Operating Margin</t>
  </si>
  <si>
    <t>OPER_MARGIN</t>
  </si>
  <si>
    <t>Profit Margin</t>
  </si>
  <si>
    <t>PROF_MARGIN</t>
  </si>
  <si>
    <t>Dividends per Share</t>
  </si>
  <si>
    <t>EQY_DPS</t>
  </si>
  <si>
    <t>Total Cash Common Dividends</t>
  </si>
  <si>
    <t>IS_TOT_CASH_COM_DVD</t>
  </si>
  <si>
    <t>Depreciation Expense</t>
  </si>
  <si>
    <t>IS_DEPR_EXP</t>
  </si>
  <si>
    <t>Rental Expense</t>
  </si>
  <si>
    <t>BS_CURR_RENTAL_EXPENSE</t>
  </si>
  <si>
    <t>Source: Bloomberg</t>
  </si>
  <si>
    <t>Right click to show data transparency (not supported for all values)</t>
  </si>
  <si>
    <t>Cava Group Inc (CAVA US) - Standardized</t>
  </si>
  <si>
    <t>Cash from Operating Activities</t>
  </si>
  <si>
    <t xml:space="preserve">  + Net Income</t>
  </si>
  <si>
    <t>CF_NET_INC</t>
  </si>
  <si>
    <t xml:space="preserve">  + Depreciation &amp; Amortization</t>
  </si>
  <si>
    <t>CF_DEPR_AMORT</t>
  </si>
  <si>
    <t xml:space="preserve">  + Non-Cash Items</t>
  </si>
  <si>
    <t>NON_CASH_ITEMS_DETAILED</t>
  </si>
  <si>
    <t xml:space="preserve">    + Stock-Based Compensation</t>
  </si>
  <si>
    <t>CF_STOCK_BASED_COMPENSATION</t>
  </si>
  <si>
    <t xml:space="preserve">    + Deferred Income Taxes</t>
  </si>
  <si>
    <t>CF_DEF_INC_TAX</t>
  </si>
  <si>
    <t xml:space="preserve">    + Other Non-Cash Adj</t>
  </si>
  <si>
    <t>OTHER_NON_CASH_ADJ_LESS_DETAILED</t>
  </si>
  <si>
    <t xml:space="preserve">  + Chg in Non-Cash Work Cap</t>
  </si>
  <si>
    <t>CF_CHNG_NON_CASH_WORK_CAP</t>
  </si>
  <si>
    <t xml:space="preserve">    + (Inc) Dec in Accts Receiv</t>
  </si>
  <si>
    <t>CF_ACCT_RCV_UNBILLED_REV</t>
  </si>
  <si>
    <t xml:space="preserve">    + (Inc) Dec in Inventories</t>
  </si>
  <si>
    <t>CF_CHANGE_IN_INVENTORIES</t>
  </si>
  <si>
    <t xml:space="preserve">    + Inc (Dec) in Accts Payable</t>
  </si>
  <si>
    <t>CF_CHANGE_IN_ACCOUNTS_PAYABLE</t>
  </si>
  <si>
    <t xml:space="preserve">    + Inc (Dec) in Other</t>
  </si>
  <si>
    <t>INC_DEC_IN_OT_OP_AST_LIAB_DETAIL</t>
  </si>
  <si>
    <t xml:space="preserve">  + Net Cash From Disc Ops</t>
  </si>
  <si>
    <t>CF_NET_CASH_DISCONT_OPS_OPER</t>
  </si>
  <si>
    <t>CF_CASH_FROM_OPER</t>
  </si>
  <si>
    <t>Cash from Investing Activities</t>
  </si>
  <si>
    <t xml:space="preserve">  + Change in Fixed &amp; Intang</t>
  </si>
  <si>
    <t>FIXED_INTANG_ASST_CHANGE</t>
  </si>
  <si>
    <t xml:space="preserve">    + Disp in Fixed &amp; Intang</t>
  </si>
  <si>
    <t>DISPOSAL_OF_FIXED_INTANG</t>
  </si>
  <si>
    <t xml:space="preserve">    + Disp of Fixed Prod Assets</t>
  </si>
  <si>
    <t>CF_DISPOSAL_OF_FIXED_PROD_ASSETS</t>
  </si>
  <si>
    <t xml:space="preserve">    + Disp of Intangible Assets</t>
  </si>
  <si>
    <t>CF_DISPOSAL_OF_INTANGIBLE_ASSETS</t>
  </si>
  <si>
    <t xml:space="preserve">    + Acq of Fixed &amp; Intang</t>
  </si>
  <si>
    <t>ACQUIS_OF_FIXED_INTANG</t>
  </si>
  <si>
    <t xml:space="preserve">    + Acq of Fixed Prod Assets</t>
  </si>
  <si>
    <t>CF_PURCHASE_OF_FIXED_PROD_ASSETS</t>
  </si>
  <si>
    <t xml:space="preserve">    + Acq of Intangible Assets</t>
  </si>
  <si>
    <t>CF_ACQUISITION_OF_INTANG_ASSETS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</si>
  <si>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</si>
  <si>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</si>
  <si>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</si>
  <si>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</si>
  <si>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</si>
  <si>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</si>
  <si>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</si>
  <si>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</si>
  <si>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</si>
  <si>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</si>
  <si>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</si>
  <si>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</si>
  <si>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</si>
  <si>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</si>
  <si>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</si>
  <si>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</si>
  <si>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</si>
  <si>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</si>
  <si>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</si>
  <si>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</si>
  <si>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</si>
  <si>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</si>
  <si>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</si>
  <si>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+ Cash (Repurchase) of Equity</t>
  </si>
  <si>
    <t>NET_CAP_STOCK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</si>
  <si>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</si>
  <si>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</si>
  <si>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</si>
  <si>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</si>
  <si>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</si>
  <si>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</si>
  <si>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</si>
  <si>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</si>
  <si>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</si>
  <si>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</si>
  <si>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</si>
  <si>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</si>
  <si>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</si>
  <si>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</si>
  <si>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Cash Paid for Interest</t>
  </si>
  <si>
    <t>CF_ACT_CASH_PAID_FOR_INT_DEBT</t>
  </si>
  <si>
    <t>Trailing 12M EBITDA Margin</t>
  </si>
  <si>
    <t>Free Cash Flow</t>
  </si>
  <si>
    <t>CF_FREE_CASH_FLOW</t>
  </si>
  <si>
    <t>Free Cash Flow to Equity</t>
  </si>
  <si>
    <t>FREE_CASH_FLOW_EQUITY</t>
  </si>
  <si>
    <t>Free Cash Flow per Basic Share</t>
  </si>
  <si>
    <t>FREE_CASH_FLOW_PER_SH</t>
  </si>
  <si>
    <t>Cash Flow to Net Income</t>
  </si>
  <si>
    <t>CASH_FLOW_TO_NET_INC</t>
  </si>
  <si>
    <t>Total Assets</t>
  </si>
  <si>
    <t xml:space="preserve">  + Cash, Cash Equivalents &amp; STI</t>
  </si>
  <si>
    <t>CASH_CASH_EQTY_STI_DETAILED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</si>
  <si>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</si>
  <si>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</si>
  <si>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</si>
  <si>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</si>
  <si>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</si>
  <si>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</si>
  <si>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</si>
  <si>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</si>
  <si>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</si>
  <si>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</si>
  <si>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Inventories</t>
  </si>
  <si>
    <t>BS_INVENTORIES</t>
  </si>
  <si>
    <t xml:space="preserve">  + Other ST Assets</t>
  </si>
  <si>
    <t>OTHER_CURRENT_ASSETS_DETAILED</t>
  </si>
  <si>
    <t xml:space="preserve">    + Derivative &amp; Hedging Assets</t>
  </si>
  <si>
    <t>BS_DERIV_HEDGING_ASST_ST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</si>
  <si>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</si>
  <si>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</si>
  <si>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</si>
  <si>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</si>
  <si>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</si>
  <si>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</si>
  <si>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</si>
  <si>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</si>
  <si>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</si>
  <si>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</si>
  <si>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</si>
  <si>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</si>
  <si>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</si>
  <si>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</si>
  <si>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</si>
  <si>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</si>
  <si>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</si>
  <si>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</si>
  <si>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</si>
  <si>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</si>
  <si>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>BS_DERIV_HEDGING_ASST_LT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</si>
  <si>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</si>
  <si>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</si>
  <si>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</si>
  <si>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</si>
  <si>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</si>
  <si>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Liabilities &amp; Shareholders' Equity</t>
  </si>
  <si>
    <t xml:space="preserve">  + Payables &amp; Accruals</t>
  </si>
  <si>
    <t>ACCT_PAYABLE_ACCRUALS_DETAILED</t>
  </si>
  <si>
    <t xml:space="preserve">    + Accounts Payable</t>
  </si>
  <si>
    <t>BS_ACCT_PAYABLE</t>
  </si>
  <si>
    <t xml:space="preserve">    + Other Payables &amp; Accruals</t>
  </si>
  <si>
    <t>BS_ACCRUAL</t>
  </si>
  <si>
    <t xml:space="preserve">  + ST Debt</t>
  </si>
  <si>
    <t>BS_ST_BORROW</t>
  </si>
  <si>
    <t xml:space="preserve">    + ST Borrowings</t>
  </si>
  <si>
    <t>SHORT_TERM_DEBT_DETAILED</t>
  </si>
  <si>
    <t xml:space="preserve">    + ST Lease Liabilities</t>
  </si>
  <si>
    <t>ST_CAPITALIZED_LEASE_LIABILITIES</t>
  </si>
  <si>
    <t xml:space="preserve">      + ST Finance Leases</t>
  </si>
  <si>
    <t>ST_CAPITAL_LEASE_OBLIGATIONS</t>
  </si>
  <si>
    <t xml:space="preserve">      + ST Operating Leases</t>
  </si>
  <si>
    <t>BS_ST_OPERATING_LEASE_LIABS</t>
  </si>
  <si>
    <t xml:space="preserve">  + Other ST Liabilities</t>
  </si>
  <si>
    <t>OTHER_CURRENT_LIABS_SUB_DETAILED</t>
  </si>
  <si>
    <t xml:space="preserve">    + Deferred Revenue</t>
  </si>
  <si>
    <t>ST_DEFERRED_REVENUE</t>
  </si>
  <si>
    <t xml:space="preserve">    + Derivatives &amp; Hedging</t>
  </si>
  <si>
    <t>BS_DERIV_HEDGING_LIAB_ST</t>
  </si>
  <si>
    <t xml:space="preserve">    + Misc ST Liabilities</t>
  </si>
  <si>
    <t>OTHER_CURRENT_LIABS_DETAILED</t>
  </si>
  <si>
    <t>Total Current Liabilities</t>
  </si>
  <si>
    <t>BS_CUR_LIAB</t>
  </si>
  <si>
    <t xml:space="preserve">  + LT Debt</t>
  </si>
  <si>
    <t>BS_LT_BORROW</t>
  </si>
  <si>
    <t xml:space="preserve">    + LT Borrowings</t>
  </si>
  <si>
    <t>LONG_TERM_BORROWINGS_DETAILED</t>
  </si>
  <si>
    <t xml:space="preserve">    + LT Lease Liabilities</t>
  </si>
  <si>
    <t>LT_CAPITALIZED_LEASE_LIABILITIES</t>
  </si>
  <si>
    <t xml:space="preserve">      + LT Finance Leases</t>
  </si>
  <si>
    <t>LT_CAPITAL_LEASE_OBLIGATIONS</t>
  </si>
  <si>
    <t xml:space="preserve">      + LT Operating Leases</t>
  </si>
  <si>
    <t>BS_LT_OPERATING_LEASE_LIABS</t>
  </si>
  <si>
    <t xml:space="preserve">  + Other LT Liabilities</t>
  </si>
  <si>
    <t>OTHER_NONCUR_LIABS_SUB_DETAILED</t>
  </si>
  <si>
    <t xml:space="preserve">    + Accrued Liabilities</t>
  </si>
  <si>
    <t>BS_ACCRUED_LIABILITIES</t>
  </si>
  <si>
    <t>LT_DEFERRED_REVENUE</t>
  </si>
  <si>
    <t xml:space="preserve">    + Deferred Tax Liabilities</t>
  </si>
  <si>
    <t>BS_DEFERRED_TAX_LIABILITIES_LT</t>
  </si>
  <si>
    <t>BS_DERIV_HEDGING_LIAB_LT</t>
  </si>
  <si>
    <t xml:space="preserve">    + Misc LT Liabilities</t>
  </si>
  <si>
    <t>OTHER_NONCURRENT_LIABS_DETAILED</t>
  </si>
  <si>
    <t>Total Noncurrent Liabilities</t>
  </si>
  <si>
    <t>NON_CUR_LIAB</t>
  </si>
  <si>
    <t>Total Liabilities</t>
  </si>
  <si>
    <t>BS_TOT_LIAB2</t>
  </si>
  <si>
    <t xml:space="preserve">  + Preferred Equity and Hybrid Capital</t>
  </si>
  <si>
    <t>PFD_EQTY_HYBRID_CAPITAL</t>
  </si>
  <si>
    <t xml:space="preserve">  + Share Capital &amp; APIC</t>
  </si>
  <si>
    <t>BS_SH_CAP_AND_APIC</t>
  </si>
  <si>
    <t xml:space="preserve">    + Common Stock</t>
  </si>
  <si>
    <t>BS_COMMON_STOCK</t>
  </si>
  <si>
    <t xml:space="preserve">    + Additional Paid in Capital</t>
  </si>
  <si>
    <t>BS_ADD_PAID_IN_CAP</t>
  </si>
  <si>
    <t xml:space="preserve">  - Treasury Stock</t>
  </si>
  <si>
    <t>BS_AMT_OF_TSY_STOCK</t>
  </si>
  <si>
    <t xml:space="preserve">  + Retained Earnings</t>
  </si>
  <si>
    <t>BS_PURE_RETAINED_EARNINGS</t>
  </si>
  <si>
    <t xml:space="preserve">  + Other Equity</t>
  </si>
  <si>
    <t>OTHER_EQUITY_RATIO</t>
  </si>
  <si>
    <t>Equity Before Minority Interest</t>
  </si>
  <si>
    <t>EQTY_BEF_MINORITY_INT_DETAILED</t>
  </si>
  <si>
    <t xml:space="preserve">  + Minority/Non Controlling Interest</t>
  </si>
  <si>
    <t>MINORITY_NONCONTROLLING_INTEREST</t>
  </si>
  <si>
    <t>Total Equity</t>
  </si>
  <si>
    <t>TOTAL_EQUITY</t>
  </si>
  <si>
    <t>Total Liabilities &amp; Equity</t>
  </si>
  <si>
    <t>TOT_LIAB_AND_EQY</t>
  </si>
  <si>
    <t>Shares Outstanding</t>
  </si>
  <si>
    <t>BS_SH_OUT</t>
  </si>
  <si>
    <t>Number of Treasury Shares</t>
  </si>
  <si>
    <t>BS_NUM_OF_TSY_SH</t>
  </si>
  <si>
    <t>Future Minimum Operating Lease Obligations</t>
  </si>
  <si>
    <t>BS_FUTURE_MIN_OPER_LEASE_OBLIG</t>
  </si>
  <si>
    <t>Capital Leases - Total</t>
  </si>
  <si>
    <t>BS_TOTAL_CAPITAL_LEASES</t>
  </si>
  <si>
    <t>Options Granted During Period</t>
  </si>
  <si>
    <t>BS_OPTIONS_GRANTED</t>
  </si>
  <si>
    <t>Options Outstanding at Period End</t>
  </si>
  <si>
    <t>BS_OPTIONS_OUTSTANDING</t>
  </si>
  <si>
    <t>Net Debt</t>
  </si>
  <si>
    <t>NET_DEBT</t>
  </si>
  <si>
    <t>Net Debt to Equity</t>
  </si>
  <si>
    <t>NET_DEBT_TO_SHRHLDR_EQTY</t>
  </si>
  <si>
    <t>Tangible Common Equity Ratio</t>
  </si>
  <si>
    <t>TCE_RATIO</t>
  </si>
  <si>
    <t>Current Ratio</t>
  </si>
  <si>
    <t>CUR_RATIO</t>
  </si>
  <si>
    <t>Cash Conversion Cycle</t>
  </si>
  <si>
    <t>CASH_CONVERSION_CYCLE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</si>
</sst>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164" formatCode="0.000%"/>
    <numFmt numFmtId="165" formatCode="&quot;$&quot;#,##0.00"/>
    <numFmt numFmtId="166" formatCode="#,##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0"/>
      <color indexed="8"/>
      <name val="Arial"/>
      <family val="2"/>
    </font>
    <font>
      <sz val="11"/>
      <color rgb="FF008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BF3CB"/>
        <bgColor indexed="64"/>
      </patternFill>
    </fill>
    <fill>
      <patternFill patternType="solid">
        <fgColor rgb="FFF3B6F4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9" fontId="1" fillId="0" borderId="0"/>
    <xf numFmtId="166" fontId="6" fillId="4" borderId="11">
      <alignment horizontal="right"/>
    </xf>
  </cellStyleXfs>
  <cellXfs count="110">
    <xf numFmtId="0" fontId="0" fillId="0" borderId="0" xfId="0"/>
    <xf numFmtId="0" fontId="0" fillId="0" borderId="4" xfId="0" applyBorder="1" applyAlignment="1">
      <alignment horizontal="center"/>
    </xf>
    <xf numFmtId="164" fontId="5" fillId="0" borderId="5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9" fontId="5" fillId="0" borderId="7" xfId="0" applyNumberFormat="1" applyFont="1" applyBorder="1" applyAlignment="1">
      <alignment horizontal="center"/>
    </xf>
    <xf numFmtId="10" fontId="5" fillId="0" borderId="5" xfId="0" applyNumberFormat="1" applyFont="1" applyBorder="1" applyAlignment="1">
      <alignment horizontal="center"/>
    </xf>
    <xf numFmtId="9" fontId="5" fillId="0" borderId="5" xfId="0" applyNumberFormat="1" applyFont="1" applyBorder="1" applyAlignment="1">
      <alignment horizontal="center"/>
    </xf>
    <xf numFmtId="10" fontId="0" fillId="0" borderId="5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10" fontId="3" fillId="2" borderId="1" xfId="0" applyNumberFormat="1" applyFont="1" applyFill="1" applyBorder="1" applyAlignment="1">
      <alignment horizontal="center"/>
    </xf>
    <xf numFmtId="0" fontId="0" fillId="0" borderId="5" xfId="0" applyBorder="1"/>
    <xf numFmtId="165" fontId="3" fillId="0" borderId="14" xfId="0" applyNumberFormat="1" applyFont="1" applyBorder="1" applyAlignment="1">
      <alignment horizontal="center"/>
    </xf>
    <xf numFmtId="165" fontId="3" fillId="0" borderId="9" xfId="0" applyNumberFormat="1" applyFont="1" applyBorder="1" applyAlignment="1">
      <alignment horizontal="center"/>
    </xf>
    <xf numFmtId="0" fontId="0" fillId="0" borderId="11" xfId="0" applyBorder="1" applyAlignment="1">
      <alignment horizontal="left" indent="2"/>
    </xf>
    <xf numFmtId="10" fontId="0" fillId="0" borderId="0" xfId="1" applyNumberFormat="1" applyFont="1" applyAlignment="1">
      <alignment horizontal="center"/>
    </xf>
    <xf numFmtId="10" fontId="0" fillId="0" borderId="5" xfId="1" applyNumberFormat="1" applyFont="1" applyBorder="1" applyAlignment="1">
      <alignment horizontal="center"/>
    </xf>
    <xf numFmtId="10" fontId="0" fillId="0" borderId="13" xfId="1" applyNumberFormat="1" applyFont="1" applyBorder="1" applyAlignment="1">
      <alignment horizontal="center"/>
    </xf>
    <xf numFmtId="10" fontId="0" fillId="0" borderId="7" xfId="1" applyNumberFormat="1" applyFont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13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11" xfId="0" applyFont="1" applyFill="1" applyBorder="1"/>
    <xf numFmtId="0" fontId="0" fillId="5" borderId="11" xfId="0" applyFill="1" applyBorder="1" applyAlignment="1">
      <alignment horizontal="left" indent="2"/>
    </xf>
    <xf numFmtId="0" fontId="0" fillId="5" borderId="12" xfId="0" applyFill="1" applyBorder="1" applyAlignment="1">
      <alignment horizontal="left" indent="2"/>
    </xf>
    <xf numFmtId="0" fontId="0" fillId="5" borderId="11" xfId="0" applyFill="1" applyBorder="1"/>
    <xf numFmtId="8" fontId="9" fillId="0" borderId="8" xfId="0" applyNumberFormat="1" applyFont="1" applyBorder="1" applyAlignment="1">
      <alignment horizontal="center"/>
    </xf>
    <xf numFmtId="8" fontId="9" fillId="0" borderId="14" xfId="0" applyNumberFormat="1" applyFont="1" applyBorder="1" applyAlignment="1">
      <alignment horizontal="center"/>
    </xf>
    <xf numFmtId="8" fontId="9" fillId="0" borderId="9" xfId="0" applyNumberFormat="1" applyFont="1" applyBorder="1" applyAlignment="1">
      <alignment horizontal="center"/>
    </xf>
    <xf numFmtId="8" fontId="3" fillId="0" borderId="8" xfId="0" applyNumberFormat="1" applyFont="1" applyBorder="1" applyAlignment="1">
      <alignment horizontal="center"/>
    </xf>
    <xf numFmtId="8" fontId="3" fillId="0" borderId="14" xfId="0" applyNumberFormat="1" applyFont="1" applyBorder="1" applyAlignment="1">
      <alignment horizontal="center"/>
    </xf>
    <xf numFmtId="8" fontId="3" fillId="0" borderId="9" xfId="0" applyNumberFormat="1" applyFont="1" applyBorder="1" applyAlignment="1">
      <alignment horizontal="center"/>
    </xf>
    <xf numFmtId="8" fontId="0" fillId="0" borderId="0" xfId="0" applyNumberFormat="1" applyAlignment="1">
      <alignment horizontal="center"/>
    </xf>
    <xf numFmtId="8" fontId="0" fillId="0" borderId="2" xfId="0" applyNumberFormat="1" applyBorder="1" applyAlignment="1">
      <alignment horizontal="center"/>
    </xf>
    <xf numFmtId="8" fontId="0" fillId="0" borderId="15" xfId="0" applyNumberFormat="1" applyBorder="1" applyAlignment="1">
      <alignment horizontal="center"/>
    </xf>
    <xf numFmtId="8" fontId="0" fillId="0" borderId="3" xfId="0" applyNumberFormat="1" applyBorder="1" applyAlignment="1">
      <alignment horizontal="center"/>
    </xf>
    <xf numFmtId="10" fontId="5" fillId="7" borderId="4" xfId="0" applyNumberFormat="1" applyFont="1" applyFill="1" applyBorder="1" applyAlignment="1">
      <alignment horizontal="center"/>
    </xf>
    <xf numFmtId="10" fontId="5" fillId="7" borderId="0" xfId="0" applyNumberFormat="1" applyFont="1" applyFill="1" applyAlignment="1">
      <alignment horizontal="center"/>
    </xf>
    <xf numFmtId="10" fontId="5" fillId="7" borderId="5" xfId="0" applyNumberFormat="1" applyFont="1" applyFill="1" applyBorder="1" applyAlignment="1">
      <alignment horizontal="center"/>
    </xf>
    <xf numFmtId="8" fontId="0" fillId="0" borderId="4" xfId="0" applyNumberFormat="1" applyBorder="1" applyAlignment="1">
      <alignment horizontal="center"/>
    </xf>
    <xf numFmtId="8" fontId="0" fillId="0" borderId="5" xfId="0" applyNumberFormat="1" applyBorder="1" applyAlignment="1">
      <alignment horizontal="center"/>
    </xf>
    <xf numFmtId="10" fontId="1" fillId="0" borderId="4" xfId="1" applyNumberFormat="1" applyBorder="1" applyAlignment="1">
      <alignment horizontal="center"/>
    </xf>
    <xf numFmtId="10" fontId="1" fillId="0" borderId="0" xfId="1" applyNumberFormat="1" applyAlignment="1">
      <alignment horizontal="center"/>
    </xf>
    <xf numFmtId="10" fontId="1" fillId="0" borderId="5" xfId="1" applyNumberFormat="1" applyBorder="1" applyAlignment="1">
      <alignment horizontal="center"/>
    </xf>
    <xf numFmtId="10" fontId="8" fillId="0" borderId="4" xfId="1" applyNumberFormat="1" applyFont="1" applyBorder="1" applyAlignment="1">
      <alignment horizontal="center"/>
    </xf>
    <xf numFmtId="10" fontId="8" fillId="0" borderId="0" xfId="1" applyNumberFormat="1" applyFont="1" applyAlignment="1">
      <alignment horizontal="center"/>
    </xf>
    <xf numFmtId="10" fontId="8" fillId="0" borderId="5" xfId="1" applyNumberFormat="1" applyFont="1" applyBorder="1" applyAlignment="1">
      <alignment horizontal="center"/>
    </xf>
    <xf numFmtId="10" fontId="0" fillId="0" borderId="6" xfId="1" applyNumberFormat="1" applyFont="1" applyBorder="1" applyAlignment="1">
      <alignment horizontal="center"/>
    </xf>
    <xf numFmtId="8" fontId="7" fillId="0" borderId="2" xfId="0" applyNumberFormat="1" applyFont="1" applyBorder="1" applyAlignment="1">
      <alignment horizontal="center"/>
    </xf>
    <xf numFmtId="8" fontId="7" fillId="0" borderId="15" xfId="0" applyNumberFormat="1" applyFont="1" applyBorder="1" applyAlignment="1">
      <alignment horizontal="center"/>
    </xf>
    <xf numFmtId="8" fontId="7" fillId="0" borderId="3" xfId="0" applyNumberFormat="1" applyFont="1" applyBorder="1" applyAlignment="1">
      <alignment horizontal="center"/>
    </xf>
    <xf numFmtId="8" fontId="7" fillId="0" borderId="4" xfId="0" applyNumberFormat="1" applyFont="1" applyBorder="1" applyAlignment="1">
      <alignment horizontal="center"/>
    </xf>
    <xf numFmtId="8" fontId="7" fillId="0" borderId="0" xfId="0" applyNumberFormat="1" applyFont="1" applyAlignment="1">
      <alignment horizontal="center"/>
    </xf>
    <xf numFmtId="8" fontId="7" fillId="0" borderId="5" xfId="0" applyNumberFormat="1" applyFont="1" applyBorder="1" applyAlignment="1">
      <alignment horizontal="center"/>
    </xf>
    <xf numFmtId="10" fontId="0" fillId="0" borderId="4" xfId="1" applyNumberFormat="1" applyFont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10" fontId="7" fillId="0" borderId="10" xfId="0" applyNumberFormat="1" applyFont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0" fontId="4" fillId="3" borderId="2" xfId="0" applyFont="1" applyFill="1" applyBorder="1"/>
    <xf numFmtId="0" fontId="2" fillId="3" borderId="15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8" fontId="0" fillId="0" borderId="13" xfId="0" applyNumberFormat="1" applyBorder="1"/>
    <xf numFmtId="8" fontId="0" fillId="0" borderId="7" xfId="0" applyNumberFormat="1" applyBorder="1"/>
    <xf numFmtId="0" fontId="3" fillId="0" borderId="10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8" fontId="3" fillId="2" borderId="1" xfId="0" applyNumberFormat="1" applyFont="1" applyFill="1" applyBorder="1" applyAlignment="1">
      <alignment horizontal="center"/>
    </xf>
    <xf numFmtId="0" fontId="3" fillId="5" borderId="10" xfId="0" applyFont="1" applyFill="1" applyBorder="1"/>
    <xf numFmtId="0" fontId="2" fillId="3" borderId="6" xfId="0" applyFont="1" applyFill="1" applyBorder="1" applyAlignment="1">
      <alignment horizontal="center"/>
    </xf>
    <xf numFmtId="0" fontId="3" fillId="5" borderId="2" xfId="0" applyFont="1" applyFill="1" applyBorder="1"/>
    <xf numFmtId="0" fontId="3" fillId="5" borderId="15" xfId="0" applyFont="1" applyFill="1" applyBorder="1"/>
    <xf numFmtId="0" fontId="3" fillId="5" borderId="3" xfId="0" applyFont="1" applyFill="1" applyBorder="1"/>
    <xf numFmtId="10" fontId="3" fillId="6" borderId="4" xfId="0" applyNumberFormat="1" applyFont="1" applyFill="1" applyBorder="1" applyAlignment="1">
      <alignment horizontal="center"/>
    </xf>
    <xf numFmtId="10" fontId="3" fillId="6" borderId="0" xfId="0" applyNumberFormat="1" applyFont="1" applyFill="1" applyAlignment="1">
      <alignment horizontal="center"/>
    </xf>
    <xf numFmtId="10" fontId="3" fillId="6" borderId="5" xfId="0" applyNumberFormat="1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3" fillId="5" borderId="5" xfId="0" applyFont="1" applyFill="1" applyBorder="1" applyAlignment="1">
      <alignment horizontal="center"/>
    </xf>
    <xf numFmtId="10" fontId="3" fillId="5" borderId="4" xfId="0" applyNumberFormat="1" applyFont="1" applyFill="1" applyBorder="1" applyAlignment="1">
      <alignment horizontal="center"/>
    </xf>
    <xf numFmtId="10" fontId="3" fillId="5" borderId="0" xfId="0" applyNumberFormat="1" applyFont="1" applyFill="1" applyAlignment="1">
      <alignment horizontal="center"/>
    </xf>
    <xf numFmtId="10" fontId="3" fillId="5" borderId="5" xfId="0" applyNumberFormat="1" applyFont="1" applyFill="1" applyBorder="1" applyAlignment="1">
      <alignment horizontal="center"/>
    </xf>
    <xf numFmtId="0" fontId="3" fillId="5" borderId="0" xfId="0" applyFont="1" applyFill="1"/>
    <xf numFmtId="10" fontId="3" fillId="5" borderId="6" xfId="0" applyNumberFormat="1" applyFont="1" applyFill="1" applyBorder="1" applyAlignment="1">
      <alignment horizontal="center"/>
    </xf>
    <xf numFmtId="10" fontId="3" fillId="5" borderId="13" xfId="0" applyNumberFormat="1" applyFont="1" applyFill="1" applyBorder="1" applyAlignment="1">
      <alignment horizontal="center"/>
    </xf>
    <xf numFmtId="10" fontId="3" fillId="5" borderId="7" xfId="0" applyNumberFormat="1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165" fontId="5" fillId="0" borderId="3" xfId="0" applyNumberFormat="1" applyFont="1" applyBorder="1" applyAlignment="1">
      <alignment horizontal="center"/>
    </xf>
    <xf numFmtId="166" fontId="5" fillId="0" borderId="0" xfId="0" applyNumberFormat="1" applyFont="1" applyAlignment="1">
      <alignment horizontal="center"/>
    </xf>
    <xf numFmtId="166" fontId="5" fillId="0" borderId="5" xfId="0" applyNumberFormat="1" applyFont="1" applyBorder="1" applyAlignment="1">
      <alignment horizontal="center"/>
    </xf>
    <xf numFmtId="8" fontId="0" fillId="0" borderId="13" xfId="0" applyNumberFormat="1" applyBorder="1" applyAlignment="1">
      <alignment horizontal="center"/>
    </xf>
    <xf numFmtId="8" fontId="0" fillId="0" borderId="7" xfId="0" applyNumberFormat="1" applyBorder="1" applyAlignment="1">
      <alignment horizontal="center"/>
    </xf>
    <xf numFmtId="0" fontId="0" fillId="5" borderId="4" xfId="0" applyFill="1" applyBorder="1"/>
    <xf numFmtId="10" fontId="3" fillId="5" borderId="11" xfId="0" applyNumberFormat="1" applyFont="1" applyFill="1" applyBorder="1" applyAlignment="1">
      <alignment horizontal="center"/>
    </xf>
    <xf numFmtId="10" fontId="3" fillId="5" borderId="12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65" fontId="3" fillId="0" borderId="8" xfId="0" applyNumberFormat="1" applyFont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0" fillId="0" borderId="15" xfId="0" applyBorder="1"/>
    <xf numFmtId="0" fontId="0" fillId="0" borderId="3" xfId="0" applyBorder="1"/>
    <xf numFmtId="0" fontId="2" fillId="3" borderId="0" xfId="0" applyFont="1" applyFill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9" xfId="0" applyBorder="1"/>
  </cellXfs>
  <cellStyles count="3">
    <cellStyle name="fa_data_bold_1_grouped" xfId="2" xr:uid="{00000000-0005-0000-0000-000002000000}"/>
    <cellStyle name="Normal" xfId="0" builtinId="0"/>
    <cellStyle name="Percent" xfId="1" builtinId="5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"/>
  <sheetViews>
    <sheetView workbookViewId="0">
      <selection activeCell="U46" sqref="U46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N37"/>
  <sheetViews>
    <sheetView showGridLines="0" zoomScale="140" zoomScaleNormal="140" workbookViewId="0">
      <selection activeCell="W22" sqref="W22"/>
    </sheetView>
  </sheetViews>
  <sheetFormatPr defaultColWidth="8.85546875" defaultRowHeight="15" x14ac:dyDescent="0.25"/>
  <cols>
    <col min="2" max="2" width="47" bestFit="1" customWidth="1"/>
    <col min="3" max="3" width="10.140625" bestFit="1" customWidth="1"/>
    <col min="4" max="4" width="11.28515625" bestFit="1" customWidth="1"/>
    <col min="5" max="7" width="10.140625" bestFit="1" customWidth="1"/>
    <col min="8" max="8" width="10.85546875" bestFit="1" customWidth="1"/>
    <col min="9" max="14" width="11.28515625" bestFit="1" customWidth="1"/>
  </cols>
  <sheetData>
    <row r="2" spans="2:14" x14ac:dyDescent="0.25">
      <c r="B2" s="106" t="s">
        <v>0</v>
      </c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</row>
    <row r="4" spans="2:14" x14ac:dyDescent="0.25">
      <c r="B4" s="103" t="s">
        <v>1</v>
      </c>
      <c r="C4" s="104"/>
      <c r="D4" s="104"/>
      <c r="E4" s="104"/>
      <c r="F4" s="104"/>
      <c r="G4" s="104"/>
      <c r="H4" s="104"/>
      <c r="I4" s="104"/>
      <c r="J4" s="104"/>
      <c r="K4" s="104"/>
      <c r="L4" s="104"/>
      <c r="M4" s="104"/>
      <c r="N4" s="105"/>
    </row>
    <row r="5" spans="2:14" x14ac:dyDescent="0.25">
      <c r="B5" s="21" t="s">
        <v>2</v>
      </c>
      <c r="C5" s="22">
        <f t="shared" ref="C5:M5" si="0">D5-1</f>
        <v>2013</v>
      </c>
      <c r="D5" s="22">
        <f t="shared" si="0"/>
        <v>2014</v>
      </c>
      <c r="E5" s="22">
        <f t="shared" si="0"/>
        <v>2015</v>
      </c>
      <c r="F5" s="22">
        <f t="shared" si="0"/>
        <v>2016</v>
      </c>
      <c r="G5" s="22">
        <f t="shared" si="0"/>
        <v>2017</v>
      </c>
      <c r="H5" s="22">
        <f t="shared" si="0"/>
        <v>2018</v>
      </c>
      <c r="I5" s="22">
        <f t="shared" si="0"/>
        <v>2019</v>
      </c>
      <c r="J5" s="22">
        <f t="shared" si="0"/>
        <v>2020</v>
      </c>
      <c r="K5" s="22">
        <f t="shared" si="0"/>
        <v>2021</v>
      </c>
      <c r="L5" s="22">
        <f t="shared" si="0"/>
        <v>2022</v>
      </c>
      <c r="M5" s="22">
        <f t="shared" si="0"/>
        <v>2023</v>
      </c>
      <c r="N5" s="23">
        <v>2024</v>
      </c>
    </row>
    <row r="6" spans="2:14" x14ac:dyDescent="0.25">
      <c r="B6" s="24" t="s">
        <v>3</v>
      </c>
      <c r="C6" s="94">
        <v>4499</v>
      </c>
      <c r="D6" s="94">
        <v>5662</v>
      </c>
      <c r="E6" s="94">
        <v>6727</v>
      </c>
      <c r="F6" s="94">
        <v>8025</v>
      </c>
      <c r="G6" s="94">
        <v>9248</v>
      </c>
      <c r="H6" s="94">
        <v>10842</v>
      </c>
      <c r="I6" s="94">
        <v>13094</v>
      </c>
      <c r="J6" s="94">
        <v>15451</v>
      </c>
      <c r="K6" s="94">
        <v>17772</v>
      </c>
      <c r="L6" s="94">
        <v>21454</v>
      </c>
      <c r="M6" s="94">
        <v>25371</v>
      </c>
      <c r="N6" s="95">
        <v>27518</v>
      </c>
    </row>
    <row r="7" spans="2:14" x14ac:dyDescent="0.25">
      <c r="B7" s="25" t="s">
        <v>4</v>
      </c>
      <c r="C7" s="101"/>
      <c r="D7" s="17">
        <f t="shared" ref="D7:N7" si="1">(D6/C6)-1</f>
        <v>0.25850188930873519</v>
      </c>
      <c r="E7" s="17">
        <f t="shared" si="1"/>
        <v>0.18809607912398452</v>
      </c>
      <c r="F7" s="17">
        <f t="shared" si="1"/>
        <v>0.19295376839601608</v>
      </c>
      <c r="G7" s="17">
        <f t="shared" si="1"/>
        <v>0.15239875389408097</v>
      </c>
      <c r="H7" s="17">
        <f t="shared" si="1"/>
        <v>0.17236159169550169</v>
      </c>
      <c r="I7" s="17">
        <f t="shared" si="1"/>
        <v>0.20771075447334431</v>
      </c>
      <c r="J7" s="17">
        <f t="shared" si="1"/>
        <v>0.18000610966855057</v>
      </c>
      <c r="K7" s="17">
        <f t="shared" si="1"/>
        <v>0.15021681444566704</v>
      </c>
      <c r="L7" s="17">
        <f t="shared" si="1"/>
        <v>0.20717983344586988</v>
      </c>
      <c r="M7" s="17">
        <f t="shared" si="1"/>
        <v>0.18257667567819524</v>
      </c>
      <c r="N7" s="18">
        <f t="shared" si="1"/>
        <v>8.4624177210200546E-2</v>
      </c>
    </row>
    <row r="8" spans="2:14" x14ac:dyDescent="0.25">
      <c r="B8" s="24" t="s">
        <v>5</v>
      </c>
      <c r="C8" s="94">
        <v>0</v>
      </c>
      <c r="D8" s="94">
        <v>0</v>
      </c>
      <c r="E8" s="94">
        <v>0</v>
      </c>
      <c r="F8" s="94">
        <v>0</v>
      </c>
      <c r="G8" s="94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</row>
    <row r="9" spans="2:14" x14ac:dyDescent="0.25">
      <c r="B9" s="25" t="s">
        <v>6</v>
      </c>
      <c r="C9" s="17">
        <f t="shared" ref="C9:N9" si="2">C8/C6</f>
        <v>0</v>
      </c>
      <c r="D9" s="17">
        <f t="shared" si="2"/>
        <v>0</v>
      </c>
      <c r="E9" s="17">
        <f t="shared" si="2"/>
        <v>0</v>
      </c>
      <c r="F9" s="17">
        <f t="shared" si="2"/>
        <v>0</v>
      </c>
      <c r="G9" s="17">
        <f t="shared" si="2"/>
        <v>0</v>
      </c>
      <c r="H9" s="17">
        <f t="shared" si="2"/>
        <v>0</v>
      </c>
      <c r="I9" s="17">
        <f t="shared" si="2"/>
        <v>0</v>
      </c>
      <c r="J9" s="17">
        <f t="shared" si="2"/>
        <v>0</v>
      </c>
      <c r="K9" s="17">
        <f t="shared" si="2"/>
        <v>0</v>
      </c>
      <c r="L9" s="17">
        <f t="shared" si="2"/>
        <v>0</v>
      </c>
      <c r="M9" s="17">
        <f t="shared" si="2"/>
        <v>0</v>
      </c>
      <c r="N9" s="18">
        <f t="shared" si="2"/>
        <v>0</v>
      </c>
    </row>
    <row r="10" spans="2:14" x14ac:dyDescent="0.25">
      <c r="B10" s="24" t="s">
        <v>7</v>
      </c>
      <c r="C10" s="102">
        <f t="shared" ref="C10:N10" si="3">C6-C8</f>
        <v>4499</v>
      </c>
      <c r="D10" s="14">
        <f t="shared" si="3"/>
        <v>5662</v>
      </c>
      <c r="E10" s="14">
        <f t="shared" si="3"/>
        <v>6727</v>
      </c>
      <c r="F10" s="14">
        <f t="shared" si="3"/>
        <v>8025</v>
      </c>
      <c r="G10" s="14">
        <f t="shared" si="3"/>
        <v>9248</v>
      </c>
      <c r="H10" s="14">
        <f t="shared" si="3"/>
        <v>10842</v>
      </c>
      <c r="I10" s="14">
        <f t="shared" si="3"/>
        <v>13094</v>
      </c>
      <c r="J10" s="14">
        <f t="shared" si="3"/>
        <v>15451</v>
      </c>
      <c r="K10" s="14">
        <f t="shared" si="3"/>
        <v>17772</v>
      </c>
      <c r="L10" s="14">
        <f t="shared" si="3"/>
        <v>21454</v>
      </c>
      <c r="M10" s="14">
        <f t="shared" si="3"/>
        <v>25371</v>
      </c>
      <c r="N10" s="15">
        <f t="shared" si="3"/>
        <v>27518</v>
      </c>
    </row>
    <row r="11" spans="2:14" x14ac:dyDescent="0.25">
      <c r="B11" s="25" t="s">
        <v>8</v>
      </c>
      <c r="C11" s="17">
        <f t="shared" ref="C11:N11" si="4">C10/C6</f>
        <v>1</v>
      </c>
      <c r="D11" s="17">
        <f t="shared" si="4"/>
        <v>1</v>
      </c>
      <c r="E11" s="17">
        <f t="shared" si="4"/>
        <v>1</v>
      </c>
      <c r="F11" s="17">
        <f t="shared" si="4"/>
        <v>1</v>
      </c>
      <c r="G11" s="17">
        <f t="shared" si="4"/>
        <v>1</v>
      </c>
      <c r="H11" s="17">
        <f t="shared" si="4"/>
        <v>1</v>
      </c>
      <c r="I11" s="17">
        <f t="shared" si="4"/>
        <v>1</v>
      </c>
      <c r="J11" s="17">
        <f t="shared" si="4"/>
        <v>1</v>
      </c>
      <c r="K11" s="17">
        <f t="shared" si="4"/>
        <v>1</v>
      </c>
      <c r="L11" s="17">
        <f t="shared" si="4"/>
        <v>1</v>
      </c>
      <c r="M11" s="17">
        <f t="shared" si="4"/>
        <v>1</v>
      </c>
      <c r="N11" s="18">
        <f t="shared" si="4"/>
        <v>1</v>
      </c>
    </row>
    <row r="12" spans="2:14" x14ac:dyDescent="0.25">
      <c r="B12" s="24" t="s">
        <v>9</v>
      </c>
      <c r="C12" s="94">
        <v>0</v>
      </c>
      <c r="D12" s="94">
        <v>4782</v>
      </c>
      <c r="E12" s="94">
        <v>5636</v>
      </c>
      <c r="F12" s="94">
        <v>6757</v>
      </c>
      <c r="G12" s="94">
        <v>7787</v>
      </c>
      <c r="H12" s="94">
        <v>9256</v>
      </c>
      <c r="I12" s="94">
        <v>10967</v>
      </c>
      <c r="J12" s="94">
        <v>13257</v>
      </c>
      <c r="K12" s="94">
        <v>15053</v>
      </c>
      <c r="L12" s="94">
        <v>18165</v>
      </c>
      <c r="M12" s="94">
        <v>21109</v>
      </c>
      <c r="N12" s="95">
        <v>23681</v>
      </c>
    </row>
    <row r="13" spans="2:14" x14ac:dyDescent="0.25">
      <c r="B13" s="25" t="s">
        <v>6</v>
      </c>
      <c r="C13" s="17">
        <f t="shared" ref="C13:N13" si="5">C12/C6</f>
        <v>0</v>
      </c>
      <c r="D13" s="17">
        <f t="shared" si="5"/>
        <v>0.84457788767220066</v>
      </c>
      <c r="E13" s="17">
        <f t="shared" si="5"/>
        <v>0.83781774936821762</v>
      </c>
      <c r="F13" s="17">
        <f t="shared" si="5"/>
        <v>0.84199376947040494</v>
      </c>
      <c r="G13" s="17">
        <f t="shared" si="5"/>
        <v>0.8420198961937716</v>
      </c>
      <c r="H13" s="17">
        <f t="shared" si="5"/>
        <v>0.8537170263788969</v>
      </c>
      <c r="I13" s="17">
        <f t="shared" si="5"/>
        <v>0.83755918741408275</v>
      </c>
      <c r="J13" s="17">
        <f t="shared" si="5"/>
        <v>0.8580027182706621</v>
      </c>
      <c r="K13" s="17">
        <f t="shared" si="5"/>
        <v>0.84700652712131441</v>
      </c>
      <c r="L13" s="17">
        <f t="shared" si="5"/>
        <v>0.84669525496410925</v>
      </c>
      <c r="M13" s="17">
        <f t="shared" si="5"/>
        <v>0.83201292814630878</v>
      </c>
      <c r="N13" s="18">
        <f t="shared" si="5"/>
        <v>0.8605639944763428</v>
      </c>
    </row>
    <row r="14" spans="2:14" x14ac:dyDescent="0.25">
      <c r="B14" s="24" t="s">
        <v>10</v>
      </c>
      <c r="C14" s="102">
        <f t="shared" ref="C14:N14" si="6">C10-C12</f>
        <v>4499</v>
      </c>
      <c r="D14" s="14">
        <f t="shared" si="6"/>
        <v>880</v>
      </c>
      <c r="E14" s="14">
        <f t="shared" si="6"/>
        <v>1091</v>
      </c>
      <c r="F14" s="14">
        <f t="shared" si="6"/>
        <v>1268</v>
      </c>
      <c r="G14" s="14">
        <f t="shared" si="6"/>
        <v>1461</v>
      </c>
      <c r="H14" s="14">
        <f t="shared" si="6"/>
        <v>1586</v>
      </c>
      <c r="I14" s="14">
        <f t="shared" si="6"/>
        <v>2127</v>
      </c>
      <c r="J14" s="14">
        <f t="shared" si="6"/>
        <v>2194</v>
      </c>
      <c r="K14" s="14">
        <f t="shared" si="6"/>
        <v>2719</v>
      </c>
      <c r="L14" s="14">
        <f t="shared" si="6"/>
        <v>3289</v>
      </c>
      <c r="M14" s="14">
        <f t="shared" si="6"/>
        <v>4262</v>
      </c>
      <c r="N14" s="15">
        <f t="shared" si="6"/>
        <v>3837</v>
      </c>
    </row>
    <row r="15" spans="2:14" x14ac:dyDescent="0.25">
      <c r="B15" s="25" t="s">
        <v>8</v>
      </c>
      <c r="C15" s="17">
        <f t="shared" ref="C15:N15" si="7">C14/C6</f>
        <v>1</v>
      </c>
      <c r="D15" s="17">
        <f t="shared" si="7"/>
        <v>0.15542211232779937</v>
      </c>
      <c r="E15" s="17">
        <f t="shared" si="7"/>
        <v>0.16218225063178238</v>
      </c>
      <c r="F15" s="17">
        <f t="shared" si="7"/>
        <v>0.158006230529595</v>
      </c>
      <c r="G15" s="17">
        <f t="shared" si="7"/>
        <v>0.15798010380622837</v>
      </c>
      <c r="H15" s="17">
        <f t="shared" si="7"/>
        <v>0.14628297362110312</v>
      </c>
      <c r="I15" s="17">
        <f t="shared" si="7"/>
        <v>0.16244081258591722</v>
      </c>
      <c r="J15" s="17">
        <f t="shared" si="7"/>
        <v>0.1419972817293379</v>
      </c>
      <c r="K15" s="17">
        <f t="shared" si="7"/>
        <v>0.15299347287868556</v>
      </c>
      <c r="L15" s="17">
        <f t="shared" si="7"/>
        <v>0.15330474503589075</v>
      </c>
      <c r="M15" s="17">
        <f t="shared" si="7"/>
        <v>0.16798707185369122</v>
      </c>
      <c r="N15" s="18">
        <f t="shared" si="7"/>
        <v>0.13943600552365723</v>
      </c>
    </row>
    <row r="16" spans="2:14" x14ac:dyDescent="0.25">
      <c r="B16" s="24" t="s">
        <v>11</v>
      </c>
      <c r="C16" s="94">
        <v>0</v>
      </c>
      <c r="D16" s="94">
        <v>-11</v>
      </c>
      <c r="E16" s="94">
        <v>7</v>
      </c>
      <c r="F16" s="94">
        <v>7</v>
      </c>
      <c r="G16" s="94">
        <v>-27</v>
      </c>
      <c r="H16" s="94">
        <v>-45</v>
      </c>
      <c r="I16" s="94">
        <v>-73</v>
      </c>
      <c r="J16" s="94">
        <v>-182</v>
      </c>
      <c r="K16" s="94">
        <v>-279</v>
      </c>
      <c r="L16" s="94">
        <v>-1776</v>
      </c>
      <c r="M16" s="94">
        <v>163</v>
      </c>
      <c r="N16" s="95">
        <v>471</v>
      </c>
    </row>
    <row r="17" spans="2:14" x14ac:dyDescent="0.25">
      <c r="B17" s="25" t="s">
        <v>6</v>
      </c>
      <c r="C17" s="17">
        <f t="shared" ref="C17:N17" si="8">C16/C6</f>
        <v>0</v>
      </c>
      <c r="D17" s="17">
        <f t="shared" si="8"/>
        <v>-1.942776404097492E-3</v>
      </c>
      <c r="E17" s="17">
        <f t="shared" si="8"/>
        <v>1.0405827263267431E-3</v>
      </c>
      <c r="F17" s="17">
        <f t="shared" si="8"/>
        <v>8.722741433021807E-4</v>
      </c>
      <c r="G17" s="17">
        <f t="shared" si="8"/>
        <v>-2.9195501730103807E-3</v>
      </c>
      <c r="H17" s="17">
        <f t="shared" si="8"/>
        <v>-4.1505257332595464E-3</v>
      </c>
      <c r="I17" s="17">
        <f t="shared" si="8"/>
        <v>-5.5750725523140369E-3</v>
      </c>
      <c r="J17" s="17">
        <f t="shared" si="8"/>
        <v>-1.1779172869069963E-2</v>
      </c>
      <c r="K17" s="17">
        <f t="shared" si="8"/>
        <v>-1.5698852126941255E-2</v>
      </c>
      <c r="L17" s="17">
        <f t="shared" si="8"/>
        <v>-8.2781765638109447E-2</v>
      </c>
      <c r="M17" s="17">
        <f t="shared" si="8"/>
        <v>6.4246580741791808E-3</v>
      </c>
      <c r="N17" s="18">
        <f t="shared" si="8"/>
        <v>1.7116069481793734E-2</v>
      </c>
    </row>
    <row r="18" spans="2:14" x14ac:dyDescent="0.25">
      <c r="B18" s="24" t="s">
        <v>12</v>
      </c>
      <c r="C18" s="102">
        <f t="shared" ref="C18:N18" si="9">C14-C16</f>
        <v>4499</v>
      </c>
      <c r="D18" s="14">
        <f t="shared" si="9"/>
        <v>891</v>
      </c>
      <c r="E18" s="14">
        <f t="shared" si="9"/>
        <v>1084</v>
      </c>
      <c r="F18" s="14">
        <f t="shared" si="9"/>
        <v>1261</v>
      </c>
      <c r="G18" s="14">
        <f t="shared" si="9"/>
        <v>1488</v>
      </c>
      <c r="H18" s="14">
        <f t="shared" si="9"/>
        <v>1631</v>
      </c>
      <c r="I18" s="14">
        <f t="shared" si="9"/>
        <v>2200</v>
      </c>
      <c r="J18" s="14">
        <f t="shared" si="9"/>
        <v>2376</v>
      </c>
      <c r="K18" s="14">
        <f t="shared" si="9"/>
        <v>2998</v>
      </c>
      <c r="L18" s="14">
        <f t="shared" si="9"/>
        <v>5065</v>
      </c>
      <c r="M18" s="14">
        <f t="shared" si="9"/>
        <v>4099</v>
      </c>
      <c r="N18" s="15">
        <f t="shared" si="9"/>
        <v>3366</v>
      </c>
    </row>
    <row r="19" spans="2:14" x14ac:dyDescent="0.25">
      <c r="B19" s="25" t="s">
        <v>8</v>
      </c>
      <c r="C19" s="17">
        <f t="shared" ref="C19:N19" si="10">C18/C6</f>
        <v>1</v>
      </c>
      <c r="D19" s="17">
        <f t="shared" si="10"/>
        <v>0.15736488873189686</v>
      </c>
      <c r="E19" s="17">
        <f t="shared" si="10"/>
        <v>0.16114166790545562</v>
      </c>
      <c r="F19" s="17">
        <f t="shared" si="10"/>
        <v>0.15713395638629282</v>
      </c>
      <c r="G19" s="17">
        <f t="shared" si="10"/>
        <v>0.16089965397923875</v>
      </c>
      <c r="H19" s="17">
        <f t="shared" si="10"/>
        <v>0.15043349935436268</v>
      </c>
      <c r="I19" s="17">
        <f t="shared" si="10"/>
        <v>0.16801588513823126</v>
      </c>
      <c r="J19" s="17">
        <f t="shared" si="10"/>
        <v>0.15377645459840786</v>
      </c>
      <c r="K19" s="17">
        <f t="shared" si="10"/>
        <v>0.16869232500562684</v>
      </c>
      <c r="L19" s="17">
        <f t="shared" si="10"/>
        <v>0.23608651067400019</v>
      </c>
      <c r="M19" s="17">
        <f t="shared" si="10"/>
        <v>0.16156241377951205</v>
      </c>
      <c r="N19" s="18">
        <f t="shared" si="10"/>
        <v>0.1223199360418635</v>
      </c>
    </row>
    <row r="20" spans="2:14" x14ac:dyDescent="0.25">
      <c r="B20" s="24" t="s">
        <v>13</v>
      </c>
      <c r="C20" s="94">
        <v>0</v>
      </c>
      <c r="D20" s="94">
        <v>-11</v>
      </c>
      <c r="E20" s="94">
        <v>7</v>
      </c>
      <c r="F20" s="94">
        <v>7</v>
      </c>
      <c r="G20" s="94">
        <v>-27</v>
      </c>
      <c r="H20" s="94">
        <v>-45</v>
      </c>
      <c r="I20" s="94">
        <v>-73</v>
      </c>
      <c r="J20" s="94">
        <v>-182</v>
      </c>
      <c r="K20" s="94">
        <v>-279</v>
      </c>
      <c r="L20" s="94">
        <v>-1776</v>
      </c>
      <c r="M20" s="94">
        <v>163</v>
      </c>
      <c r="N20" s="95">
        <v>471</v>
      </c>
    </row>
    <row r="21" spans="2:14" x14ac:dyDescent="0.25">
      <c r="B21" s="25" t="s">
        <v>6</v>
      </c>
      <c r="C21" s="17">
        <f t="shared" ref="C21:N21" si="11">C20/C6</f>
        <v>0</v>
      </c>
      <c r="D21" s="17">
        <f t="shared" si="11"/>
        <v>-1.942776404097492E-3</v>
      </c>
      <c r="E21" s="17">
        <f t="shared" si="11"/>
        <v>1.0405827263267431E-3</v>
      </c>
      <c r="F21" s="17">
        <f t="shared" si="11"/>
        <v>8.722741433021807E-4</v>
      </c>
      <c r="G21" s="17">
        <f t="shared" si="11"/>
        <v>-2.9195501730103807E-3</v>
      </c>
      <c r="H21" s="17">
        <f t="shared" si="11"/>
        <v>-4.1505257332595464E-3</v>
      </c>
      <c r="I21" s="17">
        <f t="shared" si="11"/>
        <v>-5.5750725523140369E-3</v>
      </c>
      <c r="J21" s="17">
        <f t="shared" si="11"/>
        <v>-1.1779172869069963E-2</v>
      </c>
      <c r="K21" s="17">
        <f t="shared" si="11"/>
        <v>-1.5698852126941255E-2</v>
      </c>
      <c r="L21" s="17">
        <f t="shared" si="11"/>
        <v>-8.2781765638109447E-2</v>
      </c>
      <c r="M21" s="17">
        <f t="shared" si="11"/>
        <v>6.4246580741791808E-3</v>
      </c>
      <c r="N21" s="18">
        <f t="shared" si="11"/>
        <v>1.7116069481793734E-2</v>
      </c>
    </row>
    <row r="22" spans="2:14" x14ac:dyDescent="0.25">
      <c r="B22" s="24" t="s">
        <v>14</v>
      </c>
      <c r="C22" s="102">
        <f t="shared" ref="C22:N22" si="12">C18-C20</f>
        <v>4499</v>
      </c>
      <c r="D22" s="14">
        <f t="shared" si="12"/>
        <v>902</v>
      </c>
      <c r="E22" s="14">
        <f t="shared" si="12"/>
        <v>1077</v>
      </c>
      <c r="F22" s="14">
        <f t="shared" si="12"/>
        <v>1254</v>
      </c>
      <c r="G22" s="14">
        <f t="shared" si="12"/>
        <v>1515</v>
      </c>
      <c r="H22" s="14">
        <f t="shared" si="12"/>
        <v>1676</v>
      </c>
      <c r="I22" s="14">
        <f t="shared" si="12"/>
        <v>2273</v>
      </c>
      <c r="J22" s="14">
        <f t="shared" si="12"/>
        <v>2558</v>
      </c>
      <c r="K22" s="14">
        <f t="shared" si="12"/>
        <v>3277</v>
      </c>
      <c r="L22" s="14">
        <f t="shared" si="12"/>
        <v>6841</v>
      </c>
      <c r="M22" s="14">
        <f t="shared" si="12"/>
        <v>3936</v>
      </c>
      <c r="N22" s="15">
        <f t="shared" si="12"/>
        <v>2895</v>
      </c>
    </row>
    <row r="23" spans="2:14" x14ac:dyDescent="0.25">
      <c r="B23" s="25" t="s">
        <v>8</v>
      </c>
      <c r="C23" s="17">
        <f t="shared" ref="C23:N23" si="13">C22/C6</f>
        <v>1</v>
      </c>
      <c r="D23" s="17">
        <f t="shared" si="13"/>
        <v>0.15930766513599434</v>
      </c>
      <c r="E23" s="17">
        <f t="shared" si="13"/>
        <v>0.16010108517912888</v>
      </c>
      <c r="F23" s="17">
        <f t="shared" si="13"/>
        <v>0.15626168224299064</v>
      </c>
      <c r="G23" s="17">
        <f t="shared" si="13"/>
        <v>0.16381920415224913</v>
      </c>
      <c r="H23" s="17">
        <f t="shared" si="13"/>
        <v>0.1545840250876222</v>
      </c>
      <c r="I23" s="17">
        <f t="shared" si="13"/>
        <v>0.17359095769054528</v>
      </c>
      <c r="J23" s="17">
        <f t="shared" si="13"/>
        <v>0.16555562746747784</v>
      </c>
      <c r="K23" s="17">
        <f t="shared" si="13"/>
        <v>0.18439117713256808</v>
      </c>
      <c r="L23" s="17">
        <f t="shared" si="13"/>
        <v>0.31886827631210962</v>
      </c>
      <c r="M23" s="17">
        <f t="shared" si="13"/>
        <v>0.15513775570533286</v>
      </c>
      <c r="N23" s="18">
        <f t="shared" si="13"/>
        <v>0.10520386656006978</v>
      </c>
    </row>
    <row r="24" spans="2:14" x14ac:dyDescent="0.25">
      <c r="B24" s="27" t="s">
        <v>15</v>
      </c>
      <c r="C24" s="94">
        <v>0</v>
      </c>
      <c r="D24" s="94">
        <v>113</v>
      </c>
      <c r="E24" s="94">
        <v>129</v>
      </c>
      <c r="F24" s="94">
        <v>842</v>
      </c>
      <c r="G24" s="94">
        <v>260</v>
      </c>
      <c r="H24" s="94">
        <v>230</v>
      </c>
      <c r="I24" s="94">
        <v>405</v>
      </c>
      <c r="J24" s="94">
        <v>319</v>
      </c>
      <c r="K24" s="94">
        <v>539</v>
      </c>
      <c r="L24" s="94">
        <v>863</v>
      </c>
      <c r="M24" s="94">
        <v>-70</v>
      </c>
      <c r="N24" s="95">
        <v>947</v>
      </c>
    </row>
    <row r="25" spans="2:14" x14ac:dyDescent="0.25">
      <c r="B25" s="25" t="s">
        <v>6</v>
      </c>
      <c r="C25" s="17">
        <f t="shared" ref="C25:N25" si="14">C24/C6</f>
        <v>0</v>
      </c>
      <c r="D25" s="17">
        <f t="shared" si="14"/>
        <v>1.9957612151183326E-2</v>
      </c>
      <c r="E25" s="17">
        <f t="shared" si="14"/>
        <v>1.9176453099449979E-2</v>
      </c>
      <c r="F25" s="17">
        <f t="shared" si="14"/>
        <v>0.10492211838006231</v>
      </c>
      <c r="G25" s="17">
        <f t="shared" si="14"/>
        <v>2.8114186851211073E-2</v>
      </c>
      <c r="H25" s="17">
        <f t="shared" si="14"/>
        <v>2.1213798192215458E-2</v>
      </c>
      <c r="I25" s="17">
        <f t="shared" si="14"/>
        <v>3.0930197036810752E-2</v>
      </c>
      <c r="J25" s="17">
        <f t="shared" si="14"/>
        <v>2.0645912885897354E-2</v>
      </c>
      <c r="K25" s="17">
        <f t="shared" si="14"/>
        <v>3.0328606797209091E-2</v>
      </c>
      <c r="L25" s="17">
        <f t="shared" si="14"/>
        <v>4.0225598955905661E-2</v>
      </c>
      <c r="M25" s="17">
        <f t="shared" si="14"/>
        <v>-2.7590556146781758E-3</v>
      </c>
      <c r="N25" s="18">
        <f t="shared" si="14"/>
        <v>3.4413838214986552E-2</v>
      </c>
    </row>
    <row r="26" spans="2:14" x14ac:dyDescent="0.25">
      <c r="B26" s="24" t="s">
        <v>16</v>
      </c>
      <c r="C26" s="102">
        <f t="shared" ref="C26:N26" si="15">C22-C24</f>
        <v>4499</v>
      </c>
      <c r="D26" s="14">
        <f t="shared" si="15"/>
        <v>789</v>
      </c>
      <c r="E26" s="14">
        <f t="shared" si="15"/>
        <v>948</v>
      </c>
      <c r="F26" s="14">
        <f t="shared" si="15"/>
        <v>412</v>
      </c>
      <c r="G26" s="14">
        <f t="shared" si="15"/>
        <v>1255</v>
      </c>
      <c r="H26" s="14">
        <f t="shared" si="15"/>
        <v>1446</v>
      </c>
      <c r="I26" s="14">
        <f t="shared" si="15"/>
        <v>1868</v>
      </c>
      <c r="J26" s="14">
        <f t="shared" si="15"/>
        <v>2239</v>
      </c>
      <c r="K26" s="14">
        <f t="shared" si="15"/>
        <v>2738</v>
      </c>
      <c r="L26" s="14">
        <f t="shared" si="15"/>
        <v>5978</v>
      </c>
      <c r="M26" s="14">
        <f t="shared" si="15"/>
        <v>4006</v>
      </c>
      <c r="N26" s="15">
        <f t="shared" si="15"/>
        <v>1948</v>
      </c>
    </row>
    <row r="27" spans="2:14" x14ac:dyDescent="0.25">
      <c r="B27" s="26" t="s">
        <v>8</v>
      </c>
      <c r="C27" s="19">
        <f t="shared" ref="C27:N27" si="16">C26/C6</f>
        <v>1</v>
      </c>
      <c r="D27" s="19">
        <f t="shared" si="16"/>
        <v>0.13935005298481101</v>
      </c>
      <c r="E27" s="19">
        <f t="shared" si="16"/>
        <v>0.1409246320796789</v>
      </c>
      <c r="F27" s="19">
        <f t="shared" si="16"/>
        <v>5.1339563862928352E-2</v>
      </c>
      <c r="G27" s="19">
        <f t="shared" si="16"/>
        <v>0.13570501730103807</v>
      </c>
      <c r="H27" s="19">
        <f t="shared" si="16"/>
        <v>0.13337022689540676</v>
      </c>
      <c r="I27" s="19">
        <f t="shared" si="16"/>
        <v>0.14266076065373454</v>
      </c>
      <c r="J27" s="19">
        <f t="shared" si="16"/>
        <v>0.14490971458158047</v>
      </c>
      <c r="K27" s="19">
        <f t="shared" si="16"/>
        <v>0.154062570335359</v>
      </c>
      <c r="L27" s="19">
        <f t="shared" si="16"/>
        <v>0.27864267735620396</v>
      </c>
      <c r="M27" s="19">
        <f t="shared" si="16"/>
        <v>0.15789681132001104</v>
      </c>
      <c r="N27" s="20">
        <f t="shared" si="16"/>
        <v>7.0790028345083217E-2</v>
      </c>
    </row>
    <row r="28" spans="2:14" x14ac:dyDescent="0.25">
      <c r="B28" s="13"/>
    </row>
    <row r="30" spans="2:14" x14ac:dyDescent="0.25">
      <c r="B30" s="103" t="s">
        <v>17</v>
      </c>
      <c r="C30" s="104"/>
      <c r="D30" s="104"/>
      <c r="E30" s="104"/>
      <c r="F30" s="104"/>
      <c r="G30" s="104"/>
      <c r="H30" s="104"/>
      <c r="I30" s="104"/>
      <c r="J30" s="104"/>
      <c r="K30" s="104"/>
      <c r="L30" s="104"/>
      <c r="M30" s="104"/>
      <c r="N30" s="105"/>
    </row>
    <row r="31" spans="2:14" x14ac:dyDescent="0.25">
      <c r="B31" s="21" t="s">
        <v>2</v>
      </c>
      <c r="C31" s="22">
        <f t="shared" ref="C31:M31" si="17">D31-1</f>
        <v>2011</v>
      </c>
      <c r="D31" s="22">
        <f t="shared" si="17"/>
        <v>2012</v>
      </c>
      <c r="E31" s="22">
        <f t="shared" si="17"/>
        <v>2013</v>
      </c>
      <c r="F31" s="22">
        <f t="shared" si="17"/>
        <v>2014</v>
      </c>
      <c r="G31" s="22">
        <f t="shared" si="17"/>
        <v>2015</v>
      </c>
      <c r="H31" s="22">
        <f t="shared" si="17"/>
        <v>2016</v>
      </c>
      <c r="I31" s="22">
        <f t="shared" si="17"/>
        <v>2017</v>
      </c>
      <c r="J31" s="22">
        <f t="shared" si="17"/>
        <v>2018</v>
      </c>
      <c r="K31" s="22">
        <f t="shared" si="17"/>
        <v>2019</v>
      </c>
      <c r="L31" s="22">
        <f t="shared" si="17"/>
        <v>2020</v>
      </c>
      <c r="M31" s="22">
        <f t="shared" si="17"/>
        <v>2021</v>
      </c>
      <c r="N31" s="23">
        <v>2022</v>
      </c>
    </row>
    <row r="32" spans="2:14" x14ac:dyDescent="0.25">
      <c r="B32" s="24" t="s">
        <v>18</v>
      </c>
      <c r="C32" s="94">
        <v>0</v>
      </c>
      <c r="D32" s="94">
        <v>382</v>
      </c>
      <c r="E32" s="94">
        <v>453</v>
      </c>
      <c r="F32" s="94">
        <v>516</v>
      </c>
      <c r="G32" s="94">
        <v>608</v>
      </c>
      <c r="H32" s="94">
        <v>724</v>
      </c>
      <c r="I32" s="94">
        <v>805</v>
      </c>
      <c r="J32" s="94">
        <v>776</v>
      </c>
      <c r="K32" s="94">
        <v>912</v>
      </c>
      <c r="L32" s="94">
        <v>1189</v>
      </c>
      <c r="M32" s="94">
        <v>1265</v>
      </c>
      <c r="N32" s="95">
        <v>1317</v>
      </c>
    </row>
    <row r="33" spans="2:14" x14ac:dyDescent="0.25">
      <c r="B33" s="25" t="s">
        <v>6</v>
      </c>
      <c r="C33" s="17">
        <f t="shared" ref="C33:N33" si="18">C32/C6</f>
        <v>0</v>
      </c>
      <c r="D33" s="17">
        <f t="shared" si="18"/>
        <v>6.7467326033203809E-2</v>
      </c>
      <c r="E33" s="17">
        <f t="shared" si="18"/>
        <v>6.7340567860859221E-2</v>
      </c>
      <c r="F33" s="17">
        <f t="shared" si="18"/>
        <v>6.4299065420560741E-2</v>
      </c>
      <c r="G33" s="17">
        <f t="shared" si="18"/>
        <v>6.5743944636678195E-2</v>
      </c>
      <c r="H33" s="17">
        <f t="shared" si="18"/>
        <v>6.6777347352886915E-2</v>
      </c>
      <c r="I33" s="17">
        <f t="shared" si="18"/>
        <v>6.1478539789216434E-2</v>
      </c>
      <c r="J33" s="17">
        <f t="shared" si="18"/>
        <v>5.0223286518671931E-2</v>
      </c>
      <c r="K33" s="17">
        <f t="shared" si="18"/>
        <v>5.1316677920324107E-2</v>
      </c>
      <c r="L33" s="17">
        <f t="shared" si="18"/>
        <v>5.5420900531369444E-2</v>
      </c>
      <c r="M33" s="17">
        <f t="shared" si="18"/>
        <v>4.9860076465255608E-2</v>
      </c>
      <c r="N33" s="18">
        <f t="shared" si="18"/>
        <v>4.7859582818518785E-2</v>
      </c>
    </row>
    <row r="34" spans="2:14" x14ac:dyDescent="0.25">
      <c r="B34" s="24" t="s">
        <v>19</v>
      </c>
      <c r="C34" s="94">
        <v>0</v>
      </c>
      <c r="D34" s="94">
        <v>-511</v>
      </c>
      <c r="E34" s="94">
        <v>-391</v>
      </c>
      <c r="F34" s="94">
        <v>-492</v>
      </c>
      <c r="G34" s="94">
        <v>-722</v>
      </c>
      <c r="H34" s="94">
        <v>-669</v>
      </c>
      <c r="I34" s="94">
        <v>-667</v>
      </c>
      <c r="J34" s="94">
        <v>-823</v>
      </c>
      <c r="K34" s="94">
        <v>-704</v>
      </c>
      <c r="L34" s="94">
        <v>-866</v>
      </c>
      <c r="M34" s="94">
        <v>-908</v>
      </c>
      <c r="N34" s="95">
        <v>-706</v>
      </c>
    </row>
    <row r="35" spans="2:14" x14ac:dyDescent="0.25">
      <c r="B35" s="25" t="s">
        <v>6</v>
      </c>
      <c r="C35" s="17">
        <f t="shared" ref="C35:N35" si="19">C34/C6</f>
        <v>0</v>
      </c>
      <c r="D35" s="17">
        <f t="shared" si="19"/>
        <v>-9.0250794772165313E-2</v>
      </c>
      <c r="E35" s="17">
        <f t="shared" si="19"/>
        <v>-5.8123977999108074E-2</v>
      </c>
      <c r="F35" s="17">
        <f t="shared" si="19"/>
        <v>-6.1308411214953271E-2</v>
      </c>
      <c r="G35" s="17">
        <f t="shared" si="19"/>
        <v>-7.8070934256055366E-2</v>
      </c>
      <c r="H35" s="17">
        <f t="shared" si="19"/>
        <v>-6.1704482567791923E-2</v>
      </c>
      <c r="I35" s="17">
        <f t="shared" si="19"/>
        <v>-5.0939361539636477E-2</v>
      </c>
      <c r="J35" s="17">
        <f t="shared" si="19"/>
        <v>-5.3265160831014173E-2</v>
      </c>
      <c r="K35" s="17">
        <f t="shared" si="19"/>
        <v>-3.9612874184109838E-2</v>
      </c>
      <c r="L35" s="17">
        <f t="shared" si="19"/>
        <v>-4.0365433019483546E-2</v>
      </c>
      <c r="M35" s="17">
        <f t="shared" si="19"/>
        <v>-3.5788892830396907E-2</v>
      </c>
      <c r="N35" s="18">
        <f t="shared" si="19"/>
        <v>-2.5655934297550694E-2</v>
      </c>
    </row>
    <row r="36" spans="2:14" x14ac:dyDescent="0.25">
      <c r="B36" s="24" t="s">
        <v>20</v>
      </c>
      <c r="C36" s="94">
        <v>0</v>
      </c>
      <c r="D36" s="94">
        <v>9</v>
      </c>
      <c r="E36" s="94">
        <v>151</v>
      </c>
      <c r="F36" s="94">
        <v>40</v>
      </c>
      <c r="G36" s="94">
        <v>-52</v>
      </c>
      <c r="H36" s="94">
        <v>27</v>
      </c>
      <c r="I36" s="94">
        <v>-1215</v>
      </c>
      <c r="J36" s="94">
        <v>1330</v>
      </c>
      <c r="K36" s="94">
        <v>-152</v>
      </c>
      <c r="L36" s="94">
        <v>-334</v>
      </c>
      <c r="M36" s="94">
        <v>-180</v>
      </c>
      <c r="N36" s="95">
        <v>293</v>
      </c>
    </row>
    <row r="37" spans="2:14" x14ac:dyDescent="0.25">
      <c r="B37" s="26" t="s">
        <v>6</v>
      </c>
      <c r="C37" s="19">
        <f t="shared" ref="C37:N37" si="20">C36/C6</f>
        <v>0</v>
      </c>
      <c r="D37" s="19">
        <f t="shared" si="20"/>
        <v>1.5895443306252208E-3</v>
      </c>
      <c r="E37" s="19">
        <f t="shared" si="20"/>
        <v>2.244685595361974E-2</v>
      </c>
      <c r="F37" s="19">
        <f t="shared" si="20"/>
        <v>4.9844236760124613E-3</v>
      </c>
      <c r="G37" s="19">
        <f t="shared" si="20"/>
        <v>-5.6228373702422148E-3</v>
      </c>
      <c r="H37" s="19">
        <f t="shared" si="20"/>
        <v>2.4903154399557276E-3</v>
      </c>
      <c r="I37" s="19">
        <f t="shared" si="20"/>
        <v>-9.2790591110432252E-2</v>
      </c>
      <c r="J37" s="19">
        <f t="shared" si="20"/>
        <v>8.6078570966280493E-2</v>
      </c>
      <c r="K37" s="19">
        <f t="shared" si="20"/>
        <v>-8.5527796533873511E-3</v>
      </c>
      <c r="L37" s="19">
        <f t="shared" si="20"/>
        <v>-1.5568192411671483E-2</v>
      </c>
      <c r="M37" s="19">
        <f t="shared" si="20"/>
        <v>-7.0947144377438804E-3</v>
      </c>
      <c r="N37" s="20">
        <f t="shared" si="20"/>
        <v>1.0647576131986336E-2</v>
      </c>
    </row>
  </sheetData>
  <mergeCells count="3">
    <mergeCell ref="B4:N4"/>
    <mergeCell ref="B2:N2"/>
    <mergeCell ref="B30:N30"/>
  </mergeCells>
  <pageMargins left="0.7" right="0.7" top="0.75" bottom="0.75" header="0.3" footer="0.3"/>
  <pageSetup scale="48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W40"/>
  <sheetViews>
    <sheetView showGridLines="0" zoomScale="120" zoomScaleNormal="120" workbookViewId="0">
      <selection activeCell="Q7" sqref="O7:Q7"/>
    </sheetView>
  </sheetViews>
  <sheetFormatPr defaultColWidth="8.85546875" defaultRowHeight="15" x14ac:dyDescent="0.25"/>
  <cols>
    <col min="2" max="2" width="38.42578125" bestFit="1" customWidth="1"/>
    <col min="3" max="3" width="20.42578125" bestFit="1" customWidth="1"/>
    <col min="4" max="13" width="11.42578125" bestFit="1" customWidth="1"/>
    <col min="14" max="14" width="13.42578125" bestFit="1" customWidth="1"/>
    <col min="15" max="15" width="10.140625" customWidth="1"/>
    <col min="16" max="16" width="9.140625" customWidth="1"/>
    <col min="17" max="17" width="10" customWidth="1"/>
    <col min="18" max="22" width="11.42578125" bestFit="1" customWidth="1"/>
    <col min="23" max="23" width="12.7109375" bestFit="1" customWidth="1"/>
  </cols>
  <sheetData>
    <row r="2" spans="2:22" x14ac:dyDescent="0.25">
      <c r="B2" s="106" t="s">
        <v>0</v>
      </c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</row>
    <row r="4" spans="2:22" x14ac:dyDescent="0.25">
      <c r="B4" s="106" t="s">
        <v>21</v>
      </c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6" t="s">
        <v>22</v>
      </c>
      <c r="P4" s="107"/>
      <c r="Q4" s="107"/>
      <c r="R4" s="106" t="s">
        <v>23</v>
      </c>
      <c r="S4" s="107"/>
      <c r="T4" s="107"/>
      <c r="U4" s="107"/>
      <c r="V4" s="107"/>
    </row>
    <row r="5" spans="2:22" x14ac:dyDescent="0.25">
      <c r="B5" s="92" t="s">
        <v>2</v>
      </c>
      <c r="C5" s="90">
        <f t="shared" ref="C5:M5" si="0">D5-1</f>
        <v>2012</v>
      </c>
      <c r="D5" s="90">
        <f t="shared" si="0"/>
        <v>2013</v>
      </c>
      <c r="E5" s="90">
        <f t="shared" si="0"/>
        <v>2014</v>
      </c>
      <c r="F5" s="90">
        <f t="shared" si="0"/>
        <v>2015</v>
      </c>
      <c r="G5" s="90">
        <f t="shared" si="0"/>
        <v>2016</v>
      </c>
      <c r="H5" s="90">
        <f t="shared" si="0"/>
        <v>2017</v>
      </c>
      <c r="I5" s="90">
        <f t="shared" si="0"/>
        <v>2018</v>
      </c>
      <c r="J5" s="90">
        <f t="shared" si="0"/>
        <v>2019</v>
      </c>
      <c r="K5" s="90">
        <f t="shared" si="0"/>
        <v>2020</v>
      </c>
      <c r="L5" s="90">
        <f t="shared" si="0"/>
        <v>2021</v>
      </c>
      <c r="M5" s="90">
        <f t="shared" si="0"/>
        <v>2022</v>
      </c>
      <c r="N5" s="91">
        <v>2023</v>
      </c>
      <c r="O5" s="89" t="s">
        <v>24</v>
      </c>
      <c r="P5" s="90" t="s">
        <v>25</v>
      </c>
      <c r="Q5" s="91" t="s">
        <v>26</v>
      </c>
      <c r="R5" s="89">
        <f>N5+1</f>
        <v>2024</v>
      </c>
      <c r="S5" s="89">
        <f>R5+1</f>
        <v>2025</v>
      </c>
      <c r="T5" s="89">
        <f>S5+1</f>
        <v>2026</v>
      </c>
      <c r="U5" s="89">
        <f>T5+1</f>
        <v>2027</v>
      </c>
      <c r="V5" s="89">
        <f>U5+1</f>
        <v>2028</v>
      </c>
    </row>
    <row r="6" spans="2:22" x14ac:dyDescent="0.25">
      <c r="B6" s="72" t="s">
        <v>3</v>
      </c>
      <c r="C6" s="50">
        <f>'Historical Financial Data'!C6</f>
        <v>4499</v>
      </c>
      <c r="D6" s="51">
        <f>'Historical Financial Data'!D6</f>
        <v>5662</v>
      </c>
      <c r="E6" s="51">
        <f>'Historical Financial Data'!E6</f>
        <v>6727</v>
      </c>
      <c r="F6" s="51">
        <f>'Historical Financial Data'!F6</f>
        <v>8025</v>
      </c>
      <c r="G6" s="51">
        <f>'Historical Financial Data'!G6</f>
        <v>9248</v>
      </c>
      <c r="H6" s="51">
        <f>'Historical Financial Data'!H6</f>
        <v>10842</v>
      </c>
      <c r="I6" s="51">
        <f>'Historical Financial Data'!I6</f>
        <v>13094</v>
      </c>
      <c r="J6" s="51">
        <f>'Historical Financial Data'!J6</f>
        <v>15451</v>
      </c>
      <c r="K6" s="51">
        <f>'Historical Financial Data'!K6</f>
        <v>17772</v>
      </c>
      <c r="L6" s="51">
        <f>'Historical Financial Data'!L6</f>
        <v>21454</v>
      </c>
      <c r="M6" s="51">
        <f>'Historical Financial Data'!M6</f>
        <v>25371</v>
      </c>
      <c r="N6" s="52">
        <f>'Historical Financial Data'!N6</f>
        <v>27518</v>
      </c>
      <c r="O6" s="74"/>
      <c r="P6" s="75"/>
      <c r="Q6" s="76"/>
      <c r="R6" s="35">
        <f>N6*(1+R7)</f>
        <v>29306.67</v>
      </c>
      <c r="S6" s="36">
        <f>R6*(1+S7)</f>
        <v>31504.670249999996</v>
      </c>
      <c r="T6" s="36">
        <f>S6*(1+T7)</f>
        <v>34340.090572499998</v>
      </c>
      <c r="U6" s="36">
        <f>T6*(1+U7)</f>
        <v>36915.597365437498</v>
      </c>
      <c r="V6" s="37">
        <f>U6*(1+V7)</f>
        <v>38945.955220536554</v>
      </c>
    </row>
    <row r="7" spans="2:22" x14ac:dyDescent="0.25">
      <c r="B7" s="25" t="s">
        <v>4</v>
      </c>
      <c r="C7" s="1"/>
      <c r="D7" s="17">
        <f t="shared" ref="D7:N7" si="1">(D6/C6)-1</f>
        <v>0.25850188930873519</v>
      </c>
      <c r="E7" s="17">
        <f t="shared" si="1"/>
        <v>0.18809607912398452</v>
      </c>
      <c r="F7" s="17">
        <f t="shared" si="1"/>
        <v>0.19295376839601608</v>
      </c>
      <c r="G7" s="17">
        <f t="shared" si="1"/>
        <v>0.15239875389408097</v>
      </c>
      <c r="H7" s="17">
        <f t="shared" si="1"/>
        <v>0.17236159169550169</v>
      </c>
      <c r="I7" s="17">
        <f t="shared" si="1"/>
        <v>0.20771075447334431</v>
      </c>
      <c r="J7" s="17">
        <f t="shared" si="1"/>
        <v>0.18000610966855057</v>
      </c>
      <c r="K7" s="17">
        <f t="shared" si="1"/>
        <v>0.15021681444566704</v>
      </c>
      <c r="L7" s="17">
        <f t="shared" si="1"/>
        <v>0.20717983344586988</v>
      </c>
      <c r="M7" s="17">
        <f t="shared" si="1"/>
        <v>0.18257667567819524</v>
      </c>
      <c r="N7" s="18">
        <f t="shared" si="1"/>
        <v>8.4624177210200546E-2</v>
      </c>
      <c r="O7" s="77">
        <f>MIN(D7:N7)</f>
        <v>8.4624177210200546E-2</v>
      </c>
      <c r="P7" s="78">
        <f>AVERAGE(D7:N7)</f>
        <v>0.17969331339455874</v>
      </c>
      <c r="Q7" s="79">
        <f>MAX(D7:N7)</f>
        <v>0.25850188930873519</v>
      </c>
      <c r="R7" s="38">
        <v>6.5000000000000002E-2</v>
      </c>
      <c r="S7" s="39">
        <v>7.4999999999999997E-2</v>
      </c>
      <c r="T7" s="39">
        <v>0.09</v>
      </c>
      <c r="U7" s="39">
        <v>7.4999999999999997E-2</v>
      </c>
      <c r="V7" s="40">
        <v>5.5E-2</v>
      </c>
    </row>
    <row r="8" spans="2:22" x14ac:dyDescent="0.25">
      <c r="B8" s="24" t="s">
        <v>27</v>
      </c>
      <c r="C8" s="53">
        <f t="array" ref="C8:N8">'Historical Financial Data'!C8:N8</f>
        <v>0</v>
      </c>
      <c r="D8" s="54">
        <v>0</v>
      </c>
      <c r="E8" s="54">
        <v>0</v>
      </c>
      <c r="F8" s="54">
        <v>0</v>
      </c>
      <c r="G8" s="54">
        <v>0</v>
      </c>
      <c r="H8" s="54">
        <v>0</v>
      </c>
      <c r="I8" s="54">
        <v>0</v>
      </c>
      <c r="J8" s="54">
        <v>0</v>
      </c>
      <c r="K8" s="54">
        <v>0</v>
      </c>
      <c r="L8" s="54">
        <v>0</v>
      </c>
      <c r="M8" s="54">
        <v>0</v>
      </c>
      <c r="N8" s="55">
        <v>0</v>
      </c>
      <c r="O8" s="21"/>
      <c r="P8" s="80"/>
      <c r="Q8" s="81"/>
      <c r="R8" s="41">
        <f>R6*R9</f>
        <v>0</v>
      </c>
      <c r="S8" s="34">
        <f>S6*S9</f>
        <v>0</v>
      </c>
      <c r="T8" s="34">
        <f>T6*T9</f>
        <v>0</v>
      </c>
      <c r="U8" s="34">
        <f>U6*U9</f>
        <v>0</v>
      </c>
      <c r="V8" s="42">
        <f>V6*V9</f>
        <v>0</v>
      </c>
    </row>
    <row r="9" spans="2:22" x14ac:dyDescent="0.25">
      <c r="B9" s="25" t="s">
        <v>6</v>
      </c>
      <c r="C9" s="56">
        <f t="shared" ref="C9:N9" si="2">C8/C6</f>
        <v>0</v>
      </c>
      <c r="D9" s="17">
        <f t="shared" si="2"/>
        <v>0</v>
      </c>
      <c r="E9" s="17">
        <f t="shared" si="2"/>
        <v>0</v>
      </c>
      <c r="F9" s="17">
        <f t="shared" si="2"/>
        <v>0</v>
      </c>
      <c r="G9" s="17">
        <f t="shared" si="2"/>
        <v>0</v>
      </c>
      <c r="H9" s="17">
        <f t="shared" si="2"/>
        <v>0</v>
      </c>
      <c r="I9" s="17">
        <f t="shared" si="2"/>
        <v>0</v>
      </c>
      <c r="J9" s="17">
        <f t="shared" si="2"/>
        <v>0</v>
      </c>
      <c r="K9" s="17">
        <f t="shared" si="2"/>
        <v>0</v>
      </c>
      <c r="L9" s="17">
        <f t="shared" si="2"/>
        <v>0</v>
      </c>
      <c r="M9" s="17">
        <f t="shared" si="2"/>
        <v>0</v>
      </c>
      <c r="N9" s="18">
        <f t="shared" si="2"/>
        <v>0</v>
      </c>
      <c r="O9" s="77">
        <f>MIN(D9:N9)</f>
        <v>0</v>
      </c>
      <c r="P9" s="78">
        <f>AVERAGE(D9:N9)</f>
        <v>0</v>
      </c>
      <c r="Q9" s="79">
        <f>MAX(D9:N9)</f>
        <v>0</v>
      </c>
      <c r="R9" s="38">
        <v>0</v>
      </c>
      <c r="S9" s="39">
        <v>0</v>
      </c>
      <c r="T9" s="39">
        <v>0</v>
      </c>
      <c r="U9" s="39">
        <v>0</v>
      </c>
      <c r="V9" s="40">
        <v>0</v>
      </c>
    </row>
    <row r="10" spans="2:22" x14ac:dyDescent="0.25">
      <c r="B10" s="24" t="s">
        <v>7</v>
      </c>
      <c r="C10" s="28">
        <f t="shared" ref="C10:N10" si="3">C6-C8</f>
        <v>4499</v>
      </c>
      <c r="D10" s="29">
        <f t="shared" si="3"/>
        <v>5662</v>
      </c>
      <c r="E10" s="29">
        <f t="shared" si="3"/>
        <v>6727</v>
      </c>
      <c r="F10" s="29">
        <f t="shared" si="3"/>
        <v>8025</v>
      </c>
      <c r="G10" s="29">
        <f t="shared" si="3"/>
        <v>9248</v>
      </c>
      <c r="H10" s="29">
        <f t="shared" si="3"/>
        <v>10842</v>
      </c>
      <c r="I10" s="29">
        <f t="shared" si="3"/>
        <v>13094</v>
      </c>
      <c r="J10" s="29">
        <f t="shared" si="3"/>
        <v>15451</v>
      </c>
      <c r="K10" s="29">
        <f t="shared" si="3"/>
        <v>17772</v>
      </c>
      <c r="L10" s="29">
        <f t="shared" si="3"/>
        <v>21454</v>
      </c>
      <c r="M10" s="29">
        <f t="shared" si="3"/>
        <v>25371</v>
      </c>
      <c r="N10" s="30">
        <f t="shared" si="3"/>
        <v>27518</v>
      </c>
      <c r="O10" s="21"/>
      <c r="P10" s="80"/>
      <c r="Q10" s="81"/>
      <c r="R10" s="31">
        <f>R6-R8</f>
        <v>29306.67</v>
      </c>
      <c r="S10" s="32">
        <f>S6-S8</f>
        <v>31504.670249999996</v>
      </c>
      <c r="T10" s="32">
        <f>T6-T8</f>
        <v>34340.090572499998</v>
      </c>
      <c r="U10" s="32">
        <f>U6-U8</f>
        <v>36915.597365437498</v>
      </c>
      <c r="V10" s="33">
        <f>V6-V8</f>
        <v>38945.955220536554</v>
      </c>
    </row>
    <row r="11" spans="2:22" x14ac:dyDescent="0.25">
      <c r="B11" s="25" t="s">
        <v>8</v>
      </c>
      <c r="C11" s="56">
        <f t="shared" ref="C11:N11" si="4">C10/C$6</f>
        <v>1</v>
      </c>
      <c r="D11" s="17">
        <f t="shared" si="4"/>
        <v>1</v>
      </c>
      <c r="E11" s="17">
        <f t="shared" si="4"/>
        <v>1</v>
      </c>
      <c r="F11" s="17">
        <f t="shared" si="4"/>
        <v>1</v>
      </c>
      <c r="G11" s="17">
        <f t="shared" si="4"/>
        <v>1</v>
      </c>
      <c r="H11" s="17">
        <f t="shared" si="4"/>
        <v>1</v>
      </c>
      <c r="I11" s="17">
        <f t="shared" si="4"/>
        <v>1</v>
      </c>
      <c r="J11" s="17">
        <f t="shared" si="4"/>
        <v>1</v>
      </c>
      <c r="K11" s="17">
        <f t="shared" si="4"/>
        <v>1</v>
      </c>
      <c r="L11" s="17">
        <f t="shared" si="4"/>
        <v>1</v>
      </c>
      <c r="M11" s="17">
        <f t="shared" si="4"/>
        <v>1</v>
      </c>
      <c r="N11" s="18">
        <f t="shared" si="4"/>
        <v>1</v>
      </c>
      <c r="O11" s="82"/>
      <c r="P11" s="83"/>
      <c r="Q11" s="84"/>
      <c r="R11" s="43">
        <f>R10/R$6</f>
        <v>1</v>
      </c>
      <c r="S11" s="44">
        <f>S10/S$6</f>
        <v>1</v>
      </c>
      <c r="T11" s="44">
        <f>T10/T$6</f>
        <v>1</v>
      </c>
      <c r="U11" s="44">
        <f>U10/U$6</f>
        <v>1</v>
      </c>
      <c r="V11" s="45">
        <f>V10/V$6</f>
        <v>1</v>
      </c>
    </row>
    <row r="12" spans="2:22" x14ac:dyDescent="0.25">
      <c r="B12" s="24" t="s">
        <v>28</v>
      </c>
      <c r="C12" s="53">
        <f t="array" ref="C12:N12">'Historical Financial Data'!C12:N12</f>
        <v>0</v>
      </c>
      <c r="D12" s="54">
        <v>4782</v>
      </c>
      <c r="E12" s="54">
        <v>5636</v>
      </c>
      <c r="F12" s="54">
        <v>6757</v>
      </c>
      <c r="G12" s="54">
        <v>7787</v>
      </c>
      <c r="H12" s="54">
        <v>9256</v>
      </c>
      <c r="I12" s="54">
        <v>10967</v>
      </c>
      <c r="J12" s="54">
        <v>13257</v>
      </c>
      <c r="K12" s="54">
        <v>15053</v>
      </c>
      <c r="L12" s="54">
        <v>18165</v>
      </c>
      <c r="M12" s="54">
        <v>21109</v>
      </c>
      <c r="N12" s="55">
        <v>23681</v>
      </c>
      <c r="O12" s="21"/>
      <c r="P12" s="80"/>
      <c r="Q12" s="81"/>
      <c r="R12" s="41">
        <f>R13*R6</f>
        <v>22566.135899999997</v>
      </c>
      <c r="S12" s="34">
        <f>S13*S6</f>
        <v>24258.596092499996</v>
      </c>
      <c r="T12" s="34">
        <f>T13*T6</f>
        <v>26441.869740824997</v>
      </c>
      <c r="U12" s="34">
        <f>U13*U6</f>
        <v>28240.431984559687</v>
      </c>
      <c r="V12" s="42">
        <f>V13*V6</f>
        <v>29793.655743710464</v>
      </c>
    </row>
    <row r="13" spans="2:22" x14ac:dyDescent="0.25">
      <c r="B13" s="25" t="s">
        <v>6</v>
      </c>
      <c r="C13" s="56">
        <f t="shared" ref="C13:N13" si="5">C12/C$6</f>
        <v>0</v>
      </c>
      <c r="D13" s="17">
        <f t="shared" si="5"/>
        <v>0.84457788767220066</v>
      </c>
      <c r="E13" s="17">
        <f t="shared" si="5"/>
        <v>0.83781774936821762</v>
      </c>
      <c r="F13" s="17">
        <f t="shared" si="5"/>
        <v>0.84199376947040494</v>
      </c>
      <c r="G13" s="17">
        <f t="shared" si="5"/>
        <v>0.8420198961937716</v>
      </c>
      <c r="H13" s="17">
        <f t="shared" si="5"/>
        <v>0.8537170263788969</v>
      </c>
      <c r="I13" s="17">
        <f t="shared" si="5"/>
        <v>0.83755918741408275</v>
      </c>
      <c r="J13" s="17">
        <f t="shared" si="5"/>
        <v>0.8580027182706621</v>
      </c>
      <c r="K13" s="17">
        <f t="shared" si="5"/>
        <v>0.84700652712131441</v>
      </c>
      <c r="L13" s="17">
        <f t="shared" si="5"/>
        <v>0.84669525496410925</v>
      </c>
      <c r="M13" s="17">
        <f t="shared" si="5"/>
        <v>0.83201292814630878</v>
      </c>
      <c r="N13" s="18">
        <f t="shared" si="5"/>
        <v>0.8605639944763428</v>
      </c>
      <c r="O13" s="77">
        <f>MIN(D13:N13)</f>
        <v>0.83201292814630878</v>
      </c>
      <c r="P13" s="78">
        <f>AVERAGE(D13:N13)</f>
        <v>0.84563335813421003</v>
      </c>
      <c r="Q13" s="79">
        <f>MAX(D13:N13)</f>
        <v>0.8605639944763428</v>
      </c>
      <c r="R13" s="38">
        <v>0.77</v>
      </c>
      <c r="S13" s="39">
        <v>0.77</v>
      </c>
      <c r="T13" s="39">
        <v>0.77</v>
      </c>
      <c r="U13" s="39">
        <v>0.76500000000000001</v>
      </c>
      <c r="V13" s="40">
        <v>0.76500000000000001</v>
      </c>
    </row>
    <row r="14" spans="2:22" x14ac:dyDescent="0.25">
      <c r="B14" s="24" t="s">
        <v>29</v>
      </c>
      <c r="C14" s="31">
        <f t="shared" ref="C14:N14" si="6">C10-C12</f>
        <v>4499</v>
      </c>
      <c r="D14" s="32">
        <f t="shared" si="6"/>
        <v>880</v>
      </c>
      <c r="E14" s="32">
        <f t="shared" si="6"/>
        <v>1091</v>
      </c>
      <c r="F14" s="32">
        <f t="shared" si="6"/>
        <v>1268</v>
      </c>
      <c r="G14" s="32">
        <f t="shared" si="6"/>
        <v>1461</v>
      </c>
      <c r="H14" s="32">
        <f t="shared" si="6"/>
        <v>1586</v>
      </c>
      <c r="I14" s="32">
        <f t="shared" si="6"/>
        <v>2127</v>
      </c>
      <c r="J14" s="32">
        <f t="shared" si="6"/>
        <v>2194</v>
      </c>
      <c r="K14" s="32">
        <f t="shared" si="6"/>
        <v>2719</v>
      </c>
      <c r="L14" s="32">
        <f t="shared" si="6"/>
        <v>3289</v>
      </c>
      <c r="M14" s="32">
        <f t="shared" si="6"/>
        <v>4262</v>
      </c>
      <c r="N14" s="33">
        <f t="shared" si="6"/>
        <v>3837</v>
      </c>
      <c r="O14" s="21"/>
      <c r="P14" s="80"/>
      <c r="Q14" s="81"/>
      <c r="R14" s="31">
        <f>R10-R12</f>
        <v>6740.5341000000008</v>
      </c>
      <c r="S14" s="32">
        <f>S10-S12</f>
        <v>7246.0741574999993</v>
      </c>
      <c r="T14" s="32">
        <f>T10-T12</f>
        <v>7898.2208316750002</v>
      </c>
      <c r="U14" s="32">
        <f>U10-U12</f>
        <v>8675.1653808778101</v>
      </c>
      <c r="V14" s="33">
        <f>V10-V12</f>
        <v>9152.2994768260905</v>
      </c>
    </row>
    <row r="15" spans="2:22" x14ac:dyDescent="0.25">
      <c r="B15" s="25" t="s">
        <v>8</v>
      </c>
      <c r="C15" s="56">
        <f t="shared" ref="C15:N15" si="7">C14/C$6</f>
        <v>1</v>
      </c>
      <c r="D15" s="17">
        <f t="shared" si="7"/>
        <v>0.15542211232779937</v>
      </c>
      <c r="E15" s="17">
        <f t="shared" si="7"/>
        <v>0.16218225063178238</v>
      </c>
      <c r="F15" s="17">
        <f t="shared" si="7"/>
        <v>0.158006230529595</v>
      </c>
      <c r="G15" s="17">
        <f t="shared" si="7"/>
        <v>0.15798010380622837</v>
      </c>
      <c r="H15" s="17">
        <f t="shared" si="7"/>
        <v>0.14628297362110312</v>
      </c>
      <c r="I15" s="17">
        <f t="shared" si="7"/>
        <v>0.16244081258591722</v>
      </c>
      <c r="J15" s="17">
        <f t="shared" si="7"/>
        <v>0.1419972817293379</v>
      </c>
      <c r="K15" s="17">
        <f t="shared" si="7"/>
        <v>0.15299347287868556</v>
      </c>
      <c r="L15" s="17">
        <f t="shared" si="7"/>
        <v>0.15330474503589075</v>
      </c>
      <c r="M15" s="17">
        <f t="shared" si="7"/>
        <v>0.16798707185369122</v>
      </c>
      <c r="N15" s="18">
        <f t="shared" si="7"/>
        <v>0.13943600552365723</v>
      </c>
      <c r="O15" s="82"/>
      <c r="P15" s="83"/>
      <c r="Q15" s="84"/>
      <c r="R15" s="46">
        <f>R14/R6</f>
        <v>0.23000000000000004</v>
      </c>
      <c r="S15" s="47">
        <f>S14/S6</f>
        <v>0.23</v>
      </c>
      <c r="T15" s="47">
        <f>T14/T6</f>
        <v>0.23</v>
      </c>
      <c r="U15" s="47">
        <f>U14/U6</f>
        <v>0.23499999999999996</v>
      </c>
      <c r="V15" s="48">
        <f>V14/V6</f>
        <v>0.23500000000000001</v>
      </c>
    </row>
    <row r="16" spans="2:22" x14ac:dyDescent="0.25">
      <c r="B16" s="24" t="s">
        <v>15</v>
      </c>
      <c r="C16" s="53">
        <f t="array" ref="C16:N16">'Historical Financial Data'!C16:N16</f>
        <v>0</v>
      </c>
      <c r="D16" s="54">
        <v>-11</v>
      </c>
      <c r="E16" s="54">
        <v>7</v>
      </c>
      <c r="F16" s="54">
        <v>7</v>
      </c>
      <c r="G16" s="54">
        <v>-27</v>
      </c>
      <c r="H16" s="54">
        <v>-45</v>
      </c>
      <c r="I16" s="54">
        <v>-73</v>
      </c>
      <c r="J16" s="54">
        <v>-182</v>
      </c>
      <c r="K16" s="54">
        <v>-279</v>
      </c>
      <c r="L16" s="54">
        <v>-1776</v>
      </c>
      <c r="M16" s="54">
        <v>163</v>
      </c>
      <c r="N16" s="55">
        <v>471</v>
      </c>
      <c r="O16" s="21"/>
      <c r="P16" s="80"/>
      <c r="Q16" s="81"/>
      <c r="R16" s="41">
        <f>R17*R6</f>
        <v>146.53334999999998</v>
      </c>
      <c r="S16" s="34">
        <f>S17*S6</f>
        <v>157.52335124999999</v>
      </c>
      <c r="T16" s="34">
        <f>T17*T6</f>
        <v>171.70045286249999</v>
      </c>
      <c r="U16" s="34">
        <f>U17*U6</f>
        <v>184.57798682718749</v>
      </c>
      <c r="V16" s="42">
        <f>V17*V6</f>
        <v>194.72977610268276</v>
      </c>
    </row>
    <row r="17" spans="2:23" x14ac:dyDescent="0.25">
      <c r="B17" s="25" t="s">
        <v>6</v>
      </c>
      <c r="C17" s="56">
        <f t="shared" ref="C17:N17" si="8">C16/C$6</f>
        <v>0</v>
      </c>
      <c r="D17" s="17">
        <f t="shared" si="8"/>
        <v>-1.942776404097492E-3</v>
      </c>
      <c r="E17" s="17">
        <f t="shared" si="8"/>
        <v>1.0405827263267431E-3</v>
      </c>
      <c r="F17" s="17">
        <f t="shared" si="8"/>
        <v>8.722741433021807E-4</v>
      </c>
      <c r="G17" s="17">
        <f t="shared" si="8"/>
        <v>-2.9195501730103807E-3</v>
      </c>
      <c r="H17" s="17">
        <f t="shared" si="8"/>
        <v>-4.1505257332595464E-3</v>
      </c>
      <c r="I17" s="17">
        <f t="shared" si="8"/>
        <v>-5.5750725523140369E-3</v>
      </c>
      <c r="J17" s="17">
        <f t="shared" si="8"/>
        <v>-1.1779172869069963E-2</v>
      </c>
      <c r="K17" s="17">
        <f t="shared" si="8"/>
        <v>-1.5698852126941255E-2</v>
      </c>
      <c r="L17" s="17">
        <f t="shared" si="8"/>
        <v>-8.2781765638109447E-2</v>
      </c>
      <c r="M17" s="17">
        <f t="shared" si="8"/>
        <v>6.4246580741791808E-3</v>
      </c>
      <c r="N17" s="18">
        <f t="shared" si="8"/>
        <v>1.7116069481793734E-2</v>
      </c>
      <c r="O17" s="77">
        <f>MIN(D17:N17)</f>
        <v>-8.2781765638109447E-2</v>
      </c>
      <c r="P17" s="78">
        <f>AVERAGE(D17:N17)</f>
        <v>-9.0358300973818455E-3</v>
      </c>
      <c r="Q17" s="79">
        <f>MAX(D17:N17)</f>
        <v>1.7116069481793734E-2</v>
      </c>
      <c r="R17" s="38">
        <v>5.0000000000000001E-3</v>
      </c>
      <c r="S17" s="39">
        <v>5.0000000000000001E-3</v>
      </c>
      <c r="T17" s="39">
        <v>5.0000000000000001E-3</v>
      </c>
      <c r="U17" s="39">
        <v>5.0000000000000001E-3</v>
      </c>
      <c r="V17" s="40">
        <v>5.0000000000000001E-3</v>
      </c>
    </row>
    <row r="18" spans="2:23" x14ac:dyDescent="0.25">
      <c r="B18" s="24" t="s">
        <v>30</v>
      </c>
      <c r="C18" s="31">
        <f t="shared" ref="C18:N18" si="9">C14-C16</f>
        <v>4499</v>
      </c>
      <c r="D18" s="32">
        <f t="shared" si="9"/>
        <v>891</v>
      </c>
      <c r="E18" s="32">
        <f t="shared" si="9"/>
        <v>1084</v>
      </c>
      <c r="F18" s="32">
        <f t="shared" si="9"/>
        <v>1261</v>
      </c>
      <c r="G18" s="32">
        <f t="shared" si="9"/>
        <v>1488</v>
      </c>
      <c r="H18" s="32">
        <f t="shared" si="9"/>
        <v>1631</v>
      </c>
      <c r="I18" s="32">
        <f t="shared" si="9"/>
        <v>2200</v>
      </c>
      <c r="J18" s="32">
        <f t="shared" si="9"/>
        <v>2376</v>
      </c>
      <c r="K18" s="32">
        <f t="shared" si="9"/>
        <v>2998</v>
      </c>
      <c r="L18" s="32">
        <f t="shared" si="9"/>
        <v>5065</v>
      </c>
      <c r="M18" s="32">
        <f t="shared" si="9"/>
        <v>4099</v>
      </c>
      <c r="N18" s="33">
        <f t="shared" si="9"/>
        <v>3366</v>
      </c>
      <c r="O18" s="21"/>
      <c r="P18" s="80"/>
      <c r="Q18" s="81"/>
      <c r="R18" s="31">
        <f>R14-R16</f>
        <v>6594.0007500000011</v>
      </c>
      <c r="S18" s="32">
        <f>S14-S16</f>
        <v>7088.5508062499994</v>
      </c>
      <c r="T18" s="32">
        <f>T14-T16</f>
        <v>7726.5203788125</v>
      </c>
      <c r="U18" s="32">
        <f>U14-U16</f>
        <v>8490.5873940506226</v>
      </c>
      <c r="V18" s="33">
        <f>V14-V16</f>
        <v>8957.5697007234085</v>
      </c>
    </row>
    <row r="19" spans="2:23" x14ac:dyDescent="0.25">
      <c r="B19" s="25" t="s">
        <v>8</v>
      </c>
      <c r="C19" s="56">
        <f t="shared" ref="C19:N19" si="10">C18/C$6</f>
        <v>1</v>
      </c>
      <c r="D19" s="17">
        <f t="shared" si="10"/>
        <v>0.15736488873189686</v>
      </c>
      <c r="E19" s="17">
        <f t="shared" si="10"/>
        <v>0.16114166790545562</v>
      </c>
      <c r="F19" s="17">
        <f t="shared" si="10"/>
        <v>0.15713395638629282</v>
      </c>
      <c r="G19" s="17">
        <f t="shared" si="10"/>
        <v>0.16089965397923875</v>
      </c>
      <c r="H19" s="17">
        <f t="shared" si="10"/>
        <v>0.15043349935436268</v>
      </c>
      <c r="I19" s="17">
        <f t="shared" si="10"/>
        <v>0.16801588513823126</v>
      </c>
      <c r="J19" s="17">
        <f t="shared" si="10"/>
        <v>0.15377645459840786</v>
      </c>
      <c r="K19" s="17">
        <f t="shared" si="10"/>
        <v>0.16869232500562684</v>
      </c>
      <c r="L19" s="17">
        <f t="shared" si="10"/>
        <v>0.23608651067400019</v>
      </c>
      <c r="M19" s="17">
        <f t="shared" si="10"/>
        <v>0.16156241377951205</v>
      </c>
      <c r="N19" s="18">
        <f t="shared" si="10"/>
        <v>0.1223199360418635</v>
      </c>
      <c r="O19" s="82"/>
      <c r="P19" s="83"/>
      <c r="Q19" s="84"/>
      <c r="R19" s="43">
        <f>R18/R6</f>
        <v>0.22500000000000006</v>
      </c>
      <c r="S19" s="44">
        <f>S18/S6</f>
        <v>0.22500000000000001</v>
      </c>
      <c r="T19" s="44">
        <f>T18/T6</f>
        <v>0.22500000000000001</v>
      </c>
      <c r="U19" s="44">
        <f>U18/U6</f>
        <v>0.22999999999999995</v>
      </c>
      <c r="V19" s="45">
        <f>V18/V6</f>
        <v>0.23000000000000004</v>
      </c>
    </row>
    <row r="20" spans="2:23" x14ac:dyDescent="0.25">
      <c r="B20" s="24" t="s">
        <v>31</v>
      </c>
      <c r="C20" s="53">
        <f t="array" ref="C20:N20">'Historical Financial Data'!C32:N32</f>
        <v>0</v>
      </c>
      <c r="D20" s="54">
        <v>382</v>
      </c>
      <c r="E20" s="54">
        <v>453</v>
      </c>
      <c r="F20" s="54">
        <v>516</v>
      </c>
      <c r="G20" s="54">
        <v>608</v>
      </c>
      <c r="H20" s="54">
        <v>724</v>
      </c>
      <c r="I20" s="54">
        <v>805</v>
      </c>
      <c r="J20" s="54">
        <v>776</v>
      </c>
      <c r="K20" s="54">
        <v>912</v>
      </c>
      <c r="L20" s="54">
        <v>1189</v>
      </c>
      <c r="M20" s="54">
        <v>1265</v>
      </c>
      <c r="N20" s="55">
        <v>1317</v>
      </c>
      <c r="O20" s="21"/>
      <c r="P20" s="80"/>
      <c r="Q20" s="81"/>
      <c r="R20" s="41">
        <f>R21*R6</f>
        <v>879.20009999999991</v>
      </c>
      <c r="S20" s="34">
        <f>S21*S6</f>
        <v>945.14010749999989</v>
      </c>
      <c r="T20" s="34">
        <f>T21*T6</f>
        <v>1030.2027171749999</v>
      </c>
      <c r="U20" s="34">
        <f>U21*U6</f>
        <v>1107.4679209631249</v>
      </c>
      <c r="V20" s="42">
        <f>V21*V6</f>
        <v>1168.3786566160966</v>
      </c>
    </row>
    <row r="21" spans="2:23" x14ac:dyDescent="0.25">
      <c r="B21" s="25" t="s">
        <v>6</v>
      </c>
      <c r="C21" s="56">
        <f t="shared" ref="C21:N21" si="11">C20/C$6</f>
        <v>0</v>
      </c>
      <c r="D21" s="17">
        <f t="shared" si="11"/>
        <v>6.7467326033203809E-2</v>
      </c>
      <c r="E21" s="17">
        <f t="shared" si="11"/>
        <v>6.7340567860859221E-2</v>
      </c>
      <c r="F21" s="17">
        <f t="shared" si="11"/>
        <v>6.4299065420560741E-2</v>
      </c>
      <c r="G21" s="17">
        <f t="shared" si="11"/>
        <v>6.5743944636678195E-2</v>
      </c>
      <c r="H21" s="17">
        <f t="shared" si="11"/>
        <v>6.6777347352886915E-2</v>
      </c>
      <c r="I21" s="17">
        <f t="shared" si="11"/>
        <v>6.1478539789216434E-2</v>
      </c>
      <c r="J21" s="17">
        <f t="shared" si="11"/>
        <v>5.0223286518671931E-2</v>
      </c>
      <c r="K21" s="17">
        <f t="shared" si="11"/>
        <v>5.1316677920324107E-2</v>
      </c>
      <c r="L21" s="17">
        <f t="shared" si="11"/>
        <v>5.5420900531369444E-2</v>
      </c>
      <c r="M21" s="17">
        <f t="shared" si="11"/>
        <v>4.9860076465255608E-2</v>
      </c>
      <c r="N21" s="18">
        <f t="shared" si="11"/>
        <v>4.7859582818518785E-2</v>
      </c>
      <c r="O21" s="77">
        <f>MIN(D21:N21)</f>
        <v>4.7859582818518785E-2</v>
      </c>
      <c r="P21" s="78">
        <f>AVERAGE(D21:N21)</f>
        <v>5.8889755940685913E-2</v>
      </c>
      <c r="Q21" s="79">
        <f>MAX(D21:N21)</f>
        <v>6.7467326033203809E-2</v>
      </c>
      <c r="R21" s="38">
        <v>0.03</v>
      </c>
      <c r="S21" s="39">
        <v>0.03</v>
      </c>
      <c r="T21" s="39">
        <v>0.03</v>
      </c>
      <c r="U21" s="39">
        <v>0.03</v>
      </c>
      <c r="V21" s="40">
        <v>0.03</v>
      </c>
    </row>
    <row r="22" spans="2:23" x14ac:dyDescent="0.25">
      <c r="B22" s="24" t="s">
        <v>32</v>
      </c>
      <c r="C22" s="53">
        <f t="array" ref="C22:N22">'Historical Financial Data'!C34:N34</f>
        <v>0</v>
      </c>
      <c r="D22" s="54">
        <v>-511</v>
      </c>
      <c r="E22" s="54">
        <v>-391</v>
      </c>
      <c r="F22" s="54">
        <v>-492</v>
      </c>
      <c r="G22" s="54">
        <v>-722</v>
      </c>
      <c r="H22" s="54">
        <v>-669</v>
      </c>
      <c r="I22" s="54">
        <v>-667</v>
      </c>
      <c r="J22" s="54">
        <v>-823</v>
      </c>
      <c r="K22" s="54">
        <v>-704</v>
      </c>
      <c r="L22" s="54">
        <v>-866</v>
      </c>
      <c r="M22" s="54">
        <v>-908</v>
      </c>
      <c r="N22" s="55">
        <v>-706</v>
      </c>
      <c r="O22" s="21"/>
      <c r="P22" s="80"/>
      <c r="Q22" s="81"/>
      <c r="R22" s="41">
        <f>R23*R6</f>
        <v>-1025.7334499999999</v>
      </c>
      <c r="S22" s="34">
        <f>S23*S6</f>
        <v>-1102.66345875</v>
      </c>
      <c r="T22" s="34">
        <f>T23*T6</f>
        <v>-1201.9031700375001</v>
      </c>
      <c r="U22" s="34">
        <f>U23*U6</f>
        <v>-1292.0459077903126</v>
      </c>
      <c r="V22" s="42">
        <f>V23*V6</f>
        <v>-1363.1084327187796</v>
      </c>
    </row>
    <row r="23" spans="2:23" x14ac:dyDescent="0.25">
      <c r="B23" s="25" t="s">
        <v>6</v>
      </c>
      <c r="C23" s="56">
        <f t="shared" ref="C23:N23" si="12">C22/C$6</f>
        <v>0</v>
      </c>
      <c r="D23" s="17">
        <f t="shared" si="12"/>
        <v>-9.0250794772165313E-2</v>
      </c>
      <c r="E23" s="17">
        <f t="shared" si="12"/>
        <v>-5.8123977999108074E-2</v>
      </c>
      <c r="F23" s="17">
        <f t="shared" si="12"/>
        <v>-6.1308411214953271E-2</v>
      </c>
      <c r="G23" s="17">
        <f t="shared" si="12"/>
        <v>-7.8070934256055366E-2</v>
      </c>
      <c r="H23" s="17">
        <f t="shared" si="12"/>
        <v>-6.1704482567791923E-2</v>
      </c>
      <c r="I23" s="17">
        <f t="shared" si="12"/>
        <v>-5.0939361539636477E-2</v>
      </c>
      <c r="J23" s="17">
        <f t="shared" si="12"/>
        <v>-5.3265160831014173E-2</v>
      </c>
      <c r="K23" s="17">
        <f t="shared" si="12"/>
        <v>-3.9612874184109838E-2</v>
      </c>
      <c r="L23" s="17">
        <f t="shared" si="12"/>
        <v>-4.0365433019483546E-2</v>
      </c>
      <c r="M23" s="17">
        <f t="shared" si="12"/>
        <v>-3.5788892830396907E-2</v>
      </c>
      <c r="N23" s="18">
        <f t="shared" si="12"/>
        <v>-2.5655934297550694E-2</v>
      </c>
      <c r="O23" s="77">
        <f>MIN(D23:N23)</f>
        <v>-9.0250794772165313E-2</v>
      </c>
      <c r="P23" s="78">
        <f>AVERAGE(D23:N23)</f>
        <v>-5.4098750682933232E-2</v>
      </c>
      <c r="Q23" s="79">
        <f>MAX(D23:N23)</f>
        <v>-2.5655934297550694E-2</v>
      </c>
      <c r="R23" s="38">
        <v>-3.5000000000000003E-2</v>
      </c>
      <c r="S23" s="39">
        <v>-3.5000000000000003E-2</v>
      </c>
      <c r="T23" s="39">
        <v>-3.5000000000000003E-2</v>
      </c>
      <c r="U23" s="39">
        <v>-3.5000000000000003E-2</v>
      </c>
      <c r="V23" s="40">
        <v>-3.5000000000000003E-2</v>
      </c>
    </row>
    <row r="24" spans="2:23" x14ac:dyDescent="0.25">
      <c r="B24" s="24" t="s">
        <v>33</v>
      </c>
      <c r="C24" s="53">
        <f t="array" ref="C24:N24">'Historical Financial Data'!C36:N36</f>
        <v>0</v>
      </c>
      <c r="D24" s="54">
        <v>9</v>
      </c>
      <c r="E24" s="54">
        <v>151</v>
      </c>
      <c r="F24" s="54">
        <v>40</v>
      </c>
      <c r="G24" s="54">
        <v>-52</v>
      </c>
      <c r="H24" s="54">
        <v>27</v>
      </c>
      <c r="I24" s="54">
        <v>-1215</v>
      </c>
      <c r="J24" s="54">
        <v>1330</v>
      </c>
      <c r="K24" s="54">
        <v>-152</v>
      </c>
      <c r="L24" s="54">
        <v>-334</v>
      </c>
      <c r="M24" s="54">
        <v>-180</v>
      </c>
      <c r="N24" s="55">
        <v>293</v>
      </c>
      <c r="O24" s="85"/>
      <c r="P24" s="80"/>
      <c r="Q24" s="80"/>
      <c r="R24" s="41">
        <f>R25*R6</f>
        <v>-2051.4668999999999</v>
      </c>
      <c r="S24" s="34">
        <f>S25*S6</f>
        <v>630.09340499999996</v>
      </c>
      <c r="T24" s="34">
        <f>T25*T6</f>
        <v>1373.6036228999999</v>
      </c>
      <c r="U24" s="34">
        <f>U25*U6</f>
        <v>-369.15597365437498</v>
      </c>
      <c r="V24" s="42">
        <f>V25*V6</f>
        <v>-2726.2168654375591</v>
      </c>
    </row>
    <row r="25" spans="2:23" x14ac:dyDescent="0.25">
      <c r="B25" s="25" t="s">
        <v>6</v>
      </c>
      <c r="C25" s="56">
        <f t="shared" ref="C25:N25" si="13">C24/C$6</f>
        <v>0</v>
      </c>
      <c r="D25" s="17">
        <f t="shared" si="13"/>
        <v>1.5895443306252208E-3</v>
      </c>
      <c r="E25" s="17">
        <f t="shared" si="13"/>
        <v>2.244685595361974E-2</v>
      </c>
      <c r="F25" s="17">
        <f t="shared" si="13"/>
        <v>4.9844236760124613E-3</v>
      </c>
      <c r="G25" s="17">
        <f t="shared" si="13"/>
        <v>-5.6228373702422148E-3</v>
      </c>
      <c r="H25" s="17">
        <f t="shared" si="13"/>
        <v>2.4903154399557276E-3</v>
      </c>
      <c r="I25" s="17">
        <f t="shared" si="13"/>
        <v>-9.2790591110432252E-2</v>
      </c>
      <c r="J25" s="17">
        <f t="shared" si="13"/>
        <v>8.6078570966280493E-2</v>
      </c>
      <c r="K25" s="17">
        <f t="shared" si="13"/>
        <v>-8.5527796533873511E-3</v>
      </c>
      <c r="L25" s="17">
        <f t="shared" si="13"/>
        <v>-1.5568192411671483E-2</v>
      </c>
      <c r="M25" s="17">
        <f t="shared" si="13"/>
        <v>-7.0947144377438804E-3</v>
      </c>
      <c r="N25" s="18">
        <f t="shared" si="13"/>
        <v>1.0647576131986336E-2</v>
      </c>
      <c r="O25" s="77">
        <f>MIN(D25:N25)</f>
        <v>-9.2790591110432252E-2</v>
      </c>
      <c r="P25" s="78">
        <f>AVERAGE(D25:N25)</f>
        <v>-1.2652986227247224E-4</v>
      </c>
      <c r="Q25" s="79">
        <f>MAX(D25:N25)</f>
        <v>8.6078570966280493E-2</v>
      </c>
      <c r="R25" s="38">
        <v>-7.0000000000000007E-2</v>
      </c>
      <c r="S25" s="39">
        <v>0.02</v>
      </c>
      <c r="T25" s="39">
        <v>0.04</v>
      </c>
      <c r="U25" s="39">
        <v>-0.01</v>
      </c>
      <c r="V25" s="40">
        <v>-7.0000000000000007E-2</v>
      </c>
    </row>
    <row r="26" spans="2:23" x14ac:dyDescent="0.25">
      <c r="B26" s="24" t="s">
        <v>34</v>
      </c>
      <c r="C26" s="31">
        <f t="shared" ref="C26:N26" si="14">C18+C20+C22+C24</f>
        <v>4499</v>
      </c>
      <c r="D26" s="32">
        <f t="shared" si="14"/>
        <v>771</v>
      </c>
      <c r="E26" s="32">
        <f t="shared" si="14"/>
        <v>1297</v>
      </c>
      <c r="F26" s="32">
        <f t="shared" si="14"/>
        <v>1325</v>
      </c>
      <c r="G26" s="32">
        <f t="shared" si="14"/>
        <v>1322</v>
      </c>
      <c r="H26" s="32">
        <f t="shared" si="14"/>
        <v>1713</v>
      </c>
      <c r="I26" s="32">
        <f t="shared" si="14"/>
        <v>1123</v>
      </c>
      <c r="J26" s="32">
        <f t="shared" si="14"/>
        <v>3659</v>
      </c>
      <c r="K26" s="32">
        <f t="shared" si="14"/>
        <v>3054</v>
      </c>
      <c r="L26" s="32">
        <f t="shared" si="14"/>
        <v>5054</v>
      </c>
      <c r="M26" s="32">
        <f t="shared" si="14"/>
        <v>4276</v>
      </c>
      <c r="N26" s="33">
        <f t="shared" si="14"/>
        <v>4270</v>
      </c>
      <c r="O26" s="21"/>
      <c r="P26" s="80"/>
      <c r="Q26" s="81"/>
      <c r="R26" s="31">
        <f>R18+R20+R22+R24</f>
        <v>4396.0005000000019</v>
      </c>
      <c r="S26" s="32">
        <f>S18+S20+S22+S24</f>
        <v>7561.1208599999982</v>
      </c>
      <c r="T26" s="32">
        <f>T18+T20+T22+T24</f>
        <v>8928.4235488499999</v>
      </c>
      <c r="U26" s="32">
        <f>U18+U20+U22+U24</f>
        <v>7936.8534335690601</v>
      </c>
      <c r="V26" s="33">
        <f>V18+V20+V22+V24</f>
        <v>6036.6230591831654</v>
      </c>
    </row>
    <row r="27" spans="2:23" x14ac:dyDescent="0.25">
      <c r="B27" s="26" t="s">
        <v>6</v>
      </c>
      <c r="C27" s="49">
        <f t="shared" ref="C27:N27" si="15">C26/C$6</f>
        <v>1</v>
      </c>
      <c r="D27" s="19">
        <f t="shared" si="15"/>
        <v>0.13617096432356057</v>
      </c>
      <c r="E27" s="19">
        <f t="shared" si="15"/>
        <v>0.19280511372082651</v>
      </c>
      <c r="F27" s="19">
        <f t="shared" si="15"/>
        <v>0.16510903426791276</v>
      </c>
      <c r="G27" s="19">
        <f t="shared" si="15"/>
        <v>0.14294982698961939</v>
      </c>
      <c r="H27" s="19">
        <f t="shared" si="15"/>
        <v>0.15799667957941338</v>
      </c>
      <c r="I27" s="19">
        <f t="shared" si="15"/>
        <v>8.5764472277378948E-2</v>
      </c>
      <c r="J27" s="19">
        <f t="shared" si="15"/>
        <v>0.23681315125234612</v>
      </c>
      <c r="K27" s="19">
        <f t="shared" si="15"/>
        <v>0.17184334908845375</v>
      </c>
      <c r="L27" s="19">
        <f t="shared" si="15"/>
        <v>0.23557378577421459</v>
      </c>
      <c r="M27" s="19">
        <f t="shared" si="15"/>
        <v>0.16853888297662686</v>
      </c>
      <c r="N27" s="20">
        <f t="shared" si="15"/>
        <v>0.15517116069481793</v>
      </c>
      <c r="O27" s="86"/>
      <c r="P27" s="87"/>
      <c r="Q27" s="88"/>
      <c r="R27" s="49">
        <f>R26/R6</f>
        <v>0.15000000000000008</v>
      </c>
      <c r="S27" s="19">
        <f>S26/S6</f>
        <v>0.23999999999999996</v>
      </c>
      <c r="T27" s="19">
        <f>T26/T6</f>
        <v>0.26</v>
      </c>
      <c r="U27" s="19">
        <f>U26/U6</f>
        <v>0.21499999999999994</v>
      </c>
      <c r="V27" s="20">
        <f>V26/V6</f>
        <v>0.155</v>
      </c>
    </row>
    <row r="29" spans="2:23" x14ac:dyDescent="0.25">
      <c r="N29" s="57" t="s">
        <v>35</v>
      </c>
      <c r="O29" s="59">
        <f>WACC!C20</f>
        <v>9.4462009999999999E-2</v>
      </c>
      <c r="Q29" s="61"/>
      <c r="R29" s="62">
        <v>1</v>
      </c>
      <c r="S29" s="62">
        <v>2</v>
      </c>
      <c r="T29" s="62">
        <v>3</v>
      </c>
      <c r="U29" s="62">
        <v>4</v>
      </c>
      <c r="V29" s="62">
        <v>5</v>
      </c>
      <c r="W29" s="63" t="s">
        <v>36</v>
      </c>
    </row>
    <row r="30" spans="2:23" x14ac:dyDescent="0.25">
      <c r="B30" s="108" t="s">
        <v>37</v>
      </c>
      <c r="C30" s="109"/>
      <c r="N30" s="58" t="s">
        <v>38</v>
      </c>
      <c r="O30" s="60">
        <v>2.75E-2</v>
      </c>
      <c r="Q30" s="73" t="s">
        <v>39</v>
      </c>
      <c r="R30" s="64">
        <f>R26/(1+$O$29)^R29</f>
        <v>4016.5857378640326</v>
      </c>
      <c r="S30" s="64">
        <f>S26/(1+$O$29)^S29</f>
        <v>6312.258813922771</v>
      </c>
      <c r="T30" s="64">
        <f>T26/(1+$O$29)^T29</f>
        <v>6810.4014100106961</v>
      </c>
      <c r="U30" s="64">
        <f>U26/(1+$O$29)^U29</f>
        <v>5531.5341148532452</v>
      </c>
      <c r="V30" s="64">
        <f>V26/(1+$O$29)^V29</f>
        <v>3844.0639300899775</v>
      </c>
      <c r="W30" s="65">
        <f>(V30*(1+O30))/(O29-O30)</f>
        <v>58985.321500466489</v>
      </c>
    </row>
    <row r="31" spans="2:23" x14ac:dyDescent="0.25">
      <c r="B31" s="68" t="s">
        <v>40</v>
      </c>
      <c r="C31" s="37">
        <f>SUM(R30:W30)*1000000</f>
        <v>85500165507.207214</v>
      </c>
    </row>
    <row r="32" spans="2:23" x14ac:dyDescent="0.25">
      <c r="B32" s="16" t="s">
        <v>41</v>
      </c>
      <c r="C32" s="3">
        <v>-11137000000</v>
      </c>
    </row>
    <row r="33" spans="2:13" x14ac:dyDescent="0.25">
      <c r="B33" s="16" t="s">
        <v>42</v>
      </c>
      <c r="C33" s="3">
        <v>10868000000</v>
      </c>
    </row>
    <row r="34" spans="2:13" x14ac:dyDescent="0.25">
      <c r="B34" s="16" t="s">
        <v>43</v>
      </c>
      <c r="C34" s="3">
        <v>0</v>
      </c>
      <c r="H34" s="103" t="s">
        <v>44</v>
      </c>
      <c r="I34" s="104"/>
      <c r="J34" s="104"/>
      <c r="K34" s="104"/>
      <c r="L34" s="104"/>
      <c r="M34" s="105"/>
    </row>
    <row r="35" spans="2:13" x14ac:dyDescent="0.25">
      <c r="B35" s="69" t="s">
        <v>45</v>
      </c>
      <c r="C35" s="42">
        <f>SUM(C31:C34)</f>
        <v>85231165507.207214</v>
      </c>
      <c r="H35" s="98"/>
      <c r="I35" s="87">
        <v>7.0000000000000007E-2</v>
      </c>
      <c r="J35" s="87">
        <v>7.4999999999999997E-2</v>
      </c>
      <c r="K35" s="87">
        <v>0.08</v>
      </c>
      <c r="L35" s="87">
        <v>8.5000000000000006E-2</v>
      </c>
      <c r="M35" s="88">
        <v>0.09</v>
      </c>
    </row>
    <row r="36" spans="2:13" x14ac:dyDescent="0.25">
      <c r="B36" s="16" t="s">
        <v>46</v>
      </c>
      <c r="C36" s="3">
        <v>1136000000</v>
      </c>
      <c r="H36" s="99">
        <v>0.02</v>
      </c>
      <c r="I36" s="34">
        <v>230.2563331127979</v>
      </c>
      <c r="J36" s="34">
        <v>208.0300626143877</v>
      </c>
      <c r="K36" s="34">
        <v>188.00762215933929</v>
      </c>
      <c r="L36" s="34">
        <v>173.8926805442683</v>
      </c>
      <c r="M36" s="42">
        <v>160.5071737421701</v>
      </c>
    </row>
    <row r="37" spans="2:13" x14ac:dyDescent="0.25">
      <c r="B37" s="70" t="s">
        <v>47</v>
      </c>
      <c r="C37" s="71">
        <f>C35/C36</f>
        <v>75.027434425358464</v>
      </c>
      <c r="H37" s="99">
        <v>2.2499999999999999E-2</v>
      </c>
      <c r="I37" s="34">
        <v>240.94772236710321</v>
      </c>
      <c r="J37" s="34">
        <v>216.66137860866311</v>
      </c>
      <c r="K37" s="34">
        <v>194.97916748353421</v>
      </c>
      <c r="L37" s="34">
        <v>179.80449152297831</v>
      </c>
      <c r="M37" s="42">
        <v>165.49745543865961</v>
      </c>
    </row>
    <row r="38" spans="2:13" x14ac:dyDescent="0.25">
      <c r="H38" s="99">
        <v>2.5000000000000001E-2</v>
      </c>
      <c r="I38" s="34">
        <v>252.82704376077569</v>
      </c>
      <c r="J38" s="34">
        <v>226.15582620236609</v>
      </c>
      <c r="K38" s="71">
        <v>202.5793216699158</v>
      </c>
      <c r="L38" s="34">
        <v>186.20895341658061</v>
      </c>
      <c r="M38" s="42">
        <v>170.87160495795601</v>
      </c>
    </row>
    <row r="39" spans="2:13" x14ac:dyDescent="0.25">
      <c r="B39" s="66" t="s">
        <v>48</v>
      </c>
      <c r="C39" s="93">
        <v>136.1</v>
      </c>
      <c r="H39" s="99">
        <v>2.75E-2</v>
      </c>
      <c r="I39" s="34">
        <v>266.10393237723321</v>
      </c>
      <c r="J39" s="34">
        <v>236.6496893322483</v>
      </c>
      <c r="K39" s="34">
        <v>210.89711914910569</v>
      </c>
      <c r="L39" s="34">
        <v>193.1703250400615</v>
      </c>
      <c r="M39" s="42">
        <v>176.67568643879619</v>
      </c>
    </row>
    <row r="40" spans="2:13" x14ac:dyDescent="0.25">
      <c r="B40" s="67" t="s">
        <v>49</v>
      </c>
      <c r="C40" s="20">
        <f>(C37/C39)-1</f>
        <v>-0.44873303140809351</v>
      </c>
      <c r="H40" s="100">
        <v>0.03</v>
      </c>
      <c r="I40" s="96">
        <v>281.04043207074801</v>
      </c>
      <c r="J40" s="96">
        <v>248.3095372543398</v>
      </c>
      <c r="K40" s="96">
        <v>220.03924164567681</v>
      </c>
      <c r="L40" s="96">
        <v>200.7645486293134</v>
      </c>
      <c r="M40" s="97">
        <v>182.96344137637311</v>
      </c>
    </row>
  </sheetData>
  <mergeCells count="6">
    <mergeCell ref="B30:C30"/>
    <mergeCell ref="B2:V2"/>
    <mergeCell ref="B4:N4"/>
    <mergeCell ref="O4:Q4"/>
    <mergeCell ref="H34:M34"/>
    <mergeCell ref="R4:V4"/>
  </mergeCells>
  <conditionalFormatting sqref="I36:M40">
    <cfRule type="cellIs" dxfId="0" priority="1" operator="greaterThan">
      <formula>175.56</formula>
    </cfRule>
  </conditionalFormatting>
  <pageMargins left="0.7" right="0.7" top="0.75" bottom="0.75" header="0.3" footer="0.3"/>
  <pageSetup scale="3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C20"/>
  <sheetViews>
    <sheetView showGridLines="0" zoomScale="140" zoomScaleNormal="140" workbookViewId="0">
      <selection activeCell="H31" sqref="H31"/>
    </sheetView>
  </sheetViews>
  <sheetFormatPr defaultColWidth="8.85546875" defaultRowHeight="15" x14ac:dyDescent="0.25"/>
  <cols>
    <col min="2" max="2" width="58.28515625" bestFit="1" customWidth="1"/>
    <col min="3" max="3" width="14.28515625" bestFit="1" customWidth="1"/>
  </cols>
  <sheetData>
    <row r="2" spans="2:3" x14ac:dyDescent="0.25">
      <c r="B2" s="108" t="s">
        <v>0</v>
      </c>
      <c r="C2" s="109"/>
    </row>
    <row r="4" spans="2:3" x14ac:dyDescent="0.25">
      <c r="B4" s="108" t="s">
        <v>50</v>
      </c>
      <c r="C4" s="109"/>
    </row>
    <row r="5" spans="2:3" x14ac:dyDescent="0.25">
      <c r="B5" s="9" t="s">
        <v>51</v>
      </c>
      <c r="C5" s="2">
        <v>3.4430000000000002E-2</v>
      </c>
    </row>
    <row r="6" spans="2:3" x14ac:dyDescent="0.25">
      <c r="B6" s="10" t="s">
        <v>52</v>
      </c>
      <c r="C6" s="3">
        <v>1.31</v>
      </c>
    </row>
    <row r="7" spans="2:3" x14ac:dyDescent="0.25">
      <c r="B7" s="10" t="s">
        <v>53</v>
      </c>
      <c r="C7" s="4">
        <f>C5+5%</f>
        <v>8.4430000000000005E-2</v>
      </c>
    </row>
    <row r="8" spans="2:3" x14ac:dyDescent="0.25">
      <c r="B8" s="10" t="s">
        <v>54</v>
      </c>
      <c r="C8" s="4">
        <f>C5+(C6*(C7-C5))</f>
        <v>9.9930000000000005E-2</v>
      </c>
    </row>
    <row r="9" spans="2:3" x14ac:dyDescent="0.25">
      <c r="B9" s="11" t="s">
        <v>55</v>
      </c>
      <c r="C9" s="5">
        <v>0.879</v>
      </c>
    </row>
    <row r="11" spans="2:3" x14ac:dyDescent="0.25">
      <c r="B11" s="108" t="s">
        <v>56</v>
      </c>
      <c r="C11" s="109"/>
    </row>
    <row r="12" spans="2:3" x14ac:dyDescent="0.25">
      <c r="B12" s="9" t="s">
        <v>57</v>
      </c>
      <c r="C12" s="6">
        <v>5.4739999999999997E-2</v>
      </c>
    </row>
    <row r="13" spans="2:3" x14ac:dyDescent="0.25">
      <c r="B13" s="10" t="s">
        <v>58</v>
      </c>
      <c r="C13" s="7">
        <v>0</v>
      </c>
    </row>
    <row r="14" spans="2:3" x14ac:dyDescent="0.25">
      <c r="B14" s="10" t="s">
        <v>59</v>
      </c>
      <c r="C14" s="8">
        <f>C12*(1-C13)</f>
        <v>5.4739999999999997E-2</v>
      </c>
    </row>
    <row r="15" spans="2:3" x14ac:dyDescent="0.25">
      <c r="B15" s="11" t="s">
        <v>60</v>
      </c>
      <c r="C15" s="5">
        <f>1-C9</f>
        <v>0.121</v>
      </c>
    </row>
    <row r="17" spans="2:3" x14ac:dyDescent="0.25">
      <c r="B17" s="108" t="s">
        <v>35</v>
      </c>
      <c r="C17" s="109"/>
    </row>
    <row r="18" spans="2:3" x14ac:dyDescent="0.25">
      <c r="B18" s="9" t="s">
        <v>61</v>
      </c>
      <c r="C18" s="8">
        <f>C9*C8</f>
        <v>8.7838470000000002E-2</v>
      </c>
    </row>
    <row r="19" spans="2:3" x14ac:dyDescent="0.25">
      <c r="B19" s="10" t="s">
        <v>62</v>
      </c>
      <c r="C19" s="8">
        <f>C15*C14</f>
        <v>6.6235399999999998E-3</v>
      </c>
    </row>
    <row r="20" spans="2:3" x14ac:dyDescent="0.25">
      <c r="B20" s="11" t="s">
        <v>63</v>
      </c>
      <c r="C20" s="12">
        <f>SUM(C18:C19)</f>
        <v>9.4462009999999999E-2</v>
      </c>
    </row>
  </sheetData>
  <mergeCells count="4">
    <mergeCell ref="B11:C11"/>
    <mergeCell ref="B4:C4"/>
    <mergeCell ref="B2:C2"/>
    <mergeCell ref="B17:C17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89401-C11B-4358-B0BF-01E90E527E90}">
  <dimension ref="A1"/>
  <sheetViews>
    <sheetView workbookViewId="0">
      <selection activeCell="S39" sqref="S39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-0.249977111117893"/>
  </sheetPr>
  <dimension ref="A1"/>
  <sheetViews>
    <sheetView workbookViewId="0">
      <selection activeCell="J47" sqref="J47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4.9989318521683403E-2"/>
  </sheetPr>
  <dimension ref="A1:H68"/>
  <sheetViews>
    <sheetView tabSelected="1" workbookViewId="0">
      <selection activeCell="K16" sqref="K16"/>
    </sheetView>
  </sheetViews>
  <sheetFormatPr defaultRowHeight="15" x14ac:dyDescent="0.25"/>
  <cols>
    <col min="1" max="1" width="27.140625" customWidth="1"/>
    <col min="2" max="2" width="30.140625" customWidth="1"/>
    <col min="3" max="3" width="33.140625" customWidth="1"/>
    <col min="4" max="4" width="32.5703125" customWidth="1"/>
    <col min="5" max="5" width="23" customWidth="1"/>
    <col min="6" max="6" width="25.7109375" customWidth="1"/>
    <col min="7" max="7" width="16.140625" customWidth="1"/>
    <col min="8" max="8" width="25" customWidth="1"/>
  </cols>
  <sheetData>
    <row r="1" spans="1:8" x14ac:dyDescent="0.25">
      <c r="A1" t="s">
        <v>64</v>
      </c>
    </row>
    <row r="3" spans="1:8" x14ac:dyDescent="0.25">
      <c r="A3" t="s">
        <v>65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</row>
    <row r="4" spans="1:8" x14ac:dyDescent="0.25">
      <c r="A4" t="s">
        <v>72</v>
      </c>
      <c r="C4" t="s">
        <v>73</v>
      </c>
      <c r="D4" t="s">
        <v>74</v>
      </c>
      <c r="E4" t="s">
        <v>75</v>
      </c>
      <c r="F4" t="s">
        <v>75</v>
      </c>
      <c r="G4" t="s">
        <v>76</v>
      </c>
      <c r="H4" t="s">
        <v>77</v>
      </c>
    </row>
    <row r="5" spans="1:8" x14ac:dyDescent="0.25">
      <c r="A5" t="s">
        <v>3</v>
      </c>
      <c r="B5" t="s">
        <v>78</v>
      </c>
      <c r="C5" t="e">
        <f ca="1">_xll.BDH("CAVA US Equity","SALES_REV_TURN","FY 2021","FY 2021","Currency=USD","Period=FY","BEST_FPERIOD_OVERRIDE=FY","FILING_STATUS=MR","SCALING_FORMAT=MLN","FA_ADJUSTED=Adjusted","Sort=A","Dates=H","DateFormat=P","Fill=—","Direction=H","UseDPDF=Y")</f>
        <v>#NAME?</v>
      </c>
      <c r="D5" t="e">
        <f ca="1">BDH("CAVA US Equity","SALES_REV_TURN","FY 2022","FY 2022","Currency=USD","Period=FY","BEST_FPERIOD_OVERRIDE=FY","FILING_STATUS=MR","SCALING_FORMAT=MLN","FA_ADJUSTED=Adjusted","Sort=A","Dates=H","DateFormat=P","Fill=—","Direction=H","UseDPDF=Y")</f>
        <v>#NAME?</v>
      </c>
      <c r="E5" t="e">
        <f ca="1">_xll.BDH("CAVA US Equity","SALES_REV_TURN","FY 2023","FY 2023","Currency=USD","Period=FY","BEST_FPERIOD_OVERRIDE=FY","FILING_STATUS=MR","SCALING_FORMAT=MLN","FA_ADJUSTED=Adjusted","Sort=A","Dates=H","DateFormat=P","Fill=—","Direction=H","UseDPDF=Y")</f>
        <v>#NAME?</v>
      </c>
      <c r="G5">
        <v>873.53800000000001</v>
      </c>
      <c r="H5">
        <v>1038.846</v>
      </c>
    </row>
    <row r="6" spans="1:8" x14ac:dyDescent="0.25">
      <c r="A6" t="s">
        <v>79</v>
      </c>
      <c r="B6" t="s">
        <v>80</v>
      </c>
      <c r="C6" t="e">
        <f ca="1">_xll.BDH("CAVA US Equity","IS_SALES_AND_SERVICES_REVENUES","FY 2021","FY 2021","Currency=USD","Period=FY","BEST_FPERIOD_OVERRIDE=FY","FILING_STATUS=MR","SCALING_FORMAT=MLN","FA_ADJUSTED=Adjusted","Sort=A","Dates=H","DateFormat=P","Fill=—","Direction=H","UseDPDF=Y")</f>
        <v>#NAME?</v>
      </c>
      <c r="D6" t="e">
        <f ca="1">_xll.BDH("CAVA US Equity","IS_SALES_AND_SERVICES_REVENUES","FY 2022","FY 2022","Currency=USD","Period=FY","BEST_FPERIOD_OVERRIDE=FY","FILING_STATUS=MR","SCALING_FORMAT=MLN","FA_ADJUSTED=Adjusted","Sort=A","Dates=H","DateFormat=P","Fill=—","Direction=H","UseDPDF=Y")</f>
        <v>#NAME?</v>
      </c>
      <c r="E6" t="e">
        <f ca="1">_xll.BDH("CAVA US Equity","IS_SALES_AND_SERVICES_REVENUES","FY 2023","FY 2023","Currency=USD","Period=FY","BEST_FPERIOD_OVERRIDE=FY","FILING_STATUS=MR","SCALING_FORMAT=MLN","FA_ADJUSTED=Adjusted","Sort=A","Dates=H","DateFormat=P","Fill=—","Direction=H","UseDPDF=Y")</f>
        <v>#NAME?</v>
      </c>
      <c r="F6">
        <v>520.29899999999998</v>
      </c>
    </row>
    <row r="7" spans="1:8" x14ac:dyDescent="0.25">
      <c r="A7" t="s">
        <v>81</v>
      </c>
      <c r="B7" t="s">
        <v>82</v>
      </c>
      <c r="C7" t="e">
        <f ca="1">_xll.BDH("CAVA US Equity","IS_OTHER_REVENUE","FY 2021","FY 2021","Currency=USD","Period=FY","BEST_FPERIOD_OVERRIDE=FY","FILING_STATUS=MR","SCALING_FORMAT=MLN","FA_ADJUSTED=Adjusted","Sort=A","Dates=H","DateFormat=P","Fill=—","Direction=H","UseDPDF=Y")</f>
        <v>#NAME?</v>
      </c>
      <c r="D7" t="e">
        <f ca="1">_xll.BDH("CAVA US Equity","IS_OTHER_REVENUE","FY 2022","FY 2022","Currency=USD","Period=FY","BEST_FPERIOD_OVERRIDE=FY","FILING_STATUS=MR","SCALING_FORMAT=MLN","FA_ADJUSTED=Adjusted","Sort=A","Dates=H","DateFormat=P","Fill=—","Direction=H","UseDPDF=Y")</f>
        <v>#NAME?</v>
      </c>
      <c r="E7" t="e">
        <f ca="1">_xll.BDH("CAVA US Equity","IS_OTHER_REVENUE","FY 2023","FY 2023","Currency=USD","Period=FY","BEST_FPERIOD_OVERRIDE=FY","FILING_STATUS=MR","SCALING_FORMAT=MLN","FA_ADJUSTED=Adjusted","Sort=A","Dates=H","DateFormat=P","Fill=—","Direction=H","UseDPDF=Y")</f>
        <v>#NAME?</v>
      </c>
      <c r="F7">
        <v>5.3179999999999996</v>
      </c>
    </row>
    <row r="8" spans="1:8" x14ac:dyDescent="0.25">
      <c r="A8" t="s">
        <v>83</v>
      </c>
      <c r="B8" t="s">
        <v>84</v>
      </c>
      <c r="C8" t="e">
        <f ca="1">_xll.BDH("CAVA US Equity","IS_COGS_TO_FE_AND_PP_AND_G","FY 2021","FY 2021","Currency=USD","Period=FY","BEST_FPERIOD_OVERRIDE=FY","FILING_STATUS=MR","SCALING_FORMAT=MLN","FA_ADJUSTED=Adjusted","Sort=A","Dates=H","DateFormat=P","Fill=—","Direction=H","UseDPDF=Y")</f>
        <v>#NAME?</v>
      </c>
      <c r="D8" t="e">
        <f ca="1">_xll.BDH("CAVA US Equity","IS_COGS_TO_FE_AND_PP_AND_G","FY 2022","FY 2022","Currency=USD","Period=FY","BEST_FPERIOD_OVERRIDE=FY","FILING_STATUS=MR","SCALING_FORMAT=MLN","FA_ADJUSTED=Adjusted","Sort=A","Dates=H","DateFormat=P","Fill=—","Direction=H","UseDPDF=Y")</f>
        <v>#NAME?</v>
      </c>
      <c r="E8" t="e">
        <f ca="1">_xll.BDH("CAVA US Equity","IS_COGS_TO_FE_AND_PP_AND_G","FY 2023","FY 2023","Currency=USD","Period=FY","BEST_FPERIOD_OVERRIDE=FY","FILING_STATUS=MR","SCALING_FORMAT=MLN","FA_ADJUSTED=Adjusted","Sort=A","Dates=H","DateFormat=P","Fill=—","Direction=H","UseDPDF=Y")</f>
        <v>#NAME?</v>
      </c>
    </row>
    <row r="9" spans="1:8" x14ac:dyDescent="0.25">
      <c r="A9" t="s">
        <v>85</v>
      </c>
      <c r="B9" t="s">
        <v>86</v>
      </c>
      <c r="C9" t="e">
        <f ca="1">_xll.BDH("CAVA US Equity","IS_COG_AND_SERVICES_SOLD","FY 2021","FY 2021","Currency=USD","Period=FY","BEST_FPERIOD_OVERRIDE=FY","FILING_STATUS=MR","SCALING_FORMAT=MLN","FA_ADJUSTED=Adjusted","Sort=A","Dates=H","DateFormat=P","Fill=—","Direction=H","UseDPDF=Y")</f>
        <v>#NAME?</v>
      </c>
      <c r="D9" t="e">
        <f ca="1">_xll.BDH("CAVA US Equity","IS_COG_AND_SERVICES_SOLD","FY 2022","FY 2022","Currency=USD","Period=FY","BEST_FPERIOD_OVERRIDE=FY","FILING_STATUS=MR","SCALING_FORMAT=MLN","FA_ADJUSTED=Adjusted","Sort=A","Dates=H","DateFormat=P","Fill=—","Direction=H","UseDPDF=Y")</f>
        <v>#NAME?</v>
      </c>
      <c r="E9" t="e">
        <f ca="1">_xll.BDH("CAVA US Equity","IS_COG_AND_SERVICES_SOLD","FY 2023","FY 2023","Currency=USD","Period=FY","BEST_FPERIOD_OVERRIDE=FY","FILING_STATUS=MR","SCALING_FORMAT=MLN","FA_ADJUSTED=Adjusted","Sort=A","Dates=H","DateFormat=P","Fill=—","Direction=H","UseDPDF=Y")</f>
        <v>#NAME?</v>
      </c>
      <c r="F9">
        <v>395.83499999999998</v>
      </c>
    </row>
    <row r="10" spans="1:8" x14ac:dyDescent="0.25">
      <c r="A10" t="s">
        <v>87</v>
      </c>
      <c r="B10" t="s">
        <v>88</v>
      </c>
      <c r="C10" t="e">
        <f ca="1">_xll.BDH("CAVA US Equity","GROSS_PROFIT","FY 2021","FY 2021","Currency=USD","Period=FY","BEST_FPERIOD_OVERRIDE=FY","FILING_STATUS=MR","SCALING_FORMAT=MLN","FA_ADJUSTED=Adjusted","Sort=A","Dates=H","DateFormat=P","Fill=—","Direction=H","UseDPDF=Y")</f>
        <v>#NAME?</v>
      </c>
      <c r="D10" t="e">
        <f ca="1">_xll.BDH("CAVA US Equity","GROSS_PROFIT","FY 2022","FY 2022","Currency=USD","Period=FY","BEST_FPERIOD_OVERRIDE=FY","FILING_STATUS=MR","SCALING_FORMAT=MLN","FA_ADJUSTED=Adjusted","Sort=A","Dates=H","DateFormat=P","Fill=—","Direction=H","UseDPDF=Y")</f>
        <v>#NAME?</v>
      </c>
      <c r="E10" t="e">
        <f ca="1">_xll.BDH("CAVA US Equity","GROSS_PROFIT","FY 2023","FY 2023","Currency=USD","Period=FY","BEST_FPERIOD_OVERRIDE=FY","FILING_STATUS=MR","SCALING_FORMAT=MLN","FA_ADJUSTED=Adjusted","Sort=A","Dates=H","DateFormat=P","Fill=—","Direction=H","UseDPDF=Y")</f>
        <v>#NAME?</v>
      </c>
      <c r="G10">
        <v>374.74780199999998</v>
      </c>
      <c r="H10">
        <v>155.82689999999999</v>
      </c>
    </row>
    <row r="11" spans="1:8" x14ac:dyDescent="0.25">
      <c r="A11" t="s">
        <v>89</v>
      </c>
      <c r="B11" t="s">
        <v>90</v>
      </c>
      <c r="C11" t="e">
        <f ca="1">_xll.BDH("CAVA US Equity","IS_OTHER_OPER_INC","FY 2021","FY 2021","Currency=USD","Period=FY","BEST_FPERIOD_OVERRIDE=FY","FILING_STATUS=MR","SCALING_FORMAT=MLN","FA_ADJUSTED=Adjusted","Sort=A","Dates=H","DateFormat=P","Fill=—","Direction=H","UseDPDF=Y")</f>
        <v>#NAME?</v>
      </c>
      <c r="D11" t="e">
        <f ca="1">_xll.BDH("CAVA US Equity","IS_OTHER_OPER_INC","FY 2022","FY 2022","Currency=USD","Period=FY","BEST_FPERIOD_OVERRIDE=FY","FILING_STATUS=MR","SCALING_FORMAT=MLN","FA_ADJUSTED=Adjusted","Sort=A","Dates=H","DateFormat=P","Fill=—","Direction=H","UseDPDF=Y")</f>
        <v>#NAME?</v>
      </c>
      <c r="E11" t="e">
        <f ca="1">_xll.BDH("CAVA US Equity","IS_OTHER_OPER_INC","FY 2023","FY 2023","Currency=USD","Period=FY","BEST_FPERIOD_OVERRIDE=FY","FILING_STATUS=MR","SCALING_FORMAT=MLN","FA_ADJUSTED=Adjusted","Sort=A","Dates=H","DateFormat=P","Fill=—","Direction=H","UseDPDF=Y")</f>
        <v>#NAME?</v>
      </c>
      <c r="F11">
        <v>0</v>
      </c>
    </row>
    <row r="12" spans="1:8" x14ac:dyDescent="0.25">
      <c r="A12" t="s">
        <v>91</v>
      </c>
      <c r="B12" t="s">
        <v>92</v>
      </c>
      <c r="C12" t="e">
        <f ca="1">_xll.BDH("CAVA US Equity","IS_OPERATING_EXPN","FY 2021","FY 2021","Currency=USD","Period=FY","BEST_FPERIOD_OVERRIDE=FY","FILING_STATUS=MR","SCALING_FORMAT=MLN","FA_ADJUSTED=Adjusted","Sort=A","Dates=H","DateFormat=P","Fill=—","Direction=H","UseDPDF=Y")</f>
        <v>#NAME?</v>
      </c>
      <c r="D12" t="e">
        <f ca="1">_xll.BDH("CAVA US Equity","IS_OPERATING_EXPN","FY 2022","FY 2022","Currency=USD","Period=FY","BEST_FPERIOD_OVERRIDE=FY","FILING_STATUS=MR","SCALING_FORMAT=MLN","FA_ADJUSTED=Adjusted","Sort=A","Dates=H","DateFormat=P","Fill=—","Direction=H","UseDPDF=Y")</f>
        <v>#NAME?</v>
      </c>
      <c r="E12" t="e">
        <f ca="1">_xll.BDH("CAVA US Equity","IS_OPERATING_EXPN","FY 2023","FY 2023","Currency=USD","Period=FY","BEST_FPERIOD_OVERRIDE=FY","FILING_STATUS=MR","SCALING_FORMAT=MLN","FA_ADJUSTED=Adjusted","Sort=A","Dates=H","DateFormat=P","Fill=—","Direction=H","UseDPDF=Y")</f>
        <v>#NAME?</v>
      </c>
    </row>
    <row r="13" spans="1:8" x14ac:dyDescent="0.25">
      <c r="A13" t="s">
        <v>93</v>
      </c>
      <c r="B13" t="s">
        <v>94</v>
      </c>
      <c r="C13" t="e">
        <f ca="1">_xll.BDH("CAVA US Equity","IS_SGA_EXPENSE","FY 2021","FY 2021","Currency=USD","Period=FY","BEST_FPERIOD_OVERRIDE=FY","FILING_STATUS=MR","SCALING_FORMAT=MLN","FA_ADJUSTED=Adjusted","Sort=A","Dates=H","DateFormat=P","Fill=—","Direction=H","UseDPDF=Y")</f>
        <v>#NAME?</v>
      </c>
      <c r="D13" t="e">
        <f ca="1">_xll.BDH("CAVA US Equity","IS_SGA_EXPENSE","FY 2022","FY 2022","Currency=USD","Period=FY","BEST_FPERIOD_OVERRIDE=FY","FILING_STATUS=MR","SCALING_FORMAT=MLN","FA_ADJUSTED=Adjusted","Sort=A","Dates=H","DateFormat=P","Fill=—","Direction=H","UseDPDF=Y")</f>
        <v>#NAME?</v>
      </c>
      <c r="E13" t="e">
        <f ca="1">_xll.BDH("CAVA US Equity","IS_SGA_EXPENSE","FY 2023","FY 2023","Currency=USD","Period=FY","BEST_FPERIOD_OVERRIDE=FY","FILING_STATUS=MR","SCALING_FORMAT=MLN","FA_ADJUSTED=Adjusted","Sort=A","Dates=H","DateFormat=P","Fill=—","Direction=H","UseDPDF=Y")</f>
        <v>#NAME?</v>
      </c>
      <c r="F13">
        <v>72.466999999999999</v>
      </c>
    </row>
    <row r="14" spans="1:8" x14ac:dyDescent="0.25">
      <c r="A14" t="s">
        <v>95</v>
      </c>
      <c r="B14" t="s">
        <v>96</v>
      </c>
      <c r="C14" t="e">
        <f ca="1">_xll.BDH("CAVA US Equity","IS_GENERAL_AND_ADMINISTRATIVE","FY 2021","FY 2021","Currency=USD","Period=FY","BEST_FPERIOD_OVERRIDE=FY","FILING_STATUS=MR","SCALING_FORMAT=MLN","FA_ADJUSTED=Adjusted","Sort=A","Dates=H","DateFormat=P","Fill=—","Direction=H","UseDPDF=Y")</f>
        <v>#NAME?</v>
      </c>
      <c r="D14" t="e">
        <f ca="1">_xll.BDH("CAVA US Equity","IS_GENERAL_AND_ADMINISTRATIVE","FY 2022","FY 2022","Currency=USD","Period=FY","BEST_FPERIOD_OVERRIDE=FY","FILING_STATUS=MR","SCALING_FORMAT=MLN","FA_ADJUSTED=Adjusted","Sort=A","Dates=H","DateFormat=P","Fill=—","Direction=H","UseDPDF=Y")</f>
        <v>#NAME?</v>
      </c>
      <c r="E14" t="e">
        <f ca="1">_xll.BDH("CAVA US Equity","IS_GENERAL_AND_ADMINISTRATIVE","FY 2023","FY 2023","Currency=USD","Period=FY","BEST_FPERIOD_OVERRIDE=FY","FILING_STATUS=MR","SCALING_FORMAT=MLN","FA_ADJUSTED=Adjusted","Sort=A","Dates=H","DateFormat=P","Fill=—","Direction=H","UseDPDF=Y")</f>
        <v>#NAME?</v>
      </c>
      <c r="F14">
        <v>72.466999999999999</v>
      </c>
    </row>
    <row r="15" spans="1:8" x14ac:dyDescent="0.25">
      <c r="A15" t="s">
        <v>97</v>
      </c>
      <c r="B15" t="s">
        <v>98</v>
      </c>
      <c r="C15" t="e">
        <f ca="1">_xll.BDH("CAVA US Equity","IS_OPERATING_EXPENSES_RD","FY 2021","FY 2021","Currency=USD","Period=FY","BEST_FPERIOD_OVERRIDE=FY","FILING_STATUS=MR","SCALING_FORMAT=MLN","Sort=A","Dates=H","DateFormat=P","Fill=—","Direction=H","UseDPDF=Y")</f>
        <v>#NAME?</v>
      </c>
      <c r="D15" t="e">
        <f ca="1">_xll.BDH("CAVA US Equity","IS_OPERATING_EXPENSES_RD","FY 2022","FY 2022","Currency=USD","Period=FY","BEST_FPERIOD_OVERRIDE=FY","FILING_STATUS=MR","SCALING_FORMAT=MLN","Sort=A","Dates=H","DateFormat=P","Fill=—","Direction=H","UseDPDF=Y")</f>
        <v>#NAME?</v>
      </c>
      <c r="E15" t="e">
        <f ca="1">_xll.BDH("CAVA US Equity","IS_OPERATING_EXPENSES_RD","FY 2023","FY 2023","Currency=USD","Period=FY","BEST_FPERIOD_OVERRIDE=FY","FILING_STATUS=MR","SCALING_FORMAT=MLN","Sort=A","Dates=H","DateFormat=P","Fill=—","Direction=H","UseDPDF=Y")</f>
        <v>#NAME?</v>
      </c>
      <c r="F15">
        <v>0</v>
      </c>
    </row>
    <row r="16" spans="1:8" x14ac:dyDescent="0.25">
      <c r="A16" t="s">
        <v>99</v>
      </c>
      <c r="B16" t="s">
        <v>100</v>
      </c>
      <c r="C16" t="e">
        <f ca="1">_xll.BDH("CAVA US Equity","IS_DEPRECIATION_AND_AMORTIZATION","FY 2021","FY 2021","Currency=USD","Period=FY","BEST_FPERIOD_OVERRIDE=FY","FILING_STATUS=MR","SCALING_FORMAT=MLN","FA_ADJUSTED=Adjusted","Sort=A","Dates=H","DateFormat=P","Fill=—","Direction=H","UseDPDF=Y")</f>
        <v>#NAME?</v>
      </c>
      <c r="D16" t="e">
        <f ca="1">_xll.BDH("CAVA US Equity","IS_DEPRECIATION_AND_AMORTIZATION","FY 2022","FY 2022","Currency=USD","Period=FY","BEST_FPERIOD_OVERRIDE=FY","FILING_STATUS=MR","SCALING_FORMAT=MLN","FA_ADJUSTED=Adjusted","Sort=A","Dates=H","DateFormat=P","Fill=—","Direction=H","UseDPDF=Y")</f>
        <v>#NAME?</v>
      </c>
      <c r="E16" t="e">
        <f ca="1">_xll.BDH("CAVA US Equity","IS_DEPRECIATION_AND_AMORTIZATION","FY 2023","FY 2023","Currency=USD","Period=FY","BEST_FPERIOD_OVERRIDE=FY","FILING_STATUS=MR","SCALING_FORMAT=MLN","FA_ADJUSTED=Adjusted","Sort=A","Dates=H","DateFormat=P","Fill=—","Direction=H","UseDPDF=Y")</f>
        <v>#NAME?</v>
      </c>
      <c r="F16">
        <v>34.573999999999998</v>
      </c>
    </row>
    <row r="17" spans="1:8" x14ac:dyDescent="0.25">
      <c r="A17" t="s">
        <v>101</v>
      </c>
      <c r="B17" t="s">
        <v>102</v>
      </c>
      <c r="C17" t="e">
        <f ca="1">_xll.BDH("CAVA US Equity","IS_OTHER_OPERATING_EXPENSES","FY 2021","FY 2021","Currency=USD","Period=FY","BEST_FPERIOD_OVERRIDE=FY","FILING_STATUS=MR","SCALING_FORMAT=MLN","FA_ADJUSTED=Adjusted","Sort=A","Dates=H","DateFormat=P","Fill=—","Direction=H","UseDPDF=Y")</f>
        <v>#NAME?</v>
      </c>
      <c r="D17" t="e">
        <f ca="1">_xll.BDH("CAVA US Equity","IS_OTHER_OPERATING_EXPENSES","FY 2022","FY 2022","Currency=USD","Period=FY","BEST_FPERIOD_OVERRIDE=FY","FILING_STATUS=MR","SCALING_FORMAT=MLN","FA_ADJUSTED=Adjusted","Sort=A","Dates=H","DateFormat=P","Fill=—","Direction=H","UseDPDF=Y")</f>
        <v>#NAME?</v>
      </c>
      <c r="E17" t="e">
        <f ca="1">_xll.BDH("CAVA US Equity","IS_OTHER_OPERATING_EXPENSES","FY 2023","FY 2023","Currency=USD","Period=FY","BEST_FPERIOD_OVERRIDE=FY","FILING_STATUS=MR","SCALING_FORMAT=MLN","FA_ADJUSTED=Adjusted","Sort=A","Dates=H","DateFormat=P","Fill=—","Direction=H","UseDPDF=Y")</f>
        <v>#NAME?</v>
      </c>
      <c r="F17">
        <v>9.7189999999999994</v>
      </c>
    </row>
    <row r="18" spans="1:8" x14ac:dyDescent="0.25">
      <c r="A18" t="s">
        <v>103</v>
      </c>
      <c r="B18" t="s">
        <v>104</v>
      </c>
      <c r="C18" t="e">
        <f ca="1">_xll.BDH("CAVA US Equity","IS_OPER_INC","FY 2021","FY 2021","Currency=USD","Period=FY","BEST_FPERIOD_OVERRIDE=FY","FILING_STATUS=MR","SCALING_FORMAT=MLN","FA_ADJUSTED=Adjusted","Sort=A","Dates=H","DateFormat=P","Fill=—","Direction=H","UseDPDF=Y")</f>
        <v>#NAME?</v>
      </c>
      <c r="D18" t="e">
        <f ca="1">_xll.BDH("CAVA US Equity","IS_OPER_INC","FY 2022","FY 2022","Currency=USD","Period=FY","BEST_FPERIOD_OVERRIDE=FY","FILING_STATUS=MR","SCALING_FORMAT=MLN","FA_ADJUSTED=Adjusted","Sort=A","Dates=H","DateFormat=P","Fill=—","Direction=H","UseDPDF=Y")</f>
        <v>#NAME?</v>
      </c>
      <c r="E18" t="e">
        <f ca="1">_xll.BDH("CAVA US Equity","IS_OPER_INC","FY 2023","FY 2023","Currency=USD","Period=FY","BEST_FPERIOD_OVERRIDE=FY","FILING_STATUS=MR","SCALING_FORMAT=MLN","FA_ADJUSTED=Adjusted","Sort=A","Dates=H","DateFormat=P","Fill=—","Direction=H","UseDPDF=Y")</f>
        <v>#NAME?</v>
      </c>
      <c r="G18">
        <v>14.032999999999999</v>
      </c>
      <c r="H18">
        <v>25.469000000000001</v>
      </c>
    </row>
    <row r="19" spans="1:8" x14ac:dyDescent="0.25">
      <c r="A19" t="s">
        <v>105</v>
      </c>
      <c r="B19" t="s">
        <v>106</v>
      </c>
      <c r="C19" t="e">
        <f ca="1">_xll.BDH("CAVA US Equity","IS_NONOP_INCOME_LOSS","FY 2021","FY 2021","Currency=USD","Period=FY","BEST_FPERIOD_OVERRIDE=FY","FILING_STATUS=MR","SCALING_FORMAT=MLN","FA_ADJUSTED=Adjusted","Sort=A","Dates=H","DateFormat=P","Fill=—","Direction=H","UseDPDF=Y")</f>
        <v>#NAME?</v>
      </c>
      <c r="D19" t="e">
        <f ca="1">_xll.BDH("CAVA US Equity","IS_NONOP_INCOME_LOSS","FY 2022","FY 2022","Currency=USD","Period=FY","BEST_FPERIOD_OVERRIDE=FY","FILING_STATUS=MR","SCALING_FORMAT=MLN","FA_ADJUSTED=Adjusted","Sort=A","Dates=H","DateFormat=P","Fill=—","Direction=H","UseDPDF=Y")</f>
        <v>#NAME?</v>
      </c>
      <c r="E19" t="e">
        <f ca="1">_xll.BDH("CAVA US Equity","IS_NONOP_INCOME_LOSS","FY 2023","FY 2023","Currency=USD","Period=FY","BEST_FPERIOD_OVERRIDE=FY","FILING_STATUS=MR","SCALING_FORMAT=MLN","FA_ADJUSTED=Adjusted","Sort=A","Dates=H","DateFormat=P","Fill=—","Direction=H","UseDPDF=Y")</f>
        <v>#NAME?</v>
      </c>
      <c r="F19">
        <v>-9.1739999999999995</v>
      </c>
    </row>
    <row r="20" spans="1:8" x14ac:dyDescent="0.25">
      <c r="A20" t="s">
        <v>107</v>
      </c>
      <c r="B20" t="s">
        <v>108</v>
      </c>
      <c r="C20" t="e">
        <f ca="1">_xll.BDH("CAVA US Equity","IS_NET_INTEREST_EXPENSE","FY 2021","FY 2021","Currency=USD","Period=FY","BEST_FPERIOD_OVERRIDE=FY","FILING_STATUS=MR","SCALING_FORMAT=MLN","FA_ADJUSTED=Adjusted","Sort=A","Dates=H","DateFormat=P","Fill=—","Direction=H","UseDPDF=Y")</f>
        <v>#NAME?</v>
      </c>
      <c r="D20" t="e">
        <f ca="1">_xll.BDH("CAVA US Equity","IS_NET_INTEREST_EXPENSE","FY 2022","FY 2022","Currency=USD","Period=FY","BEST_FPERIOD_OVERRIDE=FY","FILING_STATUS=MR","SCALING_FORMAT=MLN","FA_ADJUSTED=Adjusted","Sort=A","Dates=H","DateFormat=P","Fill=—","Direction=H","UseDPDF=Y")</f>
        <v>#NAME?</v>
      </c>
      <c r="E20" t="e">
        <f ca="1">_xll.BDH("CAVA US Equity","IS_NET_INTEREST_EXPENSE","FY 2023","FY 2023","Currency=USD","Period=FY","BEST_FPERIOD_OVERRIDE=FY","FILING_STATUS=MR","SCALING_FORMAT=MLN","FA_ADJUSTED=Adjusted","Sort=A","Dates=H","DateFormat=P","Fill=—","Direction=H","UseDPDF=Y")</f>
        <v>#NAME?</v>
      </c>
      <c r="F20">
        <v>-8.8770000000000007</v>
      </c>
    </row>
    <row r="21" spans="1:8" x14ac:dyDescent="0.25">
      <c r="A21" t="s">
        <v>109</v>
      </c>
      <c r="B21" t="s">
        <v>110</v>
      </c>
      <c r="C21" t="e">
        <f ca="1">_xll.BDH("CAVA US Equity","IS_FOREIGN_EXCH_LOSS","FY 2021","FY 2021","Currency=USD","Period=FY","BEST_FPERIOD_OVERRIDE=FY","FILING_STATUS=MR","SCALING_FORMAT=MLN","FA_ADJUSTED=Adjusted","Sort=A","Dates=H","DateFormat=P","Fill=—","Direction=H","UseDPDF=Y")</f>
        <v>#NAME?</v>
      </c>
      <c r="D21" t="e">
        <f ca="1">_xll.BDH("CAVA US Equity","IS_FOREIGN_EXCH_LOSS","FY 2022","FY 2022","Currency=USD","Period=FY","BEST_FPERIOD_OVERRIDE=FY","FILING_STATUS=MR","SCALING_FORMAT=MLN","FA_ADJUSTED=Adjusted","Sort=A","Dates=H","DateFormat=P","Fill=—","Direction=H","UseDPDF=Y")</f>
        <v>#NAME?</v>
      </c>
      <c r="E21" t="e">
        <f ca="1">_xll.BDH("CAVA US Equity","IS_FOREIGN_EXCH_LOSS","FY 2023","FY 2023","Currency=USD","Period=FY","BEST_FPERIOD_OVERRIDE=FY","FILING_STATUS=MR","SCALING_FORMAT=MLN","FA_ADJUSTED=Adjusted","Sort=A","Dates=H","DateFormat=P","Fill=—","Direction=H","UseDPDF=Y")</f>
        <v>#NAME?</v>
      </c>
    </row>
    <row r="22" spans="1:8" x14ac:dyDescent="0.25">
      <c r="A22" t="s">
        <v>111</v>
      </c>
      <c r="B22" t="s">
        <v>112</v>
      </c>
      <c r="C22" t="e">
        <f ca="1">_xll.BDH("CAVA US Equity","IS_OTHER_NON_OPERATING_INC_LOSS","FY 2021","FY 2021","Currency=USD","Period=FY","BEST_FPERIOD_OVERRIDE=FY","FILING_STATUS=MR","SCALING_FORMAT=MLN","FA_ADJUSTED=Adjusted","Sort=A","Dates=H","DateFormat=P","Fill=—","Direction=H","UseDPDF=Y")</f>
        <v>#NAME?</v>
      </c>
      <c r="D22" t="e">
        <f ca="1">_xll.BDH("CAVA US Equity","IS_OTHER_NON_OPERATING_INC_LOSS","FY 2022","FY 2022","Currency=USD","Period=FY","BEST_FPERIOD_OVERRIDE=FY","FILING_STATUS=MR","SCALING_FORMAT=MLN","FA_ADJUSTED=Adjusted","Sort=A","Dates=H","DateFormat=P","Fill=—","Direction=H","UseDPDF=Y")</f>
        <v>#NAME?</v>
      </c>
      <c r="E22" t="e">
        <f ca="1">_xll.BDH("CAVA US Equity","IS_OTHER_NON_OPERATING_INC_LOSS","FY 2023","FY 2023","Currency=USD","Period=FY","BEST_FPERIOD_OVERRIDE=FY","FILING_STATUS=MR","SCALING_FORMAT=MLN","FA_ADJUSTED=Adjusted","Sort=A","Dates=H","DateFormat=P","Fill=—","Direction=H","UseDPDF=Y")</f>
        <v>#NAME?</v>
      </c>
      <c r="F22">
        <v>-0.29699999999999999</v>
      </c>
    </row>
    <row r="23" spans="1:8" x14ac:dyDescent="0.25">
      <c r="A23" t="s">
        <v>113</v>
      </c>
      <c r="B23" t="s">
        <v>114</v>
      </c>
      <c r="C23" t="e">
        <f ca="1">_xll.BDH("CAVA US Equity","PRETAX_INC","FY 2021","FY 2021","Currency=USD","Period=FY","BEST_FPERIOD_OVERRIDE=FY","FILING_STATUS=MR","SCALING_FORMAT=MLN","FA_ADJUSTED=Adjusted","Sort=A","Dates=H","DateFormat=P","Fill=—","Direction=H","UseDPDF=Y")</f>
        <v>#NAME?</v>
      </c>
      <c r="D23" t="e">
        <f ca="1">_xll.BDH("CAVA US Equity","PRETAX_INC","FY 2022","FY 2022","Currency=USD","Period=FY","BEST_FPERIOD_OVERRIDE=FY","FILING_STATUS=MR","SCALING_FORMAT=MLN","FA_ADJUSTED=Adjusted","Sort=A","Dates=H","DateFormat=P","Fill=—","Direction=H","UseDPDF=Y")</f>
        <v>#NAME?</v>
      </c>
      <c r="E23" t="e">
        <f ca="1">_xll.BDH("CAVA US Equity","PRETAX_INC","FY 2023","FY 2023","Currency=USD","Period=FY","BEST_FPERIOD_OVERRIDE=FY","FILING_STATUS=MR","SCALING_FORMAT=MLN","FA_ADJUSTED=Adjusted","Sort=A","Dates=H","DateFormat=P","Fill=—","Direction=H","UseDPDF=Y")</f>
        <v>#NAME?</v>
      </c>
      <c r="G23">
        <v>27</v>
      </c>
      <c r="H23">
        <v>36.966999999999999</v>
      </c>
    </row>
    <row r="24" spans="1:8" x14ac:dyDescent="0.25">
      <c r="A24" t="s">
        <v>115</v>
      </c>
      <c r="B24" t="s">
        <v>116</v>
      </c>
      <c r="C24" t="e">
        <f ca="1">_xll.BDH("CAVA US Equity","IS_ABNORMAL_ITEM","FY 2021","FY 2021","Currency=USD","Period=FY","BEST_FPERIOD_OVERRIDE=FY","FILING_STATUS=MR","SCALING_FORMAT=MLN","Sort=A","Dates=H","DateFormat=P","Fill=—","Direction=H","UseDPDF=Y")</f>
        <v>#NAME?</v>
      </c>
      <c r="D24" t="e">
        <f ca="1">_xll.BDH("CAVA US Equity","IS_ABNORMAL_ITEM","FY 2022","FY 2022","Currency=USD","Period=FY","BEST_FPERIOD_OVERRIDE=FY","FILING_STATUS=MR","SCALING_FORMAT=MLN","Sort=A","Dates=H","DateFormat=P","Fill=—","Direction=H","UseDPDF=Y")</f>
        <v>#NAME?</v>
      </c>
      <c r="E24" t="e">
        <f ca="1">_xll.BDH("CAVA US Equity","IS_ABNORMAL_ITEM","FY 2023","FY 2023","Currency=USD","Period=FY","BEST_FPERIOD_OVERRIDE=FY","FILING_STATUS=MR","SCALING_FORMAT=MLN","Sort=A","Dates=H","DateFormat=P","Fill=—","Direction=H","UseDPDF=Y")</f>
        <v>#NAME?</v>
      </c>
    </row>
    <row r="25" spans="1:8" x14ac:dyDescent="0.25">
      <c r="A25" t="s">
        <v>117</v>
      </c>
      <c r="B25" t="s">
        <v>118</v>
      </c>
      <c r="C25" t="e">
        <f ca="1">_xll.BDH("CAVA US Equity","IS_IMPAIRMENT_ASSETS","FY 2021","FY 2021","Currency=USD","Period=FY","BEST_FPERIOD_OVERRIDE=FY","FILING_STATUS=MR","SCALING_FORMAT=MLN","Sort=A","Dates=H","DateFormat=P","Fill=—","Direction=H","UseDPDF=Y")</f>
        <v>#NAME?</v>
      </c>
      <c r="D25" t="e">
        <f ca="1">_xll.BDH("CAVA US Equity","IS_IMPAIRMENT_ASSETS","FY 2022","FY 2022","Currency=USD","Period=FY","BEST_FPERIOD_OVERRIDE=FY","FILING_STATUS=MR","SCALING_FORMAT=MLN","Sort=A","Dates=H","DateFormat=P","Fill=—","Direction=H","UseDPDF=Y")</f>
        <v>#NAME?</v>
      </c>
      <c r="E25" t="e">
        <f ca="1">_xll.BDH("CAVA US Equity","IS_IMPAIRMENT_ASSETS","FY 2023","FY 2023","Currency=USD","Period=FY","BEST_FPERIOD_OVERRIDE=FY","FILING_STATUS=MR","SCALING_FORMAT=MLN","Sort=A","Dates=H","DateFormat=P","Fill=—","Direction=H","UseDPDF=Y")</f>
        <v>#NAME?</v>
      </c>
      <c r="F25">
        <v>0.60399999999999998</v>
      </c>
    </row>
    <row r="26" spans="1:8" x14ac:dyDescent="0.25">
      <c r="A26" t="s">
        <v>119</v>
      </c>
      <c r="B26" t="s">
        <v>120</v>
      </c>
      <c r="C26" t="e">
        <f ca="1">_xll.BDH("CAVA US Equity","IS_RESTRUCTURING_EXPENSES","FY 2021","FY 2021","Currency=USD","Period=FY","BEST_FPERIOD_OVERRIDE=FY","FILING_STATUS=MR","SCALING_FORMAT=MLN","Sort=A","Dates=H","DateFormat=P","Fill=—","Direction=H","UseDPDF=Y")</f>
        <v>#NAME?</v>
      </c>
      <c r="D26" t="e">
        <f ca="1">_xll.BDH("CAVA US Equity","IS_RESTRUCTURING_EXPENSES","FY 2022","FY 2022","Currency=USD","Period=FY","BEST_FPERIOD_OVERRIDE=FY","FILING_STATUS=MR","SCALING_FORMAT=MLN","Sort=A","Dates=H","DateFormat=P","Fill=—","Direction=H","UseDPDF=Y")</f>
        <v>#NAME?</v>
      </c>
      <c r="E26" t="e">
        <f ca="1">_xll.BDH("CAVA US Equity","IS_RESTRUCTURING_EXPENSES","FY 2023","FY 2023","Currency=USD","Period=FY","BEST_FPERIOD_OVERRIDE=FY","FILING_STATUS=MR","SCALING_FORMAT=MLN","Sort=A","Dates=H","DateFormat=P","Fill=—","Direction=H","UseDPDF=Y")</f>
        <v>#NAME?</v>
      </c>
      <c r="F26">
        <v>0.92</v>
      </c>
    </row>
    <row r="27" spans="1:8" x14ac:dyDescent="0.25">
      <c r="A27" t="s">
        <v>121</v>
      </c>
      <c r="B27" t="s">
        <v>122</v>
      </c>
      <c r="C27" t="e">
        <f ca="1">_xll.BDH("CAVA US Equity","IS_OTHER_ONE_TIME_ITEMS","FY 2021","FY 2021","Currency=USD","Period=FY","BEST_FPERIOD_OVERRIDE=FY","FILING_STATUS=MR","SCALING_FORMAT=MLN","Sort=A","Dates=H","DateFormat=P","Fill=—","Direction=H","UseDPDF=Y")</f>
        <v>#NAME?</v>
      </c>
      <c r="D27" t="e">
        <f ca="1">_xll.BDH("CAVA US Equity","IS_OTHER_ONE_TIME_ITEMS","FY 2022","FY 2022","Currency=USD","Period=FY","BEST_FPERIOD_OVERRIDE=FY","FILING_STATUS=MR","SCALING_FORMAT=MLN","Sort=A","Dates=H","DateFormat=P","Fill=—","Direction=H","UseDPDF=Y")</f>
        <v>#NAME?</v>
      </c>
      <c r="E27" t="e">
        <f ca="1">_xll.BDH("CAVA US Equity","IS_OTHER_ONE_TIME_ITEMS","FY 2023","FY 2023","Currency=USD","Period=FY","BEST_FPERIOD_OVERRIDE=FY","FILING_STATUS=MR","SCALING_FORMAT=MLN","Sort=A","Dates=H","DateFormat=P","Fill=—","Direction=H","UseDPDF=Y")</f>
        <v>#NAME?</v>
      </c>
    </row>
    <row r="28" spans="1:8" x14ac:dyDescent="0.25">
      <c r="A28" t="s">
        <v>123</v>
      </c>
      <c r="B28" t="s">
        <v>114</v>
      </c>
      <c r="C28" t="e">
        <f ca="1">_xll.BDH("CAVA US Equity","PRETAX_INC","FY 2021","FY 2021","Currency=USD","Period=FY","BEST_FPERIOD_OVERRIDE=FY","FILING_STATUS=MR","SCALING_FORMAT=MLN","FA_ADJUSTED=GAAP","Sort=A","Dates=H","DateFormat=P","Fill=—","Direction=H","UseDPDF=Y")</f>
        <v>#NAME?</v>
      </c>
      <c r="D28" t="e">
        <f ca="1">_xll.BDH("CAVA US Equity","PRETAX_INC","FY 2022","FY 2022","Currency=USD","Period=FY","BEST_FPERIOD_OVERRIDE=FY","FILING_STATUS=MR","SCALING_FORMAT=MLN","FA_ADJUSTED=GAAP","Sort=A","Dates=H","DateFormat=P","Fill=—","Direction=H","UseDPDF=Y")</f>
        <v>#NAME?</v>
      </c>
      <c r="E28" t="e">
        <f ca="1">_xll.BDH("CAVA US Equity","PRETAX_INC","FY 2023","FY 2023","Currency=USD","Period=FY","BEST_FPERIOD_OVERRIDE=FY","FILING_STATUS=MR","SCALING_FORMAT=MLN","FA_ADJUSTED=GAAP","Sort=A","Dates=H","DateFormat=P","Fill=—","Direction=H","UseDPDF=Y")</f>
        <v>#NAME?</v>
      </c>
      <c r="G28">
        <v>27</v>
      </c>
      <c r="H28">
        <v>36.966999999999999</v>
      </c>
    </row>
    <row r="29" spans="1:8" x14ac:dyDescent="0.25">
      <c r="A29" t="s">
        <v>124</v>
      </c>
      <c r="B29" t="s">
        <v>125</v>
      </c>
      <c r="C29" t="e">
        <f ca="1">_xll.BDH("CAVA US Equity","IS_INC_TAX_EXP","FY 2021","FY 2021","Currency=USD","Period=FY","BEST_FPERIOD_OVERRIDE=FY","FILING_STATUS=MR","SCALING_FORMAT=MLN","FA_ADJUSTED=GAAP","Sort=A","Dates=H","DateFormat=P","Fill=—","Direction=H","UseDPDF=Y")</f>
        <v>#NAME?</v>
      </c>
      <c r="D29" t="e">
        <f ca="1">_xll.BDH("CAVA US Equity","IS_INC_TAX_EXP","FY 2022","FY 2022","Currency=USD","Period=FY","BEST_FPERIOD_OVERRIDE=FY","FILING_STATUS=MR","SCALING_FORMAT=MLN","FA_ADJUSTED=GAAP","Sort=A","Dates=H","DateFormat=P","Fill=—","Direction=H","UseDPDF=Y")</f>
        <v>#NAME?</v>
      </c>
      <c r="E29" t="e">
        <f ca="1">_xll.BDH("CAVA US Equity","IS_INC_TAX_EXP","FY 2023","FY 2023","Currency=USD","Period=FY","BEST_FPERIOD_OVERRIDE=FY","FILING_STATUS=MR","SCALING_FORMAT=MLN","FA_ADJUSTED=GAAP","Sort=A","Dates=H","DateFormat=P","Fill=—","Direction=H","UseDPDF=Y")</f>
        <v>#NAME?</v>
      </c>
    </row>
    <row r="30" spans="1:8" x14ac:dyDescent="0.25">
      <c r="A30" t="s">
        <v>126</v>
      </c>
      <c r="B30" t="s">
        <v>127</v>
      </c>
      <c r="C30" t="e">
        <f ca="1">_xll.BDH("CAVA US Equity","IS_INC_BEF_XO_ITEM","FY 2021","FY 2021","Currency=USD","Period=FY","BEST_FPERIOD_OVERRIDE=FY","FILING_STATUS=MR","SCALING_FORMAT=MLN","Sort=A","Dates=H","DateFormat=P","Fill=—","Direction=H","UseDPDF=Y")</f>
        <v>#NAME?</v>
      </c>
      <c r="D30" t="e">
        <f ca="1">_xll.BDH("CAVA US Equity","IS_INC_BEF_XO_ITEM","FY 2022","FY 2022","Currency=USD","Period=FY","BEST_FPERIOD_OVERRIDE=FY","FILING_STATUS=MR","SCALING_FORMAT=MLN","Sort=A","Dates=H","DateFormat=P","Fill=—","Direction=H","UseDPDF=Y")</f>
        <v>#NAME?</v>
      </c>
      <c r="E30" t="e">
        <f ca="1">_xll.BDH("CAVA US Equity","IS_INC_BEF_XO_ITEM","FY 2023","FY 2023","Currency=USD","Period=FY","BEST_FPERIOD_OVERRIDE=FY","FILING_STATUS=MR","SCALING_FORMAT=MLN","Sort=A","Dates=H","DateFormat=P","Fill=—","Direction=H","UseDPDF=Y")</f>
        <v>#NAME?</v>
      </c>
      <c r="G30">
        <v>29.55</v>
      </c>
      <c r="H30">
        <v>40.200000000000003</v>
      </c>
    </row>
    <row r="31" spans="1:8" x14ac:dyDescent="0.25">
      <c r="A31" t="s">
        <v>128</v>
      </c>
      <c r="B31" t="s">
        <v>129</v>
      </c>
      <c r="C31" t="e">
        <f ca="1">_xll.BDH("CAVA US Equity","XO_GL_NET_OF_TAX","FY 2021","FY 2021","Currency=USD","Period=FY","BEST_FPERIOD_OVERRIDE=FY","FILING_STATUS=MR","SCALING_FORMAT=MLN","Sort=A","Dates=H","DateFormat=P","Fill=—","Direction=H","UseDPDF=Y")</f>
        <v>#NAME?</v>
      </c>
      <c r="D31" t="e">
        <f ca="1">_xll.BDH("CAVA US Equity","XO_GL_NET_OF_TAX","FY 2022","FY 2022","Currency=USD","Period=FY","BEST_FPERIOD_OVERRIDE=FY","FILING_STATUS=MR","SCALING_FORMAT=MLN","Sort=A","Dates=H","DateFormat=P","Fill=—","Direction=H","UseDPDF=Y")</f>
        <v>#NAME?</v>
      </c>
      <c r="E31" t="e">
        <f ca="1">_xll.BDH("CAVA US Equity","XO_GL_NET_OF_TAX","FY 2023","FY 2023","Currency=USD","Period=FY","BEST_FPERIOD_OVERRIDE=FY","FILING_STATUS=MR","SCALING_FORMAT=MLN","Sort=A","Dates=H","DateFormat=P","Fill=—","Direction=H","UseDPDF=Y")</f>
        <v>#NAME?</v>
      </c>
    </row>
    <row r="32" spans="1:8" x14ac:dyDescent="0.25">
      <c r="A32" t="s">
        <v>130</v>
      </c>
      <c r="B32" t="s">
        <v>131</v>
      </c>
      <c r="C32" t="e">
        <f ca="1">_xll.BDH("CAVA US Equity","IS_DISCONTINUED_OPERATIONS","FY 2021","FY 2021","Currency=USD","Period=FY","BEST_FPERIOD_OVERRIDE=FY","FILING_STATUS=MR","SCALING_FORMAT=MLN","Sort=A","Dates=H","DateFormat=P","Fill=—","Direction=H","UseDPDF=Y")</f>
        <v>#NAME?</v>
      </c>
      <c r="D32" t="e">
        <f ca="1">_xll.BDH("CAVA US Equity","IS_DISCONTINUED_OPERATIONS","FY 2022","FY 2022","Currency=USD","Period=FY","BEST_FPERIOD_OVERRIDE=FY","FILING_STATUS=MR","SCALING_FORMAT=MLN","Sort=A","Dates=H","DateFormat=P","Fill=—","Direction=H","UseDPDF=Y")</f>
        <v>#NAME?</v>
      </c>
      <c r="E32" t="e">
        <f ca="1">_xll.BDH("CAVA US Equity","IS_DISCONTINUED_OPERATIONS","FY 2023","FY 2023","Currency=USD","Period=FY","BEST_FPERIOD_OVERRIDE=FY","FILING_STATUS=MR","SCALING_FORMAT=MLN","Sort=A","Dates=H","DateFormat=P","Fill=—","Direction=H","UseDPDF=Y")</f>
        <v>#NAME?</v>
      </c>
      <c r="F32">
        <v>0</v>
      </c>
    </row>
    <row r="33" spans="1:8" x14ac:dyDescent="0.25">
      <c r="A33" t="s">
        <v>132</v>
      </c>
      <c r="B33" t="s">
        <v>133</v>
      </c>
      <c r="C33" t="e">
        <f ca="1">_xll.BDH("CAVA US Equity","EXTRAORD_ITEMS_ACCOUNTING_CHANGS","FY 2021","FY 2021","Currency=USD","Period=FY","BEST_FPERIOD_OVERRIDE=FY","FILING_STATUS=MR","SCALING_FORMAT=MLN","Sort=A","Dates=H","DateFormat=P","Fill=—","Direction=H","UseDPDF=Y")</f>
        <v>#NAME?</v>
      </c>
      <c r="D33" t="e">
        <f ca="1">_xll.BDH("CAVA US Equity","EXTRAORD_ITEMS_ACCOUNTING_CHANGS","FY 2022","FY 2022","Currency=USD","Period=FY","BEST_FPERIOD_OVERRIDE=FY","FILING_STATUS=MR","SCALING_FORMAT=MLN","Sort=A","Dates=H","DateFormat=P","Fill=—","Direction=H","UseDPDF=Y")</f>
        <v>#NAME?</v>
      </c>
      <c r="E33" t="e">
        <f ca="1">_xll.BDH("CAVA US Equity","EXTRAORD_ITEMS_ACCOUNTING_CHANGS","FY 2023","FY 2023","Currency=USD","Period=FY","BEST_FPERIOD_OVERRIDE=FY","FILING_STATUS=MR","SCALING_FORMAT=MLN","Sort=A","Dates=H","DateFormat=P","Fill=—","Direction=H","UseDPDF=Y")</f>
        <v>#NAME?</v>
      </c>
      <c r="F33">
        <v>0</v>
      </c>
    </row>
    <row r="34" spans="1:8" x14ac:dyDescent="0.25">
      <c r="A34" t="s">
        <v>134</v>
      </c>
      <c r="B34" t="s">
        <v>135</v>
      </c>
      <c r="C34" t="e">
        <f ca="1">_xll.BDH("CAVA US Equity","NI_INCLUDING_MINORITY_INT_RATIO","FY 2021","FY 2021","Currency=USD","Period=FY","BEST_FPERIOD_OVERRIDE=FY","FILING_STATUS=MR","SCALING_FORMAT=MLN","FA_ADJUSTED=GAAP","Sort=A","Dates=H","DateFormat=P","Fill=—","Direction=H","UseDPDF=Y")</f>
        <v>#NAME?</v>
      </c>
      <c r="D34" t="e">
        <f ca="1">_xll.BDH("CAVA US Equity","NI_INCLUDING_MINORITY_INT_RATIO","FY 2022","FY 2022","Currency=USD","Period=FY","BEST_FPERIOD_OVERRIDE=FY","FILING_STATUS=MR","SCALING_FORMAT=MLN","FA_ADJUSTED=GAAP","Sort=A","Dates=H","DateFormat=P","Fill=—","Direction=H","UseDPDF=Y")</f>
        <v>#NAME?</v>
      </c>
      <c r="E34" t="e">
        <f ca="1">_xll.BDH("CAVA US Equity","NI_INCLUDING_MINORITY_INT_RATIO","FY 2023","FY 2023","Currency=USD","Period=FY","BEST_FPERIOD_OVERRIDE=FY","FILING_STATUS=MR","SCALING_FORMAT=MLN","FA_ADJUSTED=GAAP","Sort=A","Dates=H","DateFormat=P","Fill=—","Direction=H","UseDPDF=Y")</f>
        <v>#NAME?</v>
      </c>
      <c r="F34">
        <v>15.420999999999999</v>
      </c>
    </row>
    <row r="35" spans="1:8" x14ac:dyDescent="0.25">
      <c r="A35" t="s">
        <v>136</v>
      </c>
      <c r="B35" t="s">
        <v>137</v>
      </c>
      <c r="C35" t="e">
        <f ca="1">_xll.BDH("CAVA US Equity","MIN_NONCONTROL_INTEREST_CREDITS","FY 2021","FY 2021","Currency=USD","Period=FY","BEST_FPERIOD_OVERRIDE=FY","FILING_STATUS=MR","SCALING_FORMAT=MLN","FA_ADJUSTED=GAAP","Sort=A","Dates=H","DateFormat=P","Fill=—","Direction=H","UseDPDF=Y")</f>
        <v>#NAME?</v>
      </c>
      <c r="D35" t="e">
        <f ca="1">_xll.BDH("CAVA US Equity","MIN_NONCONTROL_INTEREST_CREDITS","FY 2022","FY 2022","Currency=USD","Period=FY","BEST_FPERIOD_OVERRIDE=FY","FILING_STATUS=MR","SCALING_FORMAT=MLN","FA_ADJUSTED=GAAP","Sort=A","Dates=H","DateFormat=P","Fill=—","Direction=H","UseDPDF=Y")</f>
        <v>#NAME?</v>
      </c>
      <c r="E35" t="e">
        <f ca="1">_xll.BDH("CAVA US Equity","MIN_NONCONTROL_INTEREST_CREDITS","FY 2023","FY 2023","Currency=USD","Period=FY","BEST_FPERIOD_OVERRIDE=FY","FILING_STATUS=MR","SCALING_FORMAT=MLN","FA_ADJUSTED=GAAP","Sort=A","Dates=H","DateFormat=P","Fill=—","Direction=H","UseDPDF=Y")</f>
        <v>#NAME?</v>
      </c>
    </row>
    <row r="36" spans="1:8" x14ac:dyDescent="0.25">
      <c r="A36" t="s">
        <v>138</v>
      </c>
      <c r="B36" t="s">
        <v>139</v>
      </c>
      <c r="C36" t="e">
        <f ca="1">_xll.BDH("CAVA US Equity","NET_INCOME","FY 2021","FY 2021","Currency=USD","Period=FY","BEST_FPERIOD_OVERRIDE=FY","FILING_STATUS=MR","SCALING_FORMAT=MLN","FA_ADJUSTED=GAAP","Sort=A","Dates=H","DateFormat=P","Fill=—","Direction=H","UseDPDF=Y")</f>
        <v>#NAME?</v>
      </c>
      <c r="D36" t="e">
        <f ca="1">_xll.BDH("CAVA US Equity","NET_INCOME","FY 2022","FY 2022","Currency=USD","Period=FY","BEST_FPERIOD_OVERRIDE=FY","FILING_STATUS=MR","SCALING_FORMAT=MLN","FA_ADJUSTED=GAAP","Sort=A","Dates=H","DateFormat=P","Fill=—","Direction=H","UseDPDF=Y")</f>
        <v>#NAME?</v>
      </c>
      <c r="E36" t="e">
        <f ca="1">_xll.BDH("CAVA US Equity","NET_INCOME","FY 2023","FY 2023","Currency=USD","Period=FY","BEST_FPERIOD_OVERRIDE=FY","FILING_STATUS=MR","SCALING_FORMAT=MLN","FA_ADJUSTED=GAAP","Sort=A","Dates=H","DateFormat=P","Fill=—","Direction=H","UseDPDF=Y")</f>
        <v>#NAME?</v>
      </c>
      <c r="G36">
        <v>29.55</v>
      </c>
      <c r="H36">
        <v>40.200000000000003</v>
      </c>
    </row>
    <row r="37" spans="1:8" x14ac:dyDescent="0.25">
      <c r="A37" t="s">
        <v>140</v>
      </c>
      <c r="B37" t="s">
        <v>141</v>
      </c>
      <c r="C37" t="e">
        <f ca="1">_xll.BDH("CAVA US Equity","IS_TOT_CASH_PFD_DVD","FY 2021","FY 2021","Currency=USD","Period=FY","BEST_FPERIOD_OVERRIDE=FY","FILING_STATUS=MR","SCALING_FORMAT=MLN","Sort=A","Dates=H","DateFormat=P","Fill=—","Direction=H","UseDPDF=Y")</f>
        <v>#NAME?</v>
      </c>
      <c r="D37" t="e">
        <f ca="1">_xll.BDH("CAVA US Equity","IS_TOT_CASH_PFD_DVD","FY 2022","FY 2022","Currency=USD","Period=FY","BEST_FPERIOD_OVERRIDE=FY","FILING_STATUS=MR","SCALING_FORMAT=MLN","Sort=A","Dates=H","DateFormat=P","Fill=—","Direction=H","UseDPDF=Y")</f>
        <v>#NAME?</v>
      </c>
      <c r="E37" t="e">
        <f ca="1">_xll.BDH("CAVA US Equity","IS_TOT_CASH_PFD_DVD","FY 2023","FY 2023","Currency=USD","Period=FY","BEST_FPERIOD_OVERRIDE=FY","FILING_STATUS=MR","SCALING_FORMAT=MLN","Sort=A","Dates=H","DateFormat=P","Fill=—","Direction=H","UseDPDF=Y")</f>
        <v>#NAME?</v>
      </c>
    </row>
    <row r="38" spans="1:8" x14ac:dyDescent="0.25">
      <c r="A38" t="s">
        <v>142</v>
      </c>
      <c r="B38" t="s">
        <v>143</v>
      </c>
      <c r="C38" t="e">
        <f ca="1">_xll.BDH("CAVA US Equity","OTHER_ADJUSTMENTS","FY 2021","FY 2021","Currency=USD","Period=FY","BEST_FPERIOD_OVERRIDE=FY","FILING_STATUS=MR","SCALING_FORMAT=MLN","Sort=A","Dates=H","DateFormat=P","Fill=—","Direction=H","UseDPDF=Y")</f>
        <v>#NAME?</v>
      </c>
      <c r="D38" t="e">
        <f ca="1">_xll.BDH("CAVA US Equity","OTHER_ADJUSTMENTS","FY 2022","FY 2022","Currency=USD","Period=FY","BEST_FPERIOD_OVERRIDE=FY","FILING_STATUS=MR","SCALING_FORMAT=MLN","Sort=A","Dates=H","DateFormat=P","Fill=—","Direction=H","UseDPDF=Y")</f>
        <v>#NAME?</v>
      </c>
      <c r="E38" t="e">
        <f ca="1">_xll.BDH("CAVA US Equity","OTHER_ADJUSTMENTS","FY 2023","FY 2023","Currency=USD","Period=FY","BEST_FPERIOD_OVERRIDE=FY","FILING_STATUS=MR","SCALING_FORMAT=MLN","Sort=A","Dates=H","DateFormat=P","Fill=—","Direction=H","UseDPDF=Y")</f>
        <v>#NAME?</v>
      </c>
    </row>
    <row r="39" spans="1:8" x14ac:dyDescent="0.25">
      <c r="A39" t="s">
        <v>144</v>
      </c>
      <c r="B39" t="s">
        <v>145</v>
      </c>
      <c r="C39" t="e">
        <f ca="1">_xll.BDH("CAVA US Equity","EARN_FOR_COMMON","FY 2021","FY 2021","Currency=USD","Period=FY","BEST_FPERIOD_OVERRIDE=FY","FILING_STATUS=MR","SCALING_FORMAT=MLN","FA_ADJUSTED=GAAP","Sort=A","Dates=H","DateFormat=P","Fill=—","Direction=H","UseDPDF=Y")</f>
        <v>#NAME?</v>
      </c>
      <c r="D39" t="e">
        <f ca="1">_xll.BDH("CAVA US Equity","EARN_FOR_COMMON","FY 2022","FY 2022","Currency=USD","Period=FY","BEST_FPERIOD_OVERRIDE=FY","FILING_STATUS=MR","SCALING_FORMAT=MLN","FA_ADJUSTED=GAAP","Sort=A","Dates=H","DateFormat=P","Fill=—","Direction=H","UseDPDF=Y")</f>
        <v>#NAME?</v>
      </c>
      <c r="E39" t="e">
        <f ca="1">_xll.BDH("CAVA US Equity","EARN_FOR_COMMON","FY 2023","FY 2023","Currency=USD","Period=FY","BEST_FPERIOD_OVERRIDE=FY","FILING_STATUS=MR","SCALING_FORMAT=MLN","FA_ADJUSTED=GAAP","Sort=A","Dates=H","DateFormat=P","Fill=—","Direction=H","UseDPDF=Y")</f>
        <v>#NAME?</v>
      </c>
      <c r="G39">
        <v>29.55</v>
      </c>
      <c r="H39">
        <v>40.200000000000003</v>
      </c>
    </row>
    <row r="41" spans="1:8" x14ac:dyDescent="0.25">
      <c r="A41" t="s">
        <v>146</v>
      </c>
      <c r="B41" t="s">
        <v>145</v>
      </c>
      <c r="C41" t="e">
        <f ca="1">_xll.BDH("CAVA US Equity","EARN_FOR_COMMON","FY 2021","FY 2021","Currency=USD","Period=FY","BEST_FPERIOD_OVERRIDE=FY","FILING_STATUS=MR","SCALING_FORMAT=MLN","FA_ADJUSTED=Adjusted","Sort=A","Dates=H","DateFormat=P","Fill=—","Direction=H","UseDPDF=Y")</f>
        <v>#NAME?</v>
      </c>
      <c r="D41" t="e">
        <f ca="1">_xll.BDH("CAVA US Equity","EARN_FOR_COMMON","FY 2022","FY 2022","Currency=USD","Period=FY","BEST_FPERIOD_OVERRIDE=FY","FILING_STATUS=MR","SCALING_FORMAT=MLN","FA_ADJUSTED=Adjusted","Sort=A","Dates=H","DateFormat=P","Fill=—","Direction=H","UseDPDF=Y")</f>
        <v>#NAME?</v>
      </c>
      <c r="E41" t="e">
        <f ca="1">_xll.BDH("CAVA US Equity","EARN_FOR_COMMON","FY 2023","FY 2023","Currency=USD","Period=FY","BEST_FPERIOD_OVERRIDE=FY","FILING_STATUS=MR","SCALING_FORMAT=MLN","FA_ADJUSTED=Adjusted","Sort=A","Dates=H","DateFormat=P","Fill=—","Direction=H","UseDPDF=Y")</f>
        <v>#NAME?</v>
      </c>
      <c r="G41">
        <v>26.841999999999999</v>
      </c>
      <c r="H41">
        <v>36.857999999999997</v>
      </c>
    </row>
    <row r="42" spans="1:8" x14ac:dyDescent="0.25">
      <c r="A42" t="s">
        <v>147</v>
      </c>
      <c r="B42" t="s">
        <v>148</v>
      </c>
      <c r="C42" t="e">
        <f ca="1">_xll.BDH("CAVA US Equity","IS_NET_ABNORMAL_ITEMS","FY 2021","FY 2021","Currency=USD","Period=FY","BEST_FPERIOD_OVERRIDE=FY","FILING_STATUS=MR","SCALING_FORMAT=MLN","Sort=A","Dates=H","DateFormat=P","Fill=—","Direction=H","UseDPDF=Y")</f>
        <v>#NAME?</v>
      </c>
      <c r="D42" t="e">
        <f ca="1">_xll.BDH("CAVA US Equity","IS_NET_ABNORMAL_ITEMS","FY 2022","FY 2022","Currency=USD","Period=FY","BEST_FPERIOD_OVERRIDE=FY","FILING_STATUS=MR","SCALING_FORMAT=MLN","Sort=A","Dates=H","DateFormat=P","Fill=—","Direction=H","UseDPDF=Y")</f>
        <v>#NAME?</v>
      </c>
      <c r="E42" t="e">
        <f ca="1">_xll.BDH("CAVA US Equity","IS_NET_ABNORMAL_ITEMS","FY 2023","FY 2023","Currency=USD","Period=FY","BEST_FPERIOD_OVERRIDE=FY","FILING_STATUS=MR","SCALING_FORMAT=MLN","Sort=A","Dates=H","DateFormat=P","Fill=—","Direction=H","UseDPDF=Y")</f>
        <v>#NAME?</v>
      </c>
      <c r="F42">
        <v>4.77555</v>
      </c>
    </row>
    <row r="43" spans="1:8" x14ac:dyDescent="0.25">
      <c r="A43" t="s">
        <v>149</v>
      </c>
      <c r="B43" t="s">
        <v>129</v>
      </c>
      <c r="C43" t="e">
        <f ca="1">_xll.BDH("CAVA US Equity","XO_GL_NET_OF_TAX","FY 2021","FY 2021","Currency=USD","Period=FY","BEST_FPERIOD_OVERRIDE=FY","FILING_STATUS=MR","SCALING_FORMAT=MLN","Sort=A","Dates=H","DateFormat=P","Fill=—","Direction=H","UseDPDF=Y")</f>
        <v>#NAME?</v>
      </c>
      <c r="D43" t="e">
        <f ca="1">_xll.BDH("CAVA US Equity","XO_GL_NET_OF_TAX","FY 2022","FY 2022","Currency=USD","Period=FY","BEST_FPERIOD_OVERRIDE=FY","FILING_STATUS=MR","SCALING_FORMAT=MLN","Sort=A","Dates=H","DateFormat=P","Fill=—","Direction=H","UseDPDF=Y")</f>
        <v>#NAME?</v>
      </c>
      <c r="E43" t="e">
        <f ca="1">_xll.BDH("CAVA US Equity","XO_GL_NET_OF_TAX","FY 2023","FY 2023","Currency=USD","Period=FY","BEST_FPERIOD_OVERRIDE=FY","FILING_STATUS=MR","SCALING_FORMAT=MLN","Sort=A","Dates=H","DateFormat=P","Fill=—","Direction=H","UseDPDF=Y")</f>
        <v>#NAME?</v>
      </c>
    </row>
    <row r="45" spans="1:8" x14ac:dyDescent="0.25">
      <c r="A45" t="s">
        <v>150</v>
      </c>
      <c r="B45" t="s">
        <v>151</v>
      </c>
      <c r="C45" t="e">
        <f ca="1">_xll.BDH("CAVA US Equity","IS_AVG_NUM_SH_FOR_EPS","FY 2021","FY 2021","Currency=USD","Period=FY","BEST_FPERIOD_OVERRIDE=FY","FILING_STATUS=MR","Sort=A","Dates=H","DateFormat=P","Fill=—","Direction=H","UseDPDF=Y")</f>
        <v>#NAME?</v>
      </c>
      <c r="D45" t="e">
        <f ca="1">_xll.BDH("CAVA US Equity","IS_AVG_NUM_SH_FOR_EPS","FY 2022","FY 2022","Currency=USD","Period=FY","BEST_FPERIOD_OVERRIDE=FY","FILING_STATUS=MR","Sort=A","Dates=H","DateFormat=P","Fill=—","Direction=H","UseDPDF=Y")</f>
        <v>#NAME?</v>
      </c>
      <c r="E45" t="e">
        <f ca="1">_xll.BDH("CAVA US Equity","IS_AVG_NUM_SH_FOR_EPS","FY 2023","FY 2023","Currency=USD","Period=FY","BEST_FPERIOD_OVERRIDE=FY","FILING_STATUS=MR","Sort=A","Dates=H","DateFormat=P","Fill=—","Direction=H","UseDPDF=Y")</f>
        <v>#NAME?</v>
      </c>
      <c r="F45">
        <v>113.642</v>
      </c>
    </row>
    <row r="46" spans="1:8" x14ac:dyDescent="0.25">
      <c r="A46" t="s">
        <v>152</v>
      </c>
      <c r="B46" t="s">
        <v>153</v>
      </c>
      <c r="C46" t="e">
        <f ca="1">_xll.BDH("CAVA US Equity","IS_EPS","FY 2021","FY 2021","Currency=USD","Period=FY","BEST_FPERIOD_OVERRIDE=FY","FILING_STATUS=MR","FA_ADJUSTED=GAAP","Sort=A","Dates=H","DateFormat=P","Fill=—","Direction=H","UseDPDF=Y")</f>
        <v>#NAME?</v>
      </c>
      <c r="D46" t="e">
        <f ca="1">_xll.BDH("CAVA US Equity","IS_EPS","FY 2022","FY 2022","Currency=USD","Period=FY","BEST_FPERIOD_OVERRIDE=FY","FILING_STATUS=MR","FA_ADJUSTED=GAAP","Sort=A","Dates=H","DateFormat=P","Fill=—","Direction=H","UseDPDF=Y")</f>
        <v>#NAME?</v>
      </c>
      <c r="E46" t="e">
        <f ca="1">_xll.BDH("CAVA US Equity","IS_EPS","FY 2023","FY 2023","Currency=USD","Period=FY","BEST_FPERIOD_OVERRIDE=FY","FILING_STATUS=MR","FA_ADJUSTED=GAAP","Sort=A","Dates=H","DateFormat=P","Fill=—","Direction=H","UseDPDF=Y")</f>
        <v>#NAME?</v>
      </c>
      <c r="G46">
        <v>0.251</v>
      </c>
      <c r="H46">
        <v>0.34599999999999997</v>
      </c>
    </row>
    <row r="47" spans="1:8" x14ac:dyDescent="0.25">
      <c r="A47" t="s">
        <v>154</v>
      </c>
      <c r="B47" t="s">
        <v>155</v>
      </c>
      <c r="C47" t="e">
        <f ca="1">_xll.BDH("CAVA US Equity","IS_EARN_BEF_XO_ITEMS_PER_SH","FY 2021","FY 2021","Currency=USD","Period=FY","BEST_FPERIOD_OVERRIDE=FY","FILING_STATUS=MR","Sort=A","Dates=H","DateFormat=P","Fill=—","Direction=H","UseDPDF=Y")</f>
        <v>#NAME?</v>
      </c>
      <c r="D47" t="e">
        <f ca="1">_xll.BDH("CAVA US Equity","IS_EARN_BEF_XO_ITEMS_PER_SH","FY 2022","FY 2022","Currency=USD","Period=FY","BEST_FPERIOD_OVERRIDE=FY","FILING_STATUS=MR","Sort=A","Dates=H","DateFormat=P","Fill=—","Direction=H","UseDPDF=Y")</f>
        <v>#NAME?</v>
      </c>
      <c r="E47" t="e">
        <f ca="1">_xll.BDH("CAVA US Equity","IS_EARN_BEF_XO_ITEMS_PER_SH","FY 2023","FY 2023","Currency=USD","Period=FY","BEST_FPERIOD_OVERRIDE=FY","FILING_STATUS=MR","Sort=A","Dates=H","DateFormat=P","Fill=—","Direction=H","UseDPDF=Y")</f>
        <v>#NAME?</v>
      </c>
      <c r="G47">
        <v>0.251</v>
      </c>
      <c r="H47">
        <v>0.34599999999999997</v>
      </c>
    </row>
    <row r="48" spans="1:8" x14ac:dyDescent="0.25">
      <c r="A48" t="s">
        <v>156</v>
      </c>
      <c r="B48" t="s">
        <v>157</v>
      </c>
      <c r="C48" t="e">
        <f ca="1">_xll.BDH("CAVA US Equity","IS_BASIC_EPS_CONT_OPS","FY 2021","FY 2021","Currency=USD","Period=FY","BEST_FPERIOD_OVERRIDE=FY","FILING_STATUS=MR","Sort=A","Dates=H","DateFormat=P","Fill=—","Direction=H","UseDPDF=Y")</f>
        <v>#NAME?</v>
      </c>
      <c r="D48" t="e">
        <f ca="1">_xll.BDH("CAVA US Equity","IS_BASIC_EPS_CONT_OPS","FY 2022","FY 2022","Currency=USD","Period=FY","BEST_FPERIOD_OVERRIDE=FY","FILING_STATUS=MR","Sort=A","Dates=H","DateFormat=P","Fill=—","Direction=H","UseDPDF=Y")</f>
        <v>#NAME?</v>
      </c>
      <c r="E48" t="e">
        <f ca="1">_xll.BDH("CAVA US Equity","IS_BASIC_EPS_CONT_OPS","FY 2023","FY 2023","Currency=USD","Period=FY","BEST_FPERIOD_OVERRIDE=FY","FILING_STATUS=MR","Sort=A","Dates=H","DateFormat=P","Fill=—","Direction=H","UseDPDF=Y")</f>
        <v>#NAME?</v>
      </c>
      <c r="G48">
        <v>0.23699999999999999</v>
      </c>
      <c r="H48">
        <v>0.32400000000000001</v>
      </c>
    </row>
    <row r="50" spans="1:8" x14ac:dyDescent="0.25">
      <c r="A50" t="s">
        <v>158</v>
      </c>
      <c r="B50" t="s">
        <v>159</v>
      </c>
      <c r="C50" t="e">
        <f ca="1">_xll.BDH("CAVA US Equity","IS_SH_FOR_DILUTED_EPS","FY 2021","FY 2021","Currency=USD","Period=FY","BEST_FPERIOD_OVERRIDE=FY","FILING_STATUS=MR","Sort=A","Dates=H","DateFormat=P","Fill=—","Direction=H","UseDPDF=Y")</f>
        <v>#NAME?</v>
      </c>
      <c r="D50" t="e">
        <f ca="1">_xll.BDH("CAVA US Equity","IS_SH_FOR_DILUTED_EPS","FY 2022","FY 2022","Currency=USD","Period=FY","BEST_FPERIOD_OVERRIDE=FY","FILING_STATUS=MR","Sort=A","Dates=H","DateFormat=P","Fill=—","Direction=H","UseDPDF=Y")</f>
        <v>#NAME?</v>
      </c>
      <c r="E50" t="e">
        <f ca="1">_xll.BDH("CAVA US Equity","IS_SH_FOR_DILUTED_EPS","FY 2023","FY 2023","Currency=USD","Period=FY","BEST_FPERIOD_OVERRIDE=FY","FILING_STATUS=MR","Sort=A","Dates=H","DateFormat=P","Fill=—","Direction=H","UseDPDF=Y")</f>
        <v>#NAME?</v>
      </c>
      <c r="F50">
        <v>117.25</v>
      </c>
    </row>
    <row r="51" spans="1:8" x14ac:dyDescent="0.25">
      <c r="A51" t="s">
        <v>160</v>
      </c>
      <c r="B51" t="s">
        <v>161</v>
      </c>
      <c r="C51" t="e">
        <f ca="1">_xll.BDH("CAVA US Equity","IS_DILUTED_EPS","FY 2021","FY 2021","Currency=USD","Period=FY","BEST_FPERIOD_OVERRIDE=FY","FILING_STATUS=MR","FA_ADJUSTED=GAAP","Sort=A","Dates=H","DateFormat=P","Fill=—","Direction=H","UseDPDF=Y")</f>
        <v>#NAME?</v>
      </c>
      <c r="D51" t="e">
        <f ca="1">_xll.BDH("CAVA US Equity","IS_DILUTED_EPS","FY 2022","FY 2022","Currency=USD","Period=FY","BEST_FPERIOD_OVERRIDE=FY","FILING_STATUS=MR","FA_ADJUSTED=GAAP","Sort=A","Dates=H","DateFormat=P","Fill=—","Direction=H","UseDPDF=Y")</f>
        <v>#NAME?</v>
      </c>
      <c r="E51" t="e">
        <f ca="1">_xll.BDH("CAVA US Equity","IS_DILUTED_EPS","FY 2023","FY 2023","Currency=USD","Period=FY","BEST_FPERIOD_OVERRIDE=FY","FILING_STATUS=MR","FA_ADJUSTED=GAAP","Sort=A","Dates=H","DateFormat=P","Fill=—","Direction=H","UseDPDF=Y")</f>
        <v>#NAME?</v>
      </c>
      <c r="G51">
        <v>0.251</v>
      </c>
      <c r="H51">
        <v>0.34599999999999997</v>
      </c>
    </row>
    <row r="52" spans="1:8" x14ac:dyDescent="0.25">
      <c r="A52" t="s">
        <v>162</v>
      </c>
      <c r="B52" t="s">
        <v>163</v>
      </c>
      <c r="C52" t="e">
        <f ca="1">_xll.BDH("CAVA US Equity","IS_DIL_EPS_BEF_XO","FY 2021","FY 2021","Currency=USD","Period=FY","BEST_FPERIOD_OVERRIDE=FY","FILING_STATUS=MR","Sort=A","Dates=H","DateFormat=P","Fill=—","Direction=H","UseDPDF=Y")</f>
        <v>#NAME?</v>
      </c>
      <c r="D52" t="e">
        <f ca="1">_xll.BDH("CAVA US Equity","IS_DIL_EPS_BEF_XO","FY 2022","FY 2022","Currency=USD","Period=FY","BEST_FPERIOD_OVERRIDE=FY","FILING_STATUS=MR","Sort=A","Dates=H","DateFormat=P","Fill=—","Direction=H","UseDPDF=Y")</f>
        <v>#NAME?</v>
      </c>
      <c r="E52" t="e">
        <f ca="1">_xll.BDH("CAVA US Equity","IS_DIL_EPS_BEF_XO","FY 2023","FY 2023","Currency=USD","Period=FY","BEST_FPERIOD_OVERRIDE=FY","FILING_STATUS=MR","Sort=A","Dates=H","DateFormat=P","Fill=—","Direction=H","UseDPDF=Y")</f>
        <v>#NAME?</v>
      </c>
      <c r="G52">
        <v>0.251</v>
      </c>
      <c r="H52">
        <v>0.34599999999999997</v>
      </c>
    </row>
    <row r="53" spans="1:8" x14ac:dyDescent="0.25">
      <c r="A53" t="s">
        <v>164</v>
      </c>
      <c r="B53" t="s">
        <v>165</v>
      </c>
      <c r="C53" t="e">
        <f ca="1">_xll.BDH("CAVA US Equity","IS_DIL_EPS_CONT_OPS","FY 2021","FY 2021","Currency=USD","Period=FY","BEST_FPERIOD_OVERRIDE=FY","FILING_STATUS=MR","Sort=A","Dates=H","DateFormat=P","Fill=—","Direction=H","UseDPDF=Y")</f>
        <v>#NAME?</v>
      </c>
      <c r="D53" t="e">
        <f ca="1">_xll.BDH("CAVA US Equity","IS_DIL_EPS_CONT_OPS","FY 2022","FY 2022","Currency=USD","Period=FY","BEST_FPERIOD_OVERRIDE=FY","FILING_STATUS=MR","Sort=A","Dates=H","DateFormat=P","Fill=—","Direction=H","UseDPDF=Y")</f>
        <v>#NAME?</v>
      </c>
      <c r="E53" t="e">
        <f ca="1">_xll.BDH("CAVA US Equity","IS_DIL_EPS_CONT_OPS","FY 2023","FY 2023","Currency=USD","Period=FY","BEST_FPERIOD_OVERRIDE=FY","FILING_STATUS=MR","Sort=A","Dates=H","DateFormat=P","Fill=—","Direction=H","UseDPDF=Y")</f>
        <v>#NAME?</v>
      </c>
      <c r="G53">
        <v>0.23699999999999999</v>
      </c>
      <c r="H53">
        <v>0.32400000000000001</v>
      </c>
    </row>
    <row r="55" spans="1:8" x14ac:dyDescent="0.25">
      <c r="A55" t="s">
        <v>166</v>
      </c>
    </row>
    <row r="56" spans="1:8" x14ac:dyDescent="0.25">
      <c r="A56" t="s">
        <v>167</v>
      </c>
      <c r="B56" t="s">
        <v>168</v>
      </c>
      <c r="C56" t="s">
        <v>169</v>
      </c>
      <c r="D56" t="s">
        <v>169</v>
      </c>
      <c r="E56" t="s">
        <v>169</v>
      </c>
    </row>
    <row r="57" spans="1:8" x14ac:dyDescent="0.25">
      <c r="A57" t="s">
        <v>170</v>
      </c>
      <c r="B57" t="s">
        <v>170</v>
      </c>
      <c r="C57" t="e">
        <f ca="1">_xll.BDH("CAVA US Equity","EBITDA","FY 2021","FY 2021","Currency=USD","Period=FY","BEST_FPERIOD_OVERRIDE=FY","FILING_STATUS=MR","SCALING_FORMAT=MLN","FA_ADJUSTED=Adjusted","Sort=A","Dates=H","DateFormat=P","Fill=—","Direction=H","UseDPDF=Y")</f>
        <v>#NAME?</v>
      </c>
      <c r="D57" t="e">
        <f ca="1">_xll.BDH("CAVA US Equity","EBITDA","FY 2022","FY 2022","Currency=USD","Period=FY","BEST_FPERIOD_OVERRIDE=FY","FILING_STATUS=MR","SCALING_FORMAT=MLN","FA_ADJUSTED=Adjusted","Sort=A","Dates=H","DateFormat=P","Fill=—","Direction=H","UseDPDF=Y")</f>
        <v>#NAME?</v>
      </c>
      <c r="E57" t="e">
        <f ca="1">_xll.BDH("CAVA US Equity","EBITDA","FY 2023","FY 2023","Currency=USD","Period=FY","BEST_FPERIOD_OVERRIDE=FY","FILING_STATUS=MR","SCALING_FORMAT=MLN","FA_ADJUSTED=Adjusted","Sort=A","Dates=H","DateFormat=P","Fill=—","Direction=H","UseDPDF=Y")</f>
        <v>#NAME?</v>
      </c>
      <c r="G57">
        <v>91.933000000000007</v>
      </c>
      <c r="H57">
        <v>114.75</v>
      </c>
    </row>
    <row r="58" spans="1:8" x14ac:dyDescent="0.25">
      <c r="A58" t="s">
        <v>171</v>
      </c>
      <c r="B58" t="s">
        <v>172</v>
      </c>
      <c r="C58" t="e">
        <f ca="1">_xll.BDH("CAVA US Equity","EBITDA_MARGIN","FY 2021","FY 2021","Currency=USD","Period=FY","BEST_FPERIOD_OVERRIDE=FY","FILING_STATUS=MR","FA_ADJUSTED=Adjusted","Sort=A","Dates=H","DateFormat=P","Fill=—","Direction=H","UseDPDF=Y")</f>
        <v>#NAME?</v>
      </c>
      <c r="D58" t="e">
        <f ca="1">_xll.BDH("CAVA US Equity","EBITDA_MARGIN","FY 2022","FY 2022","Currency=USD","Period=FY","BEST_FPERIOD_OVERRIDE=FY","FILING_STATUS=MR","FA_ADJUSTED=Adjusted","Sort=A","Dates=H","DateFormat=P","Fill=—","Direction=H","UseDPDF=Y")</f>
        <v>#NAME?</v>
      </c>
      <c r="E58" t="e">
        <f ca="1">_xll.BDH("CAVA US Equity","EBITDA_MARGIN","FY 2023","FY 2023","Currency=USD","Period=FY","BEST_FPERIOD_OVERRIDE=FY","FILING_STATUS=MR","FA_ADJUSTED=Adjusted","Sort=A","Dates=H","DateFormat=P","Fill=—","Direction=H","UseDPDF=Y")</f>
        <v>#NAME?</v>
      </c>
      <c r="G58">
        <v>10.5242130279393</v>
      </c>
      <c r="H58">
        <v>11.0459105584466</v>
      </c>
    </row>
    <row r="59" spans="1:8" x14ac:dyDescent="0.25">
      <c r="A59" t="s">
        <v>173</v>
      </c>
      <c r="B59" t="s">
        <v>173</v>
      </c>
      <c r="C59" t="e">
        <f ca="1">_xll.BDH("CAVA US Equity","EBITA","FY 2021","FY 2021","Currency=USD","Period=FY","BEST_FPERIOD_OVERRIDE=FY","FILING_STATUS=MR","SCALING_FORMAT=MLN","FA_ADJUSTED=Adjusted","Sort=A","Dates=H","DateFormat=P","Fill=—","Direction=H","UseDPDF=Y")</f>
        <v>#NAME?</v>
      </c>
      <c r="D59" t="e">
        <f ca="1">_xll.BDH("CAVA US Equity","EBITA","FY 2022","FY 2022","Currency=USD","Period=FY","BEST_FPERIOD_OVERRIDE=FY","FILING_STATUS=MR","SCALING_FORMAT=MLN","FA_ADJUSTED=Adjusted","Sort=A","Dates=H","DateFormat=P","Fill=—","Direction=H","UseDPDF=Y")</f>
        <v>#NAME?</v>
      </c>
      <c r="E59" t="e">
        <f ca="1">_xll.BDH("CAVA US Equity","EBITA","FY 2023","FY 2023","Currency=USD","Period=FY","BEST_FPERIOD_OVERRIDE=FY","FILING_STATUS=MR","SCALING_FORMAT=MLN","FA_ADJUSTED=Adjusted","Sort=A","Dates=H","DateFormat=P","Fill=—","Direction=H","UseDPDF=Y")</f>
        <v>#NAME?</v>
      </c>
      <c r="F59">
        <v>28.212</v>
      </c>
    </row>
    <row r="60" spans="1:8" x14ac:dyDescent="0.25">
      <c r="A60" t="s">
        <v>29</v>
      </c>
      <c r="B60" t="s">
        <v>29</v>
      </c>
      <c r="C60" t="e">
        <f ca="1">_xll.BDH("CAVA US Equity","EBIT","FY 2021","FY 2021","Currency=USD","Period=FY","BEST_FPERIOD_OVERRIDE=FY","FILING_STATUS=MR","SCALING_FORMAT=MLN","FA_ADJUSTED=Adjusted","Sort=A","Dates=H","DateFormat=P","Fill=—","Direction=H","UseDPDF=Y")</f>
        <v>#NAME?</v>
      </c>
      <c r="D60" t="e">
        <f ca="1">_xll.BDH("CAVA US Equity","EBIT","FY 2022","FY 2022","Currency=USD","Period=FY","BEST_FPERIOD_OVERRIDE=FY","FILING_STATUS=MR","SCALING_FORMAT=MLN","FA_ADJUSTED=Adjusted","Sort=A","Dates=H","DateFormat=P","Fill=—","Direction=H","UseDPDF=Y")</f>
        <v>#NAME?</v>
      </c>
      <c r="E60" t="e">
        <f ca="1">_xll.BDH("CAVA US Equity","EBIT","FY 2023","FY 2023","Currency=USD","Period=FY","BEST_FPERIOD_OVERRIDE=FY","FILING_STATUS=MR","SCALING_FORMAT=MLN","FA_ADJUSTED=Adjusted","Sort=A","Dates=H","DateFormat=P","Fill=—","Direction=H","UseDPDF=Y")</f>
        <v>#NAME?</v>
      </c>
      <c r="F60">
        <v>13.022</v>
      </c>
      <c r="G60">
        <v>14.032999999999999</v>
      </c>
      <c r="H60">
        <v>25.469000000000001</v>
      </c>
    </row>
    <row r="61" spans="1:8" x14ac:dyDescent="0.25">
      <c r="A61" t="s">
        <v>174</v>
      </c>
      <c r="B61" t="s">
        <v>175</v>
      </c>
      <c r="C61" t="e">
        <f ca="1">_xll.BDH("CAVA US Equity","GROSS_MARGIN","FY 2021","FY 2021","Currency=USD","Period=FY","BEST_FPERIOD_OVERRIDE=FY","FILING_STATUS=MR","FA_ADJUSTED=Adjusted","Sort=A","Dates=H","DateFormat=P","Fill=—","Direction=H","UseDPDF=Y")</f>
        <v>#NAME?</v>
      </c>
      <c r="D61" t="e">
        <f ca="1">_xll.BDH("CAVA US Equity","GROSS_MARGIN","FY 2022","FY 2022","Currency=USD","Period=FY","BEST_FPERIOD_OVERRIDE=FY","FILING_STATUS=MR","FA_ADJUSTED=Adjusted","Sort=A","Dates=H","DateFormat=P","Fill=—","Direction=H","UseDPDF=Y")</f>
        <v>#NAME?</v>
      </c>
      <c r="E61" t="e">
        <f ca="1">_xll.BDH("CAVA US Equity","GROSS_MARGIN","FY 2023","FY 2023","Currency=USD","Period=FY","BEST_FPERIOD_OVERRIDE=FY","FILING_STATUS=MR","FA_ADJUSTED=Adjusted","Sort=A","Dates=H","DateFormat=P","Fill=—","Direction=H","UseDPDF=Y")</f>
        <v>#NAME?</v>
      </c>
      <c r="G61">
        <v>42.9</v>
      </c>
      <c r="H61">
        <v>15</v>
      </c>
    </row>
    <row r="62" spans="1:8" x14ac:dyDescent="0.25">
      <c r="A62" t="s">
        <v>176</v>
      </c>
      <c r="B62" t="s">
        <v>177</v>
      </c>
      <c r="C62" t="e">
        <f ca="1">_xll.BDH("CAVA US Equity","OPER_MARGIN","FY 2021","FY 2021","Currency=USD","Period=FY","BEST_FPERIOD_OVERRIDE=FY","FILING_STATUS=MR","FA_ADJUSTED=Adjusted","Sort=A","Dates=H","DateFormat=P","Fill=—","Direction=H","UseDPDF=Y")</f>
        <v>#NAME?</v>
      </c>
      <c r="D62" t="e">
        <f ca="1">_xll.BDH("CAVA US Equity","OPER_MARGIN","FY 2022","FY 2022","Currency=USD","Period=FY","BEST_FPERIOD_OVERRIDE=FY","FILING_STATUS=MR","FA_ADJUSTED=Adjusted","Sort=A","Dates=H","DateFormat=P","Fill=—","Direction=H","UseDPDF=Y")</f>
        <v>#NAME?</v>
      </c>
      <c r="E62" t="e">
        <f ca="1">_xll.BDH("CAVA US Equity","OPER_MARGIN","FY 2023","FY 2023","Currency=USD","Period=FY","BEST_FPERIOD_OVERRIDE=FY","FILING_STATUS=MR","FA_ADJUSTED=Adjusted","Sort=A","Dates=H","DateFormat=P","Fill=—","Direction=H","UseDPDF=Y")</f>
        <v>#NAME?</v>
      </c>
      <c r="G62">
        <v>1.60645558636259</v>
      </c>
      <c r="H62">
        <v>2.4516627103536002</v>
      </c>
    </row>
    <row r="63" spans="1:8" x14ac:dyDescent="0.25">
      <c r="A63" t="s">
        <v>178</v>
      </c>
      <c r="B63" t="s">
        <v>179</v>
      </c>
      <c r="C63" t="e">
        <f ca="1">_xll.BDH("CAVA US Equity","PROF_MARGIN","FY 2021","FY 2021","Currency=USD","Period=FY","BEST_FPERIOD_OVERRIDE=FY","FILING_STATUS=MR","FA_ADJUSTED=Adjusted","Sort=A","Dates=H","DateFormat=P","Fill=—","Direction=H","UseDPDF=Y")</f>
        <v>#NAME?</v>
      </c>
      <c r="D63" t="e">
        <f ca="1">_xll.BDH("CAVA US Equity","PROF_MARGIN","FY 2022","FY 2022","Currency=USD","Period=FY","BEST_FPERIOD_OVERRIDE=FY","FILING_STATUS=MR","FA_ADJUSTED=Adjusted","Sort=A","Dates=H","DateFormat=P","Fill=—","Direction=H","UseDPDF=Y")</f>
        <v>#NAME?</v>
      </c>
      <c r="E63" t="e">
        <f ca="1">_xll.BDH("CAVA US Equity","PROF_MARGIN","FY 2023","FY 2023","Currency=USD","Period=FY","BEST_FPERIOD_OVERRIDE=FY","FILING_STATUS=MR","FA_ADJUSTED=Adjusted","Sort=A","Dates=H","DateFormat=P","Fill=—","Direction=H","UseDPDF=Y")</f>
        <v>#NAME?</v>
      </c>
      <c r="G63">
        <v>3.07279133821311</v>
      </c>
      <c r="H63">
        <v>3.5479753495705801</v>
      </c>
    </row>
    <row r="64" spans="1:8" x14ac:dyDescent="0.25">
      <c r="A64" t="s">
        <v>180</v>
      </c>
      <c r="B64" t="s">
        <v>181</v>
      </c>
      <c r="C64" t="e">
        <f ca="1">_xll.BDH("CAVA US Equity","EQY_DPS","FY 2021","FY 2021","Currency=USD","Period=FY","BEST_FPERIOD_OVERRIDE=FY","FILING_STATUS=MR","Sort=A","Dates=H","DateFormat=P","Fill=—","Direction=H","UseDPDF=Y")</f>
        <v>#NAME?</v>
      </c>
      <c r="D64" t="e">
        <f ca="1">_xll.BDH("CAVA US Equity","EQY_DPS","FY 2022","FY 2022","Currency=USD","Period=FY","BEST_FPERIOD_OVERRIDE=FY","FILING_STATUS=MR","Sort=A","Dates=H","DateFormat=P","Fill=—","Direction=H","UseDPDF=Y")</f>
        <v>#NAME?</v>
      </c>
      <c r="E64" t="e">
        <f ca="1">_xll.BDH("CAVA US Equity","EQY_DPS","FY 2023","FY 2023","Currency=USD","Period=FY","BEST_FPERIOD_OVERRIDE=FY","FILING_STATUS=MR","Sort=A","Dates=H","DateFormat=P","Fill=—","Direction=H","UseDPDF=Y")</f>
        <v>#NAME?</v>
      </c>
      <c r="G64">
        <v>0</v>
      </c>
      <c r="H64">
        <v>0</v>
      </c>
    </row>
    <row r="65" spans="1:6" x14ac:dyDescent="0.25">
      <c r="A65" t="s">
        <v>182</v>
      </c>
      <c r="B65" t="s">
        <v>183</v>
      </c>
      <c r="C65" t="e">
        <f ca="1">_xll.BDH("CAVA US Equity","IS_TOT_CASH_COM_DVD","FY 2021","FY 2021","Currency=USD","Period=FY","BEST_FPERIOD_OVERRIDE=FY","FILING_STATUS=MR","SCALING_FORMAT=MLN","Sort=A","Dates=H","DateFormat=P","Fill=—","Direction=H","UseDPDF=Y")</f>
        <v>#NAME?</v>
      </c>
      <c r="D65" t="e">
        <f ca="1">_xll.BDH("CAVA US Equity","IS_TOT_CASH_COM_DVD","FY 2022","FY 2022","Currency=USD","Period=FY","BEST_FPERIOD_OVERRIDE=FY","FILING_STATUS=MR","SCALING_FORMAT=MLN","Sort=A","Dates=H","DateFormat=P","Fill=—","Direction=H","UseDPDF=Y")</f>
        <v>#NAME?</v>
      </c>
      <c r="E65" t="e">
        <f ca="1">_xll.BDH("CAVA US Equity","IS_TOT_CASH_COM_DVD","FY 2023","FY 2023","Currency=USD","Period=FY","BEST_FPERIOD_OVERRIDE=FY","FILING_STATUS=MR","SCALING_FORMAT=MLN","Sort=A","Dates=H","DateFormat=P","Fill=—","Direction=H","UseDPDF=Y")</f>
        <v>#NAME?</v>
      </c>
    </row>
    <row r="66" spans="1:6" x14ac:dyDescent="0.25">
      <c r="A66" t="s">
        <v>184</v>
      </c>
      <c r="B66" t="s">
        <v>185</v>
      </c>
      <c r="C66" t="e">
        <f ca="1">_xll.BDH("CAVA US Equity","IS_DEPR_EXP","FY 2021","FY 2021","Currency=USD","Period=FY","BEST_FPERIOD_OVERRIDE=FY","FILING_STATUS=MR","SCALING_FORMAT=MLN","Sort=A","Dates=H","DateFormat=P","Fill=—","Direction=H","UseDPDF=Y")</f>
        <v>#NAME?</v>
      </c>
      <c r="D66" t="e">
        <f ca="1">_xll.BDH("CAVA US Equity","IS_DEPR_EXP","FY 2022","FY 2022","Currency=USD","Period=FY","BEST_FPERIOD_OVERRIDE=FY","FILING_STATUS=MR","SCALING_FORMAT=MLN","Sort=A","Dates=H","DateFormat=P","Fill=—","Direction=H","UseDPDF=Y")</f>
        <v>#NAME?</v>
      </c>
      <c r="E66" t="e">
        <f ca="1">_xll.BDH("CAVA US Equity","IS_DEPR_EXP","FY 2023","FY 2023","Currency=USD","Period=FY","BEST_FPERIOD_OVERRIDE=FY","FILING_STATUS=MR","SCALING_FORMAT=MLN","Sort=A","Dates=H","DateFormat=P","Fill=—","Direction=H","UseDPDF=Y")</f>
        <v>#NAME?</v>
      </c>
      <c r="F66">
        <v>23.864999999999998</v>
      </c>
    </row>
    <row r="67" spans="1:6" x14ac:dyDescent="0.25">
      <c r="A67" t="s">
        <v>186</v>
      </c>
      <c r="B67" t="s">
        <v>187</v>
      </c>
      <c r="C67" t="e">
        <f ca="1">_xll.BDH("CAVA US Equity","BS_CURR_RENTAL_EXPENSE","FY 2021","FY 2021","Currency=USD","Period=FY","BEST_FPERIOD_OVERRIDE=FY","FILING_STATUS=MR","SCALING_FORMAT=MLN","Sort=A","Dates=H","DateFormat=P","Fill=—","Direction=H","UseDPDF=Y")</f>
        <v>#NAME?</v>
      </c>
      <c r="D67" t="e">
        <f ca="1">_xll.BDH("CAVA US Equity","BS_CURR_RENTAL_EXPENSE","FY 2022","FY 2022","Currency=USD","Period=FY","BEST_FPERIOD_OVERRIDE=FY","FILING_STATUS=MR","SCALING_FORMAT=MLN","Sort=A","Dates=H","DateFormat=P","Fill=—","Direction=H","UseDPDF=Y")</f>
        <v>#NAME?</v>
      </c>
      <c r="E67" t="e">
        <f ca="1">_xll.BDH("CAVA US Equity","BS_CURR_RENTAL_EXPENSE","FY 2023","FY 2023","Currency=USD","Period=FY","BEST_FPERIOD_OVERRIDE=FY","FILING_STATUS=MR","SCALING_FORMAT=MLN","Sort=A","Dates=H","DateFormat=P","Fill=—","Direction=H","UseDPDF=Y")</f>
        <v>#NAME?</v>
      </c>
      <c r="F67">
        <v>35.573999999999998</v>
      </c>
    </row>
    <row r="68" spans="1:6" x14ac:dyDescent="0.25">
      <c r="A68" t="s">
        <v>188</v>
      </c>
      <c r="C68" t="s">
        <v>189</v>
      </c>
    </row>
  </sheetData>
  <pageMargins left="0.7" right="0.7" top="0.75" bottom="0.75" header="0.3" footer="0.3"/>
  <ignoredErrors>
    <ignoredError sqref="D6" evalError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0" tint="-4.9989318521683403E-2"/>
  </sheetPr>
  <dimension ref="A1:F63"/>
  <sheetViews>
    <sheetView workbookViewId="0"/>
  </sheetViews>
  <sheetFormatPr defaultRowHeight="15" x14ac:dyDescent="0.25"/>
  <cols>
    <col min="1" max="1" width="48" customWidth="1"/>
    <col min="2" max="2" width="39.85546875" customWidth="1"/>
    <col min="3" max="3" width="45.140625" customWidth="1"/>
    <col min="4" max="4" width="42.7109375" customWidth="1"/>
    <col min="5" max="5" width="29.140625" customWidth="1"/>
    <col min="6" max="6" width="44" customWidth="1"/>
  </cols>
  <sheetData>
    <row r="1" spans="1:6" x14ac:dyDescent="0.25">
      <c r="A1" t="s">
        <v>190</v>
      </c>
    </row>
    <row r="3" spans="1:6" x14ac:dyDescent="0.25">
      <c r="A3" t="s">
        <v>65</v>
      </c>
      <c r="C3" t="s">
        <v>66</v>
      </c>
      <c r="D3" t="s">
        <v>67</v>
      </c>
      <c r="E3" t="s">
        <v>68</v>
      </c>
      <c r="F3" t="s">
        <v>69</v>
      </c>
    </row>
    <row r="4" spans="1:6" x14ac:dyDescent="0.25">
      <c r="A4" t="s">
        <v>72</v>
      </c>
      <c r="C4" t="s">
        <v>73</v>
      </c>
      <c r="D4" t="s">
        <v>74</v>
      </c>
      <c r="E4" t="s">
        <v>75</v>
      </c>
      <c r="F4" t="s">
        <v>75</v>
      </c>
    </row>
    <row r="5" spans="1:6" x14ac:dyDescent="0.25">
      <c r="A5" t="s">
        <v>191</v>
      </c>
    </row>
    <row r="6" spans="1:6" x14ac:dyDescent="0.25">
      <c r="A6" t="s">
        <v>192</v>
      </c>
      <c r="B6" t="s">
        <v>193</v>
      </c>
      <c r="C6" t="e">
        <f ca="1">_xll.BDH("CAVA US Equity","CF_NET_INC","FY 2021","FY 2021","Currency=USD","Period=FY","BEST_FPERIOD_OVERRIDE=FY","FILING_STATUS=MR","SCALING_FORMAT=MLN","Sort=A","Dates=H","DateFormat=P","Fill=—","Direction=H","UseDPDF=Y")</f>
        <v>#NAME?</v>
      </c>
      <c r="D6" t="e">
        <f ca="1">_xll.BDH("CAVA US Equity","CF_NET_INC","FY 2022","FY 2022","Currency=USD","Period=FY","BEST_FPERIOD_OVERRIDE=FY","FILING_STATUS=MR","SCALING_FORMAT=MLN","Sort=A","Dates=H","DateFormat=P","Fill=—","Direction=H","UseDPDF=Y")</f>
        <v>#NAME?</v>
      </c>
      <c r="E6" t="e">
        <f ca="1">_xll.BDH("CAVA US Equity","CF_NET_INC","FY 2023","FY 2023","Currency=USD","Period=FY","BEST_FPERIOD_OVERRIDE=FY","FILING_STATUS=MR","SCALING_FORMAT=MLN","Sort=A","Dates=H","DateFormat=P","Fill=—","Direction=H","UseDPDF=Y")</f>
        <v>#NAME?</v>
      </c>
    </row>
    <row r="7" spans="1:6" x14ac:dyDescent="0.25">
      <c r="A7" t="s">
        <v>194</v>
      </c>
      <c r="B7" t="s">
        <v>195</v>
      </c>
      <c r="C7" t="e">
        <f ca="1">_xll.BDH("CAVA US Equity","CF_DEPR_AMORT","FY 2021","FY 2021","Currency=USD","Period=FY","BEST_FPERIOD_OVERRIDE=FY","FILING_STATUS=MR","SCALING_FORMAT=MLN","Sort=A","Dates=H","DateFormat=P","Fill=—","Direction=H","UseDPDF=Y")</f>
        <v>#NAME?</v>
      </c>
      <c r="D7" t="e">
        <f ca="1">_xll.BDH("CAVA US Equity","CF_DEPR_AMORT","FY 2022","FY 2022","Currency=USD","Period=FY","BEST_FPERIOD_OVERRIDE=FY","FILING_STATUS=MR","SCALING_FORMAT=MLN","Sort=A","Dates=H","DateFormat=P","Fill=—","Direction=H","UseDPDF=Y")</f>
        <v>#NAME?</v>
      </c>
      <c r="E7" t="e">
        <f ca="1">_xll.BDH("CAVA US Equity","CF_DEPR_AMORT","FY 2023","FY 2023","Currency=USD","Period=FY","BEST_FPERIOD_OVERRIDE=FY","FILING_STATUS=MR","SCALING_FORMAT=MLN","Sort=A","Dates=H","DateFormat=P","Fill=—","Direction=H","UseDPDF=Y")</f>
        <v>#NAME?</v>
      </c>
    </row>
    <row r="8" spans="1:6" x14ac:dyDescent="0.25">
      <c r="A8" t="s">
        <v>196</v>
      </c>
      <c r="B8" t="s">
        <v>197</v>
      </c>
      <c r="C8" t="e">
        <f ca="1">_xll.BDH("CAVA US Equity","NON_CASH_ITEMS_DETAILED","FY 2021","FY 2021","Currency=USD","Period=FY","BEST_FPERIOD_OVERRIDE=FY","FILING_STATUS=MR","SCALING_FORMAT=MLN","Sort=A","Dates=H","DateFormat=P","Fill=—","Direction=H","UseDPDF=Y")</f>
        <v>#NAME?</v>
      </c>
      <c r="D8" t="e">
        <f ca="1">_xll.BDH("CAVA US Equity","NON_CASH_ITEMS_DETAILED","FY 2022","FY 2022","Currency=USD","Period=FY","BEST_FPERIOD_OVERRIDE=FY","FILING_STATUS=MR","SCALING_FORMAT=MLN","Sort=A","Dates=H","DateFormat=P","Fill=—","Direction=H","UseDPDF=Y")</f>
        <v>#NAME?</v>
      </c>
      <c r="E8" t="e">
        <f ca="1">_xll.BDH("CAVA US Equity","NON_CASH_ITEMS_DETAILED","FY 2023","FY 2023","Currency=USD","Period=FY","BEST_FPERIOD_OVERRIDE=FY","FILING_STATUS=MR","SCALING_FORMAT=MLN","Sort=A","Dates=H","DateFormat=P","Fill=—","Direction=H","UseDPDF=Y")</f>
        <v>#NAME?</v>
      </c>
      <c r="F8">
        <v>10.113</v>
      </c>
    </row>
    <row r="9" spans="1:6" x14ac:dyDescent="0.25">
      <c r="A9" t="s">
        <v>198</v>
      </c>
      <c r="B9" t="s">
        <v>199</v>
      </c>
      <c r="C9" t="e">
        <f ca="1">_xll.BDH("CAVA US Equity","CF_STOCK_BASED_COMPENSATION","FY 2021","FY 2021","Currency=USD","Period=FY","BEST_FPERIOD_OVERRIDE=FY","FILING_STATUS=MR","SCALING_FORMAT=MLN","Sort=A","Dates=H","DateFormat=P","Fill=—","Direction=H","UseDPDF=Y")</f>
        <v>#NAME?</v>
      </c>
      <c r="D9" t="e">
        <f ca="1">_xll.BDH("CAVA US Equity","CF_STOCK_BASED_COMPENSATION","FY 2022","FY 2022","Currency=USD","Period=FY","BEST_FPERIOD_OVERRIDE=FY","FILING_STATUS=MR","SCALING_FORMAT=MLN","Sort=A","Dates=H","DateFormat=P","Fill=—","Direction=H","UseDPDF=Y")</f>
        <v>#NAME?</v>
      </c>
      <c r="E9" t="e">
        <f ca="1">_xll.BDH("CAVA US Equity","CF_STOCK_BASED_COMPENSATION","FY 2023","FY 2023","Currency=USD","Period=FY","BEST_FPERIOD_OVERRIDE=FY","FILING_STATUS=MR","SCALING_FORMAT=MLN","Sort=A","Dates=H","DateFormat=P","Fill=—","Direction=H","UseDPDF=Y")</f>
        <v>#NAME?</v>
      </c>
      <c r="F9">
        <v>6.6890000000000001</v>
      </c>
    </row>
    <row r="10" spans="1:6" x14ac:dyDescent="0.25">
      <c r="A10" t="s">
        <v>200</v>
      </c>
      <c r="B10" t="s">
        <v>201</v>
      </c>
      <c r="C10" t="e">
        <f ca="1">_xll.BDH("CAVA US Equity","CF_DEF_INC_TAX","FY 2021","FY 2021","Currency=USD","Period=FY","BEST_FPERIOD_OVERRIDE=FY","FILING_STATUS=MR","SCALING_FORMAT=MLN","Sort=A","Dates=H","DateFormat=P","Fill=—","Direction=H","UseDPDF=Y")</f>
        <v>#NAME?</v>
      </c>
      <c r="D10" t="e">
        <f ca="1">_xll.BDH("CAVA US Equity","CF_DEF_INC_TAX","FY 2022","FY 2022","Currency=USD","Period=FY","BEST_FPERIOD_OVERRIDE=FY","FILING_STATUS=MR","SCALING_FORMAT=MLN","Sort=A","Dates=H","DateFormat=P","Fill=—","Direction=H","UseDPDF=Y")</f>
        <v>#NAME?</v>
      </c>
      <c r="E10" t="e">
        <f ca="1">_xll.BDH("CAVA US Equity","CF_DEF_INC_TAX","FY 2023","FY 2023","Currency=USD","Period=FY","BEST_FPERIOD_OVERRIDE=FY","FILING_STATUS=MR","SCALING_FORMAT=MLN","Sort=A","Dates=H","DateFormat=P","Fill=—","Direction=H","UseDPDF=Y")</f>
        <v>#NAME?</v>
      </c>
    </row>
    <row r="11" spans="1:6" x14ac:dyDescent="0.25">
      <c r="A11" t="s">
        <v>202</v>
      </c>
      <c r="B11" t="s">
        <v>203</v>
      </c>
      <c r="C11" t="e">
        <f ca="1">_xll.BDH("CAVA US Equity","OTHER_NON_CASH_ADJ_LESS_DETAILED","FY 2021","FY 2021","Currency=USD","Period=FY","BEST_FPERIOD_OVERRIDE=FY","FILING_STATUS=MR","SCALING_FORMAT=MLN","Sort=A","Dates=H","DateFormat=P","Fill=—","Direction=H","UseDPDF=Y")</f>
        <v>#NAME?</v>
      </c>
      <c r="D11" t="e">
        <f ca="1">_xll.BDH("CAVA US Equity","OTHER_NON_CASH_ADJ_LESS_DETAILED","FY 2022","FY 2022","Currency=USD","Period=FY","BEST_FPERIOD_OVERRIDE=FY","FILING_STATUS=MR","SCALING_FORMAT=MLN","Sort=A","Dates=H","DateFormat=P","Fill=—","Direction=H","UseDPDF=Y")</f>
        <v>#NAME?</v>
      </c>
      <c r="E11" t="e">
        <f ca="1">_xll.BDH("CAVA US Equity","OTHER_NON_CASH_ADJ_LESS_DETAILED","FY 2023","FY 2023","Currency=USD","Period=FY","BEST_FPERIOD_OVERRIDE=FY","FILING_STATUS=MR","SCALING_FORMAT=MLN","Sort=A","Dates=H","DateFormat=P","Fill=—","Direction=H","UseDPDF=Y")</f>
        <v>#NAME?</v>
      </c>
      <c r="F11">
        <v>3.4239999999999999</v>
      </c>
    </row>
    <row r="12" spans="1:6" x14ac:dyDescent="0.25">
      <c r="A12" t="s">
        <v>204</v>
      </c>
      <c r="B12" t="s">
        <v>205</v>
      </c>
      <c r="C12" t="e">
        <f ca="1">_xll.BDH("CAVA US Equity","CF_CHNG_NON_CASH_WORK_CAP","FY 2021","FY 2021","Currency=USD","Period=FY","BEST_FPERIOD_OVERRIDE=FY","FILING_STATUS=MR","SCALING_FORMAT=MLN","Sort=A","Dates=H","DateFormat=P","Fill=—","Direction=H","UseDPDF=Y")</f>
        <v>#NAME?</v>
      </c>
      <c r="D12" t="e">
        <f ca="1">_xll.BDH("CAVA US Equity","CF_CHNG_NON_CASH_WORK_CAP","FY 2022","FY 2022","Currency=USD","Period=FY","BEST_FPERIOD_OVERRIDE=FY","FILING_STATUS=MR","SCALING_FORMAT=MLN","Sort=A","Dates=H","DateFormat=P","Fill=—","Direction=H","UseDPDF=Y")</f>
        <v>#NAME?</v>
      </c>
      <c r="E12" t="e">
        <f ca="1">_xll.BDH("CAVA US Equity","CF_CHNG_NON_CASH_WORK_CAP","FY 2023","FY 2023","Currency=USD","Period=FY","BEST_FPERIOD_OVERRIDE=FY","FILING_STATUS=MR","SCALING_FORMAT=MLN","Sort=A","Dates=H","DateFormat=P","Fill=—","Direction=H","UseDPDF=Y")</f>
        <v>#NAME?</v>
      </c>
    </row>
    <row r="13" spans="1:6" x14ac:dyDescent="0.25">
      <c r="A13" t="s">
        <v>206</v>
      </c>
      <c r="B13" t="s">
        <v>207</v>
      </c>
      <c r="C13" t="e">
        <f ca="1">_xll.BDH("CAVA US Equity","CF_ACCT_RCV_UNBILLED_REV","FY 2021","FY 2021","Currency=USD","Period=FY","BEST_FPERIOD_OVERRIDE=FY","FILING_STATUS=MR","SCALING_FORMAT=MLN","Sort=A","Dates=H","DateFormat=P","Fill=—","Direction=H","UseDPDF=Y")</f>
        <v>#NAME?</v>
      </c>
      <c r="D13" t="e">
        <f ca="1">_xll.BDH("CAVA US Equity","CF_ACCT_RCV_UNBILLED_REV","FY 2022","FY 2022","Currency=USD","Period=FY","BEST_FPERIOD_OVERRIDE=FY","FILING_STATUS=MR","SCALING_FORMAT=MLN","Sort=A","Dates=H","DateFormat=P","Fill=—","Direction=H","UseDPDF=Y")</f>
        <v>#NAME?</v>
      </c>
      <c r="E13" t="e">
        <f ca="1">_xll.BDH("CAVA US Equity","CF_ACCT_RCV_UNBILLED_REV","FY 2023","FY 2023","Currency=USD","Period=FY","BEST_FPERIOD_OVERRIDE=FY","FILING_STATUS=MR","SCALING_FORMAT=MLN","Sort=A","Dates=H","DateFormat=P","Fill=—","Direction=H","UseDPDF=Y")</f>
        <v>#NAME?</v>
      </c>
    </row>
    <row r="14" spans="1:6" x14ac:dyDescent="0.25">
      <c r="A14" t="s">
        <v>208</v>
      </c>
      <c r="B14" t="s">
        <v>209</v>
      </c>
      <c r="C14" t="e">
        <f ca="1">_xll.BDH("CAVA US Equity","CF_CHANGE_IN_INVENTORIES","FY 2021","FY 2021","Currency=USD","Period=FY","BEST_FPERIOD_OVERRIDE=FY","FILING_STATUS=MR","SCALING_FORMAT=MLN","Sort=A","Dates=H","DateFormat=P","Fill=—","Direction=H","UseDPDF=Y")</f>
        <v>#NAME?</v>
      </c>
      <c r="D14" t="e">
        <f ca="1">_xll.BDH("CAVA US Equity","CF_CHANGE_IN_INVENTORIES","FY 2022","FY 2022","Currency=USD","Period=FY","BEST_FPERIOD_OVERRIDE=FY","FILING_STATUS=MR","SCALING_FORMAT=MLN","Sort=A","Dates=H","DateFormat=P","Fill=—","Direction=H","UseDPDF=Y")</f>
        <v>#NAME?</v>
      </c>
      <c r="E14" t="e">
        <f ca="1">_xll.BDH("CAVA US Equity","CF_CHANGE_IN_INVENTORIES","FY 2023","FY 2023","Currency=USD","Period=FY","BEST_FPERIOD_OVERRIDE=FY","FILING_STATUS=MR","SCALING_FORMAT=MLN","Sort=A","Dates=H","DateFormat=P","Fill=—","Direction=H","UseDPDF=Y")</f>
        <v>#NAME?</v>
      </c>
    </row>
    <row r="15" spans="1:6" x14ac:dyDescent="0.25">
      <c r="A15" t="s">
        <v>210</v>
      </c>
      <c r="B15" t="s">
        <v>211</v>
      </c>
      <c r="C15" t="e">
        <f ca="1">_xll.BDH("CAVA US Equity","CF_CHANGE_IN_ACCOUNTS_PAYABLE","FY 2021","FY 2021","Currency=USD","Period=FY","BEST_FPERIOD_OVERRIDE=FY","FILING_STATUS=MR","SCALING_FORMAT=MLN","Sort=A","Dates=H","DateFormat=P","Fill=—","Direction=H","UseDPDF=Y")</f>
        <v>#NAME?</v>
      </c>
      <c r="D15" t="e">
        <f ca="1">_xll.BDH("CAVA US Equity","CF_CHANGE_IN_ACCOUNTS_PAYABLE","FY 2022","FY 2022","Currency=USD","Period=FY","BEST_FPERIOD_OVERRIDE=FY","FILING_STATUS=MR","SCALING_FORMAT=MLN","Sort=A","Dates=H","DateFormat=P","Fill=—","Direction=H","UseDPDF=Y")</f>
        <v>#NAME?</v>
      </c>
      <c r="E15" t="e">
        <f ca="1">_xll.BDH("CAVA US Equity","CF_CHANGE_IN_ACCOUNTS_PAYABLE","FY 2023","FY 2023","Currency=USD","Period=FY","BEST_FPERIOD_OVERRIDE=FY","FILING_STATUS=MR","SCALING_FORMAT=MLN","Sort=A","Dates=H","DateFormat=P","Fill=—","Direction=H","UseDPDF=Y")</f>
        <v>#NAME?</v>
      </c>
      <c r="F15">
        <v>2.83</v>
      </c>
    </row>
    <row r="16" spans="1:6" x14ac:dyDescent="0.25">
      <c r="A16" t="s">
        <v>212</v>
      </c>
      <c r="B16" t="s">
        <v>213</v>
      </c>
      <c r="C16" t="e">
        <f ca="1">_xll.BDH("CAVA US Equity","INC_DEC_IN_OT_OP_AST_LIAB_DETAIL","FY 2021","FY 2021","Currency=USD","Period=FY","BEST_FPERIOD_OVERRIDE=FY","FILING_STATUS=MR","SCALING_FORMAT=MLN","Sort=A","Dates=H","DateFormat=P","Fill=—","Direction=H","UseDPDF=Y")</f>
        <v>#NAME?</v>
      </c>
      <c r="D16" t="e">
        <f ca="1">_xll.BDH("CAVA US Equity","INC_DEC_IN_OT_OP_AST_LIAB_DETAIL","FY 2022","FY 2022","Currency=USD","Period=FY","BEST_FPERIOD_OVERRIDE=FY","FILING_STATUS=MR","SCALING_FORMAT=MLN","Sort=A","Dates=H","DateFormat=P","Fill=—","Direction=H","UseDPDF=Y")</f>
        <v>#NAME?</v>
      </c>
      <c r="E16" t="e">
        <f ca="1">_xll.BDH("CAVA US Equity","INC_DEC_IN_OT_OP_AST_LIAB_DETAIL","FY 2023","FY 2023","Currency=USD","Period=FY","BEST_FPERIOD_OVERRIDE=FY","FILING_STATUS=MR","SCALING_FORMAT=MLN","Sort=A","Dates=H","DateFormat=P","Fill=—","Direction=H","UseDPDF=Y")</f>
        <v>#NAME?</v>
      </c>
      <c r="F16">
        <v>3.9180000000000001</v>
      </c>
    </row>
    <row r="17" spans="1:6" x14ac:dyDescent="0.25">
      <c r="A17" t="s">
        <v>214</v>
      </c>
      <c r="B17" t="s">
        <v>215</v>
      </c>
      <c r="C17" t="e">
        <f ca="1">_xll.BDH("CAVA US Equity","CF_NET_CASH_DISCONT_OPS_OPER","FY 2021","FY 2021","Currency=USD","Period=FY","BEST_FPERIOD_OVERRIDE=FY","FILING_STATUS=MR","SCALING_FORMAT=MLN","Sort=A","Dates=H","DateFormat=P","Fill=—","Direction=H","UseDPDF=Y")</f>
        <v>#NAME?</v>
      </c>
      <c r="D17" t="e">
        <f ca="1">_xll.BDH("CAVA US Equity","CF_NET_CASH_DISCONT_OPS_OPER","FY 2022","FY 2022","Currency=USD","Period=FY","BEST_FPERIOD_OVERRIDE=FY","FILING_STATUS=MR","SCALING_FORMAT=MLN","Sort=A","Dates=H","DateFormat=P","Fill=—","Direction=H","UseDPDF=Y")</f>
        <v>#NAME?</v>
      </c>
      <c r="E17" t="e">
        <f ca="1">_xll.BDH("CAVA US Equity","CF_NET_CASH_DISCONT_OPS_OPER","FY 2023","FY 2023","Currency=USD","Period=FY","BEST_FPERIOD_OVERRIDE=FY","FILING_STATUS=MR","SCALING_FORMAT=MLN","Sort=A","Dates=H","DateFormat=P","Fill=—","Direction=H","UseDPDF=Y")</f>
        <v>#NAME?</v>
      </c>
      <c r="F17">
        <v>0</v>
      </c>
    </row>
    <row r="18" spans="1:6" x14ac:dyDescent="0.25">
      <c r="A18" t="s">
        <v>191</v>
      </c>
      <c r="B18" t="s">
        <v>216</v>
      </c>
      <c r="C18" t="e">
        <f ca="1">_xll.BDH("CAVA US Equity","CF_CASH_FROM_OPER","FY 2021","FY 2021","Currency=USD","Period=FY","BEST_FPERIOD_OVERRIDE=FY","FILING_STATUS=MR","SCALING_FORMAT=MLN","Sort=A","Dates=H","DateFormat=P","Fill=—","Direction=H","UseDPDF=Y")</f>
        <v>#NAME?</v>
      </c>
      <c r="D18" t="e">
        <f ca="1">_xll.BDH("CAVA US Equity","CF_CASH_FROM_OPER","FY 2022","FY 2022","Currency=USD","Period=FY","BEST_FPERIOD_OVERRIDE=FY","FILING_STATUS=MR","SCALING_FORMAT=MLN","Sort=A","Dates=H","DateFormat=P","Fill=—","Direction=H","UseDPDF=Y")</f>
        <v>#NAME?</v>
      </c>
      <c r="E18" t="e">
        <f ca="1">_xll.BDH("CAVA US Equity","CF_CASH_FROM_OPER","FY 2023","FY 2023","Currency=USD","Period=FY","BEST_FPERIOD_OVERRIDE=FY","FILING_STATUS=MR","SCALING_FORMAT=MLN","Sort=A","Dates=H","DateFormat=P","Fill=—","Direction=H","UseDPDF=Y")</f>
        <v>#NAME?</v>
      </c>
    </row>
    <row r="20" spans="1:6" x14ac:dyDescent="0.25">
      <c r="A20" t="s">
        <v>217</v>
      </c>
    </row>
    <row r="21" spans="1:6" x14ac:dyDescent="0.25">
      <c r="A21" t="s">
        <v>218</v>
      </c>
      <c r="B21" t="s">
        <v>219</v>
      </c>
      <c r="C21" t="e">
        <f ca="1">_xll.BDH("CAVA US Equity","FIXED_INTANG_ASST_CHANGE","FY 2021","FY 2021","Currency=USD","Period=FY","BEST_FPERIOD_OVERRIDE=FY","FILING_STATUS=MR","SCALING_FORMAT=MLN","Sort=A","Dates=H","DateFormat=P","Fill=—","Direction=H","UseDPDF=Y")</f>
        <v>#NAME?</v>
      </c>
      <c r="D21" t="e">
        <f ca="1">_xll.BDH("CAVA US Equity","FIXED_INTANG_ASST_CHANGE","FY 2022","FY 2022","Currency=USD","Period=FY","BEST_FPERIOD_OVERRIDE=FY","FILING_STATUS=MR","SCALING_FORMAT=MLN","Sort=A","Dates=H","DateFormat=P","Fill=—","Direction=H","UseDPDF=Y")</f>
        <v>#NAME?</v>
      </c>
      <c r="E21" t="e">
        <f ca="1">_xll.BDH("CAVA US Equity","FIXED_INTANG_ASST_CHANGE","FY 2023","FY 2023","Currency=USD","Period=FY","BEST_FPERIOD_OVERRIDE=FY","FILING_STATUS=MR","SCALING_FORMAT=MLN","Sort=A","Dates=H","DateFormat=P","Fill=—","Direction=H","UseDPDF=Y")</f>
        <v>#NAME?</v>
      </c>
      <c r="F21">
        <v>-66.328000000000003</v>
      </c>
    </row>
    <row r="22" spans="1:6" x14ac:dyDescent="0.25">
      <c r="A22" t="s">
        <v>220</v>
      </c>
      <c r="B22" t="s">
        <v>221</v>
      </c>
      <c r="C22" t="e">
        <f ca="1">_xll.BDH("CAVA US Equity","DISPOSAL_OF_FIXED_INTANG","FY 2021","FY 2021","Currency=USD","Period=FY","BEST_FPERIOD_OVERRIDE=FY","FILING_STATUS=MR","SCALING_FORMAT=MLN","Sort=A","Dates=H","DateFormat=P","Fill=—","Direction=H","UseDPDF=Y")</f>
        <v>#NAME?</v>
      </c>
      <c r="D22" t="e">
        <f ca="1">_xll.BDH("CAVA US Equity","DISPOSAL_OF_FIXED_INTANG","FY 2022","FY 2022","Currency=USD","Period=FY","BEST_FPERIOD_OVERRIDE=FY","FILING_STATUS=MR","SCALING_FORMAT=MLN","Sort=A","Dates=H","DateFormat=P","Fill=—","Direction=H","UseDPDF=Y")</f>
        <v>#NAME?</v>
      </c>
      <c r="E22" t="e">
        <f ca="1">_xll.BDH("CAVA US Equity","DISPOSAL_OF_FIXED_INTANG","FY 2023","FY 2023","Currency=USD","Period=FY","BEST_FPERIOD_OVERRIDE=FY","FILING_STATUS=MR","SCALING_FORMAT=MLN","Sort=A","Dates=H","DateFormat=P","Fill=—","Direction=H","UseDPDF=Y")</f>
        <v>#NAME?</v>
      </c>
      <c r="F22">
        <v>0</v>
      </c>
    </row>
    <row r="23" spans="1:6" x14ac:dyDescent="0.25">
      <c r="A23" t="s">
        <v>222</v>
      </c>
      <c r="B23" t="s">
        <v>223</v>
      </c>
      <c r="C23" t="e">
        <f ca="1">_xll.BDH("CAVA US Equity","CF_DISPOSAL_OF_FIXED_PROD_ASSETS","FY 2021","FY 2021","Currency=USD","Period=FY","BEST_FPERIOD_OVERRIDE=FY","FILING_STATUS=MR","SCALING_FORMAT=MLN","Sort=A","Dates=H","DateFormat=P","Fill=—","Direction=H","UseDPDF=Y")</f>
        <v>#NAME?</v>
      </c>
      <c r="D23" t="e">
        <f ca="1">_xll.BDH("CAVA US Equity","CF_DISPOSAL_OF_FIXED_PROD_ASSETS","FY 2022","FY 2022","Currency=USD","Period=FY","BEST_FPERIOD_OVERRIDE=FY","FILING_STATUS=MR","SCALING_FORMAT=MLN","Sort=A","Dates=H","DateFormat=P","Fill=—","Direction=H","UseDPDF=Y")</f>
        <v>#NAME?</v>
      </c>
      <c r="E23" t="e">
        <f ca="1">_xll.BDH("CAVA US Equity","CF_DISPOSAL_OF_FIXED_PROD_ASSETS","FY 2023","FY 2023","Currency=USD","Period=FY","BEST_FPERIOD_OVERRIDE=FY","FILING_STATUS=MR","SCALING_FORMAT=MLN","Sort=A","Dates=H","DateFormat=P","Fill=—","Direction=H","UseDPDF=Y")</f>
        <v>#NAME?</v>
      </c>
      <c r="F23">
        <v>0</v>
      </c>
    </row>
    <row r="24" spans="1:6" x14ac:dyDescent="0.25">
      <c r="A24" t="s">
        <v>224</v>
      </c>
      <c r="B24" t="s">
        <v>225</v>
      </c>
      <c r="C24" t="e">
        <f ca="1">_xll.BDH("CAVA US Equity","CF_DISPOSAL_OF_INTANGIBLE_ASSETS","FY 2021","FY 2021","Currency=USD","Period=FY","BEST_FPERIOD_OVERRIDE=FY","FILING_STATUS=MR","SCALING_FORMAT=MLN","Sort=A","Dates=H","DateFormat=P","Fill=—","Direction=H","UseDPDF=Y")</f>
        <v>#NAME?</v>
      </c>
      <c r="D24" t="e">
        <f ca="1">_xll.BDH("CAVA US Equity","CF_DISPOSAL_OF_INTANGIBLE_ASSETS","FY 2022","FY 2022","Currency=USD","Period=FY","BEST_FPERIOD_OVERRIDE=FY","FILING_STATUS=MR","SCALING_FORMAT=MLN","Sort=A","Dates=H","DateFormat=P","Fill=—","Direction=H","UseDPDF=Y")</f>
        <v>#NAME?</v>
      </c>
      <c r="E24" t="e">
        <f ca="1">_xll.BDH("CAVA US Equity","CF_DISPOSAL_OF_INTANGIBLE_ASSETS","FY 2023","FY 2023","Currency=USD","Period=FY","BEST_FPERIOD_OVERRIDE=FY","FILING_STATUS=MR","SCALING_FORMAT=MLN","Sort=A","Dates=H","DateFormat=P","Fill=—","Direction=H","UseDPDF=Y")</f>
        <v>#NAME?</v>
      </c>
      <c r="F24">
        <v>0</v>
      </c>
    </row>
    <row r="25" spans="1:6" x14ac:dyDescent="0.25">
      <c r="A25" t="s">
        <v>226</v>
      </c>
      <c r="B25" t="s">
        <v>227</v>
      </c>
      <c r="C25" t="e">
        <f ca="1">_xll.BDH("CAVA US Equity","ACQUIS_OF_FIXED_INTANG","FY 2021","FY 2021","Currency=USD","Period=FY","BEST_FPERIOD_OVERRIDE=FY","FILING_STATUS=MR","SCALING_FORMAT=MLN","Sort=A","Dates=H","DateFormat=P","Fill=—","Direction=H","UseDPDF=Y")</f>
        <v>#NAME?</v>
      </c>
      <c r="D25" t="e">
        <f ca="1">_xll.BDH("CAVA US Equity","ACQUIS_OF_FIXED_INTANG","FY 2022","FY 2022","Currency=USD","Period=FY","BEST_FPERIOD_OVERRIDE=FY","FILING_STATUS=MR","SCALING_FORMAT=MLN","Sort=A","Dates=H","DateFormat=P","Fill=—","Direction=H","UseDPDF=Y")</f>
        <v>#NAME?</v>
      </c>
      <c r="E25" t="e">
        <f ca="1">_xll.BDH("CAVA US Equity","ACQUIS_OF_FIXED_INTANG","FY 2023","FY 2023","Currency=USD","Period=FY","BEST_FPERIOD_OVERRIDE=FY","FILING_STATUS=MR","SCALING_FORMAT=MLN","Sort=A","Dates=H","DateFormat=P","Fill=—","Direction=H","UseDPDF=Y")</f>
        <v>#NAME?</v>
      </c>
      <c r="F25">
        <v>-66.328000000000003</v>
      </c>
    </row>
    <row r="26" spans="1:6" x14ac:dyDescent="0.25">
      <c r="A26" t="s">
        <v>228</v>
      </c>
      <c r="B26" t="s">
        <v>229</v>
      </c>
      <c r="C26" t="e">
        <f ca="1">_xll.BDH("CAVA US Equity","CF_PURCHASE_OF_FIXED_PROD_ASSETS","FY 2021","FY 2021","Currency=USD","Period=FY","BEST_FPERIOD_OVERRIDE=FY","FILING_STATUS=MR","SCALING_FORMAT=MLN","Sort=A","Dates=H","DateFormat=P","Fill=—","Direction=H","UseDPDF=Y")</f>
        <v>#NAME?</v>
      </c>
      <c r="D26" t="e">
        <f ca="1">_xll.BDH("CAVA US Equity","CF_PURCHASE_OF_FIXED_PROD_ASSETS","FY 2022","FY 2022","Currency=USD","Period=FY","BEST_FPERIOD_OVERRIDE=FY","FILING_STATUS=MR","SCALING_FORMAT=MLN","Sort=A","Dates=H","DateFormat=P","Fill=—","Direction=H","UseDPDF=Y")</f>
        <v>#NAME?</v>
      </c>
      <c r="E26" t="e">
        <f ca="1">_xll.BDH("CAVA US Equity","CF_PURCHASE_OF_FIXED_PROD_ASSETS","FY 2023","FY 2023","Currency=USD","Period=FY","BEST_FPERIOD_OVERRIDE=FY","FILING_STATUS=MR","SCALING_FORMAT=MLN","Sort=A","Dates=H","DateFormat=P","Fill=—","Direction=H","UseDPDF=Y")</f>
        <v>#NAME?</v>
      </c>
      <c r="F26">
        <v>-66.328000000000003</v>
      </c>
    </row>
    <row r="27" spans="1:6" x14ac:dyDescent="0.25">
      <c r="A27" t="s">
        <v>230</v>
      </c>
      <c r="B27" t="s">
        <v>231</v>
      </c>
      <c r="C27" t="e">
        <f ca="1">_xll.BDH("CAVA US Equity","CF_ACQUISITION_OF_INTANG_ASSETS","FY 2021","FY 2021","Currency=USD","Period=FY","BEST_FPERIOD_OVERRIDE=FY","FILING_STATUS=MR","SCALING_FORMAT=MLN","Sort=A","Dates=H","DateFormat=P","Fill=—","Direction=H","UseDPDF=Y")</f>
        <v>#NAME?</v>
      </c>
      <c r="D27" t="e">
        <f ca="1">_xll.BDH("CAVA US Equity","CF_ACQUISITION_OF_INTANG_ASSETS","FY 2022","FY 2022","Currency=USD","Period=FY","BEST_FPERIOD_OVERRIDE=FY","FILING_STATUS=MR","SCALING_FORMAT=MLN","Sort=A","Dates=H","DateFormat=P","Fill=—","Direction=H","UseDPDF=Y")</f>
        <v>#NAME?</v>
      </c>
      <c r="E27" t="e">
        <f ca="1">_xll.BDH("CAVA US Equity","CF_ACQUISITION_OF_INTANG_ASSETS","FY 2023","FY 2023","Currency=USD","Period=FY","BEST_FPERIOD_OVERRIDE=FY","FILING_STATUS=MR","SCALING_FORMAT=MLN","Sort=A","Dates=H","DateFormat=P","Fill=—","Direction=H","UseDPDF=Y")</f>
        <v>#NAME?</v>
      </c>
      <c r="F27">
        <v>0</v>
      </c>
    </row>
    <row r="28" spans="1:6" x14ac:dyDescent="0.25">
      <c r="A28" t="s">
        <v>232</v>
      </c>
      <c r="B28" t="s">
        <v>233</v>
      </c>
      <c r="C28" t="e">
        <f ca="1">_xll.BDH("CAVA US Equity","NET_CHG_IN_LT_INVEST_DETAILED","FY 2021","FY 2021","Currency=USD","Period=FY","BEST_FPERIOD_OVERRIDE=FY","FILING_STATUS=MR","SCALING_FORMAT=MLN","Sort=A","Dates=H","DateFormat=P","Fill=—","Direction=H","UseDPDF=Y")</f>
        <v>#NAME?</v>
      </c>
      <c r="D28" t="e">
        <f ca="1">_xll.BDH("CAVA US Equity","NET_CHG_IN_LT_INVEST_DETAILED","FY 2022","FY 2022","Currency=USD","Period=FY","BEST_FPERIOD_OVERRIDE=FY","FILING_STATUS=MR","SCALING_FORMAT=MLN","Sort=A","Dates=H","DateFormat=P","Fill=—","Direction=H","UseDPDF=Y")</f>
        <v>#NAME?</v>
      </c>
      <c r="E28" t="e">
        <f ca="1">_xll.BDH("CAVA US Equity","NET_CHG_IN_LT_INVEST_DETAILED","FY 2023","FY 2023","Currency=USD","Period=FY","BEST_FPERIOD_OVERRIDE=FY","FILING_STATUS=MR","SCALING_FORMAT=MLN","Sort=A","Dates=H","DateFormat=P","Fill=—","Direction=H","UseDPDF=Y")</f>
        <v>#NAME?</v>
      </c>
      <c r="F28">
        <v>0</v>
      </c>
    </row>
    <row r="29" spans="1:6" x14ac:dyDescent="0.25">
      <c r="A29" t="s">
        <v>234</v>
      </c>
      <c r="B29" t="s">
        <v>235</v>
      </c>
      <c r="C29" t="e">
        <f ca="1">_xll.BDH("CAVA US Equity","CF_DECR_INVEST","FY 2021","FY 2021","Currency=USD","Period=FY","BEST_FPERIOD_OVERRIDE=FY","FILING_STATUS=MR","SCALING_FORMAT=MLN","Sort=A","Dates=H","DateFormat=P","Fill=—","Direction=H","UseDPDF=Y")</f>
        <v>#NAME?</v>
      </c>
      <c r="D29" t="e">
        <f ca="1">_xll.BDH("CAVA US Equity","CF_DECR_INVEST","FY 2022","FY 2022","Currency=USD","Period=FY","BEST_FPERIOD_OVERRIDE=FY","FILING_STATUS=MR","SCALING_FORMAT=MLN","Sort=A","Dates=H","DateFormat=P","Fill=—","Direction=H","UseDPDF=Y")</f>
        <v>#NAME?</v>
      </c>
      <c r="E29" t="e">
        <f ca="1">_xll.BDH("CAVA US Equity","CF_DECR_INVEST","FY 2023","FY 2023","Currency=USD","Period=FY","BEST_FPERIOD_OVERRIDE=FY","FILING_STATUS=MR","SCALING_FORMAT=MLN","Sort=A","Dates=H","DateFormat=P","Fill=—","Direction=H","UseDPDF=Y")</f>
        <v>#NAME?</v>
      </c>
    </row>
    <row r="30" spans="1:6" x14ac:dyDescent="0.25">
      <c r="A30" t="s">
        <v>236</v>
      </c>
      <c r="B30" t="s">
        <v>237</v>
      </c>
      <c r="C30" t="e">
        <f ca="1">_xll.BDH("CAVA US Equity","CF_INCR_INVEST","FY 2021","FY 2021","Currency=USD","Period=FY","BEST_FPERIOD_OVERRIDE=FY","FILING_STATUS=MR","SCALING_FORMAT=MLN","Sort=A","Dates=H","DateFormat=P","Fill=—","Direction=H","UseDPDF=Y")</f>
        <v>#NAME?</v>
      </c>
      <c r="D30" t="e">
        <f ca="1">_xll.BDH("CAVA US Equity","CF_INCR_INVEST","FY 2022","FY 2022","Currency=USD","Period=FY","BEST_FPERIOD_OVERRIDE=FY","FILING_STATUS=MR","SCALING_FORMAT=MLN","Sort=A","Dates=H","DateFormat=P","Fill=—","Direction=H","UseDPDF=Y")</f>
        <v>#NAME?</v>
      </c>
      <c r="E30" t="e">
        <f ca="1">_xll.BDH("CAVA US Equity","CF_INCR_INVEST","FY 2023","FY 2023","Currency=USD","Period=FY","BEST_FPERIOD_OVERRIDE=FY","FILING_STATUS=MR","SCALING_FORMAT=MLN","Sort=A","Dates=H","DateFormat=P","Fill=—","Direction=H","UseDPDF=Y")</f>
        <v>#NAME?</v>
      </c>
    </row>
    <row r="31" spans="1:6" x14ac:dyDescent="0.25">
      <c r="A31" t="s">
        <v>238</v>
      </c>
      <c r="B31" t="s">
        <v>239</v>
      </c>
      <c r="C31" t="e">
        <f ca="1">_xll.BDH("CAVA US Equity","CF_NT_CSH_RCVD_PD_FOR_ACQUIS_DIV","FY 2021","FY 2021","Currency=USD","Period=FY","BEST_FPERIOD_OVERRIDE=FY","FILING_STATUS=MR","SCALING_FORMAT=MLN","Sort=A","Dates=H","DateFormat=P","Fill=—","Direction=H","UseDPDF=Y")</f>
        <v>#NAME?</v>
      </c>
      <c r="D31" t="e">
        <f ca="1">_xll.BDH("CAVA US Equity","CF_NT_CSH_RCVD_PD_FOR_ACQUIS_DIV","FY 2022","FY 2022","Currency=USD","Period=FY","BEST_FPERIOD_OVERRIDE=FY","FILING_STATUS=MR","SCALING_FORMAT=MLN","Sort=A","Dates=H","DateFormat=P","Fill=—","Direction=H","UseDPDF=Y")</f>
        <v>#NAME?</v>
      </c>
      <c r="E31" t="e">
        <f ca="1">_xll.BDH("CAVA US Equity","CF_NT_CSH_RCVD_PD_FOR_ACQUIS_DIV","FY 2023","FY 2023","Currency=USD","Period=FY","BEST_FPERIOD_OVERRIDE=FY","FILING_STATUS=MR","SCALING_FORMAT=MLN","Sort=A","Dates=H","DateFormat=P","Fill=—","Direction=H","UseDPDF=Y")</f>
        <v>#NAME?</v>
      </c>
      <c r="F31">
        <v>0</v>
      </c>
    </row>
    <row r="32" spans="1:6" x14ac:dyDescent="0.25">
      <c r="A32" t="s">
        <v>240</v>
      </c>
      <c r="B32" t="s">
        <v>241</v>
      </c>
      <c r="C32" t="e">
        <f ca="1">_xll.BDH("CAVA US Equity","CF_CASH_FOR_DIVESTITURES","FY 2021","FY 2021","Currency=USD","Period=FY","BEST_FPERIOD_OVERRIDE=FY","FILING_STATUS=MR","SCALING_FORMAT=MLN","Sort=A","Dates=H","DateFormat=P","Fill=—","Direction=H","UseDPDF=Y")</f>
        <v>#NAME?</v>
      </c>
      <c r="D32" t="e">
        <f ca="1">_xll.BDH("CAVA US Equity","CF_CASH_FOR_DIVESTITURES","FY 2022","FY 2022","Currency=USD","Period=FY","BEST_FPERIOD_OVERRIDE=FY","FILING_STATUS=MR","SCALING_FORMAT=MLN","Sort=A","Dates=H","DateFormat=P","Fill=—","Direction=H","UseDPDF=Y")</f>
        <v>#NAME?</v>
      </c>
      <c r="E32" t="e">
        <f ca="1">_xll.BDH("CAVA US Equity","CF_CASH_FOR_DIVESTITURES","FY 2023","FY 2023","Currency=USD","Period=FY","BEST_FPERIOD_OVERRIDE=FY","FILING_STATUS=MR","SCALING_FORMAT=MLN","Sort=A","Dates=H","DateFormat=P","Fill=—","Direction=H","UseDPDF=Y")</f>
        <v>#NAME?</v>
      </c>
      <c r="F32">
        <v>0</v>
      </c>
    </row>
    <row r="33" spans="1:6" x14ac:dyDescent="0.25">
      <c r="A33" t="s">
        <v>242</v>
      </c>
      <c r="B33" t="s">
        <v>243</v>
      </c>
      <c r="C33" t="e">
        <f ca="1">_xll.BDH("CAVA US Equity","CF_CASH_FOR_ACQUIS_SUBSIDIARIES","FY 2021","FY 2021","Currency=USD","Period=FY","BEST_FPERIOD_OVERRIDE=FY","FILING_STATUS=MR","SCALING_FORMAT=MLN","Sort=A","Dates=H","DateFormat=P","Fill=—","Direction=H","UseDPDF=Y")</f>
        <v>#NAME?</v>
      </c>
      <c r="D33" t="e">
        <f ca="1">_xll.BDH("CAVA US Equity","CF_CASH_FOR_ACQUIS_SUBSIDIARIES","FY 2022","FY 2022","Currency=USD","Period=FY","BEST_FPERIOD_OVERRIDE=FY","FILING_STATUS=MR","SCALING_FORMAT=MLN","Sort=A","Dates=H","DateFormat=P","Fill=—","Direction=H","UseDPDF=Y")</f>
        <v>#NAME?</v>
      </c>
      <c r="E33" t="e">
        <f ca="1">_xll.BDH("CAVA US Equity","CF_CASH_FOR_ACQUIS_SUBSIDIARIES","FY 2023","FY 2023","Currency=USD","Period=FY","BEST_FPERIOD_OVERRIDE=FY","FILING_STATUS=MR","SCALING_FORMAT=MLN","Sort=A","Dates=H","DateFormat=P","Fill=—","Direction=H","UseDPDF=Y")</f>
        <v>#NAME?</v>
      </c>
      <c r="F33">
        <v>0</v>
      </c>
    </row>
    <row r="34" spans="1:6" x14ac:dyDescent="0.25">
      <c r="A34" t="s">
        <v>244</v>
      </c>
      <c r="B34" t="s">
        <v>245</v>
      </c>
      <c r="C34" t="e">
        <f ca="1">_xll.BDH("CAVA US Equity","CF_CASH_FOR_JOINT_VENTURES_ASSOC","FY 2021","FY 2021","Currency=USD","Period=FY","BEST_FPERIOD_OVERRIDE=FY","FILING_STATUS=MR","SCALING_FORMAT=MLN","Sort=A","Dates=H","DateFormat=P","Fill=—","Direction=H","UseDPDF=Y")</f>
        <v>#NAME?</v>
      </c>
      <c r="D34" t="e">
        <f ca="1">_xll.BDH("CAVA US Equity","CF_CASH_FOR_JOINT_VENTURES_ASSOC","FY 2022","FY 2022","Currency=USD","Period=FY","BEST_FPERIOD_OVERRIDE=FY","FILING_STATUS=MR","SCALING_FORMAT=MLN","Sort=A","Dates=H","DateFormat=P","Fill=—","Direction=H","UseDPDF=Y")</f>
        <v>#NAME?</v>
      </c>
      <c r="E34" t="e">
        <f ca="1">_xll.BDH("CAVA US Equity","CF_CASH_FOR_JOINT_VENTURES_ASSOC","FY 2023","FY 2023","Currency=USD","Period=FY","BEST_FPERIOD_OVERRIDE=FY","FILING_STATUS=MR","SCALING_FORMAT=MLN","Sort=A","Dates=H","DateFormat=P","Fill=—","Direction=H","UseDPDF=Y")</f>
        <v>#NAME?</v>
      </c>
      <c r="F34">
        <v>0</v>
      </c>
    </row>
    <row r="35" spans="1:6" x14ac:dyDescent="0.25">
      <c r="A35" t="s">
        <v>246</v>
      </c>
      <c r="B35" t="s">
        <v>247</v>
      </c>
      <c r="C35" t="e">
        <f ca="1">_xll.BDH("CAVA US Equity","OTHER_INVESTING_ACT_DETAILED","FY 2021","FY 2021","Currency=USD","Period=FY","BEST_FPERIOD_OVERRIDE=FY","FILING_STATUS=MR","SCALING_FORMAT=MLN","Sort=A","Dates=H","DateFormat=P","Fill=—","Direction=H","UseDPDF=Y")</f>
        <v>#NAME?</v>
      </c>
      <c r="D35" t="e">
        <f ca="1">_xll.BDH("CAVA US Equity","OTHER_INVESTING_ACT_DETAILED","FY 2022","FY 2022","Currency=USD","Period=FY","BEST_FPERIOD_OVERRIDE=FY","FILING_STATUS=MR","SCALING_FORMAT=MLN","Sort=A","Dates=H","DateFormat=P","Fill=—","Direction=H","UseDPDF=Y")</f>
        <v>#NAME?</v>
      </c>
      <c r="E35" t="e">
        <f ca="1">_xll.BDH("CAVA US Equity","OTHER_INVESTING_ACT_DETAILED","FY 2023","FY 2023","Currency=USD","Period=FY","BEST_FPERIOD_OVERRIDE=FY","FILING_STATUS=MR","SCALING_FORMAT=MLN","Sort=A","Dates=H","DateFormat=P","Fill=—","Direction=H","UseDPDF=Y")</f>
        <v>#NAME?</v>
      </c>
      <c r="F35">
        <v>0</v>
      </c>
    </row>
    <row r="36" spans="1:6" x14ac:dyDescent="0.25">
      <c r="A36" t="s">
        <v>214</v>
      </c>
      <c r="B36" t="s">
        <v>248</v>
      </c>
      <c r="C36" t="e">
        <f ca="1">_xll.BDH("CAVA US Equity","CF_NET_CASH_DISCONTINUED_OPS_INV","FY 2021","FY 2021","Currency=USD","Period=FY","BEST_FPERIOD_OVERRIDE=FY","FILING_STATUS=MR","SCALING_FORMAT=MLN","Sort=A","Dates=H","DateFormat=P","Fill=—","Direction=H","UseDPDF=Y")</f>
        <v>#NAME?</v>
      </c>
      <c r="D36" t="e">
        <f ca="1">_xll.BDH("CAVA US Equity","CF_NET_CASH_DISCONTINUED_OPS_INV","FY 2022","FY 2022","Currency=USD","Period=FY","BEST_FPERIOD_OVERRIDE=FY","FILING_STATUS=MR","SCALING_FORMAT=MLN","Sort=A","Dates=H","DateFormat=P","Fill=—","Direction=H","UseDPDF=Y")</f>
        <v>#NAME?</v>
      </c>
      <c r="E36" t="e">
        <f ca="1">_xll.BDH("CAVA US Equity","CF_NET_CASH_DISCONTINUED_OPS_INV","FY 2023","FY 2023","Currency=USD","Period=FY","BEST_FPERIOD_OVERRIDE=FY","FILING_STATUS=MR","SCALING_FORMAT=MLN","Sort=A","Dates=H","DateFormat=P","Fill=—","Direction=H","UseDPDF=Y")</f>
        <v>#NAME?</v>
      </c>
      <c r="F36">
        <v>0</v>
      </c>
    </row>
    <row r="37" spans="1:6" x14ac:dyDescent="0.25">
      <c r="A37" t="s">
        <v>217</v>
      </c>
      <c r="B37" t="s">
        <v>249</v>
      </c>
      <c r="C37" t="e">
        <f ca="1">_xll.BDH("CAVA US Equity","CF_CASH_FROM_INV_ACT","FY 2021","FY 2021","Currency=USD","Period=FY","BEST_FPERIOD_OVERRIDE=FY","FILING_STATUS=MR","SCALING_FORMAT=MLN","Sort=A","Dates=H","DateFormat=P","Fill=—","Direction=H","UseDPDF=Y")</f>
        <v>#NAME?</v>
      </c>
      <c r="D37" t="e">
        <f ca="1">_xll.BDH("CAVA US Equity","CF_CASH_FROM_INV_ACT","FY 2022","FY 2022","Currency=USD","Period=FY","BEST_FPERIOD_OVERRIDE=FY","FILING_STATUS=MR","SCALING_FORMAT=MLN","Sort=A","Dates=H","DateFormat=P","Fill=—","Direction=H","UseDPDF=Y")</f>
        <v>#NAME?</v>
      </c>
      <c r="E37" t="e">
        <f ca="1">_xll.BDH("CAVA US Equity","CF_CASH_FROM_INV_ACT","FY 2023","FY 2023","Currency=USD","Period=FY","BEST_FPERIOD_OVERRIDE=FY","FILING_STATUS=MR","SCALING_FORMAT=MLN","Sort=A","Dates=H","DateFormat=P","Fill=—","Direction=H","UseDPDF=Y")</f>
        <v>#NAME?</v>
      </c>
    </row>
    <row r="39" spans="1:6" x14ac:dyDescent="0.25">
      <c r="A39" t="s">
        <v>250</v>
      </c>
    </row>
    <row r="40" spans="1:6" x14ac:dyDescent="0.25">
      <c r="A40" t="s">
        <v>251</v>
      </c>
      <c r="B40" t="s">
        <v>252</v>
      </c>
      <c r="C40" t="e">
        <f ca="1">_xll.BDH("CAVA US Equity","CF_DVD_PAID","FY 2021","FY 2021","Currency=USD","Period=FY","BEST_FPERIOD_OVERRIDE=FY","FILING_STATUS=MR","SCALING_FORMAT=MLN","Sort=A","Dates=H","DateFormat=P","Fill=—","Direction=H","UseDPDF=Y")</f>
        <v>#NAME?</v>
      </c>
      <c r="D40" t="e">
        <f ca="1">_xll.BDH("CAVA US Equity","CF_DVD_PAID","FY 2022","FY 2022","Currency=USD","Period=FY","BEST_FPERIOD_OVERRIDE=FY","FILING_STATUS=MR","SCALING_FORMAT=MLN","Sort=A","Dates=H","DateFormat=P","Fill=—","Direction=H","UseDPDF=Y")</f>
        <v>#NAME?</v>
      </c>
      <c r="E40" t="e">
        <f ca="1">_xll.BDH("CAVA US Equity","CF_DVD_PAID","FY 2023","FY 2023","Currency=USD","Period=FY","BEST_FPERIOD_OVERRIDE=FY","FILING_STATUS=MR","SCALING_FORMAT=MLN","Sort=A","Dates=H","DateFormat=P","Fill=—","Direction=H","UseDPDF=Y")</f>
        <v>#NAME?</v>
      </c>
    </row>
    <row r="41" spans="1:6" x14ac:dyDescent="0.25">
      <c r="A41" t="s">
        <v>253</v>
      </c>
      <c r="B41" t="s">
        <v>254</v>
      </c>
      <c r="C41" t="e">
        <f ca="1">_xll.BDH("CAVA US Equity","PROC_FR_REPAYMNTS_BOR_DETAILED","FY 2021","FY 2021","Currency=USD","Period=FY","BEST_FPERIOD_OVERRIDE=FY","FILING_STATUS=MR","SCALING_FORMAT=MLN","Sort=A","Dates=H","DateFormat=P","Fill=—","Direction=H","UseDPDF=Y")</f>
        <v>#NAME?</v>
      </c>
      <c r="D41" t="e">
        <f ca="1">_xll.BDH("CAVA US Equity","PROC_FR_REPAYMNTS_BOR_DETAILED","FY 2022","FY 2022","Currency=USD","Period=FY","BEST_FPERIOD_OVERRIDE=FY","FILING_STATUS=MR","SCALING_FORMAT=MLN","Sort=A","Dates=H","DateFormat=P","Fill=—","Direction=H","UseDPDF=Y")</f>
        <v>#NAME?</v>
      </c>
      <c r="E41" t="e">
        <f ca="1">_xll.BDH("CAVA US Equity","PROC_FR_REPAYMNTS_BOR_DETAILED","FY 2023","FY 2023","Currency=USD","Period=FY","BEST_FPERIOD_OVERRIDE=FY","FILING_STATUS=MR","SCALING_FORMAT=MLN","Sort=A","Dates=H","DateFormat=P","Fill=—","Direction=H","UseDPDF=Y")</f>
        <v>#NAME?</v>
      </c>
      <c r="F41">
        <v>-340.35399999999998</v>
      </c>
    </row>
    <row r="42" spans="1:6" x14ac:dyDescent="0.25">
      <c r="A42" t="s">
        <v>255</v>
      </c>
      <c r="B42" t="s">
        <v>256</v>
      </c>
      <c r="C42" t="e">
        <f ca="1">_xll.BDH("CAVA US Equity","NET_CAP_STOCK","FY 2021","FY 2021","Currency=USD","Period=FY","BEST_FPERIOD_OVERRIDE=FY","FILING_STATUS=MR","SCALING_FORMAT=MLN","Sort=A","Dates=H","DateFormat=P","Fill=—","Direction=H","UseDPDF=Y")</f>
        <v>#NAME?</v>
      </c>
      <c r="D42" t="e">
        <f ca="1">_xll.BDH("CAVA US Equity","NET_CAP_STOCK","FY 2022","FY 2022","Currency=USD","Period=FY","BEST_FPERIOD_OVERRIDE=FY","FILING_STATUS=MR","SCALING_FORMAT=MLN","Sort=A","Dates=H","DateFormat=P","Fill=—","Direction=H","UseDPDF=Y")</f>
        <v>#NAME?</v>
      </c>
      <c r="E42" t="e">
        <f ca="1">_xll.BDH("CAVA US Equity","NET_CAP_STOCK","FY 2023","FY 2023","Currency=USD","Period=FY","BEST_FPERIOD_OVERRIDE=FY","FILING_STATUS=MR","SCALING_FORMAT=MLN","Sort=A","Dates=H","DateFormat=P","Fill=—","Direction=H","UseDPDF=Y")</f>
        <v>#NAME?</v>
      </c>
      <c r="F42">
        <v>336.88499999999999</v>
      </c>
    </row>
    <row r="43" spans="1:6" x14ac:dyDescent="0.25">
      <c r="A43" t="s">
        <v>257</v>
      </c>
      <c r="B43" t="s">
        <v>258</v>
      </c>
      <c r="C43" t="e">
        <f ca="1">_xll.BDH("CAVA US Equity","CF_INCR_CAP_STOCK","FY 2021","FY 2021","Currency=USD","Period=FY","BEST_FPERIOD_OVERRIDE=FY","FILING_STATUS=MR","SCALING_FORMAT=MLN","Sort=A","Dates=H","DateFormat=P","Fill=—","Direction=H","UseDPDF=Y")</f>
        <v>#NAME?</v>
      </c>
      <c r="D43" t="e">
        <f ca="1">_xll.BDH("CAVA US Equity","CF_INCR_CAP_STOCK","FY 2022","FY 2022","Currency=USD","Period=FY","BEST_FPERIOD_OVERRIDE=FY","FILING_STATUS=MR","SCALING_FORMAT=MLN","Sort=A","Dates=H","DateFormat=P","Fill=—","Direction=H","UseDPDF=Y")</f>
        <v>#NAME?</v>
      </c>
      <c r="E43" t="e">
        <f ca="1">_xll.BDH("CAVA US Equity","CF_INCR_CAP_STOCK","FY 2023","FY 2023","Currency=USD","Period=FY","BEST_FPERIOD_OVERRIDE=FY","FILING_STATUS=MR","SCALING_FORMAT=MLN","Sort=A","Dates=H","DateFormat=P","Fill=—","Direction=H","UseDPDF=Y")</f>
        <v>#NAME?</v>
      </c>
    </row>
    <row r="44" spans="1:6" x14ac:dyDescent="0.25">
      <c r="A44" t="s">
        <v>259</v>
      </c>
      <c r="B44" t="s">
        <v>260</v>
      </c>
      <c r="C44" t="e">
        <f ca="1">_xll.BDH("CAVA US Equity","CF_DECR_CAP_STOCK","FY 2021","FY 2021","Currency=USD","Period=FY","BEST_FPERIOD_OVERRIDE=FY","FILING_STATUS=MR","SCALING_FORMAT=MLN","Sort=A","Dates=H","DateFormat=P","Fill=—","Direction=H","UseDPDF=Y")</f>
        <v>#NAME?</v>
      </c>
      <c r="D44" t="e">
        <f ca="1">_xll.BDH("CAVA US Equity","CF_DECR_CAP_STOCK","FY 2022","FY 2022","Currency=USD","Period=FY","BEST_FPERIOD_OVERRIDE=FY","FILING_STATUS=MR","SCALING_FORMAT=MLN","Sort=A","Dates=H","DateFormat=P","Fill=—","Direction=H","UseDPDF=Y")</f>
        <v>#NAME?</v>
      </c>
      <c r="E44" t="e">
        <f ca="1">_xll.BDH("CAVA US Equity","CF_DECR_CAP_STOCK","FY 2023","FY 2023","Currency=USD","Period=FY","BEST_FPERIOD_OVERRIDE=FY","FILING_STATUS=MR","SCALING_FORMAT=MLN","Sort=A","Dates=H","DateFormat=P","Fill=—","Direction=H","UseDPDF=Y")</f>
        <v>#NAME?</v>
      </c>
    </row>
    <row r="45" spans="1:6" x14ac:dyDescent="0.25">
      <c r="A45" t="s">
        <v>261</v>
      </c>
      <c r="B45" t="s">
        <v>262</v>
      </c>
      <c r="C45" t="e">
        <f ca="1">_xll.BDH("CAVA US Equity","OTHER_FIN_AND_DEC_CAP","FY 2021","FY 2021","Currency=USD","Period=FY","BEST_FPERIOD_OVERRIDE=FY","FILING_STATUS=MR","SCALING_FORMAT=MLN","Sort=A","Dates=H","DateFormat=P","Fill=—","Direction=H","UseDPDF=Y")</f>
        <v>#NAME?</v>
      </c>
      <c r="D45" t="e">
        <f ca="1">_xll.BDH("CAVA US Equity","OTHER_FIN_AND_DEC_CAP","FY 2022","FY 2022","Currency=USD","Period=FY","BEST_FPERIOD_OVERRIDE=FY","FILING_STATUS=MR","SCALING_FORMAT=MLN","Sort=A","Dates=H","DateFormat=P","Fill=—","Direction=H","UseDPDF=Y")</f>
        <v>#NAME?</v>
      </c>
      <c r="E45" t="e">
        <f ca="1">_xll.BDH("CAVA US Equity","OTHER_FIN_AND_DEC_CAP","FY 2023","FY 2023","Currency=USD","Period=FY","BEST_FPERIOD_OVERRIDE=FY","FILING_STATUS=MR","SCALING_FORMAT=MLN","Sort=A","Dates=H","DateFormat=P","Fill=—","Direction=H","UseDPDF=Y")</f>
        <v>#NAME?</v>
      </c>
      <c r="F45">
        <v>-0.61099999999999999</v>
      </c>
    </row>
    <row r="46" spans="1:6" x14ac:dyDescent="0.25">
      <c r="A46" t="s">
        <v>214</v>
      </c>
      <c r="B46" t="s">
        <v>263</v>
      </c>
      <c r="C46" t="e">
        <f ca="1">_xll.BDH("CAVA US Equity","CF_NET_CASH_DISCONTINUED_OPS_FIN","FY 2021","FY 2021","Currency=USD","Period=FY","BEST_FPERIOD_OVERRIDE=FY","FILING_STATUS=MR","SCALING_FORMAT=MLN","Sort=A","Dates=H","DateFormat=P","Fill=—","Direction=H","UseDPDF=Y")</f>
        <v>#NAME?</v>
      </c>
      <c r="D46" t="e">
        <f ca="1">_xll.BDH("CAVA US Equity","CF_NET_CASH_DISCONTINUED_OPS_FIN","FY 2022","FY 2022","Currency=USD","Period=FY","BEST_FPERIOD_OVERRIDE=FY","FILING_STATUS=MR","SCALING_FORMAT=MLN","Sort=A","Dates=H","DateFormat=P","Fill=—","Direction=H","UseDPDF=Y")</f>
        <v>#NAME?</v>
      </c>
      <c r="E46" t="e">
        <f ca="1">_xll.BDH("CAVA US Equity","CF_NET_CASH_DISCONTINUED_OPS_FIN","FY 2023","FY 2023","Currency=USD","Period=FY","BEST_FPERIOD_OVERRIDE=FY","FILING_STATUS=MR","SCALING_FORMAT=MLN","Sort=A","Dates=H","DateFormat=P","Fill=—","Direction=H","UseDPDF=Y")</f>
        <v>#NAME?</v>
      </c>
      <c r="F46">
        <v>0</v>
      </c>
    </row>
    <row r="47" spans="1:6" x14ac:dyDescent="0.25">
      <c r="A47" t="s">
        <v>250</v>
      </c>
      <c r="B47" t="s">
        <v>264</v>
      </c>
      <c r="C47" t="e">
        <f ca="1">_xll.BDH("CAVA US Equity","CFF_ACTIVITIES_DETAILED","FY 2021","FY 2021","Currency=USD","Period=FY","BEST_FPERIOD_OVERRIDE=FY","FILING_STATUS=MR","SCALING_FORMAT=MLN","Sort=A","Dates=H","DateFormat=P","Fill=—","Direction=H","UseDPDF=Y")</f>
        <v>#NAME?</v>
      </c>
      <c r="D47" t="e">
        <f ca="1">_xll.BDH("CAVA US Equity","CFF_ACTIVITIES_DETAILED","FY 2022","FY 2022","Currency=USD","Period=FY","BEST_FPERIOD_OVERRIDE=FY","FILING_STATUS=MR","SCALING_FORMAT=MLN","Sort=A","Dates=H","DateFormat=P","Fill=—","Direction=H","UseDPDF=Y")</f>
        <v>#NAME?</v>
      </c>
      <c r="E47" t="e">
        <f ca="1">_xll.BDH("CAVA US Equity","CFF_ACTIVITIES_DETAILED","FY 2023","FY 2023","Currency=USD","Period=FY","BEST_FPERIOD_OVERRIDE=FY","FILING_STATUS=MR","SCALING_FORMAT=MLN","Sort=A","Dates=H","DateFormat=P","Fill=—","Direction=H","UseDPDF=Y")</f>
        <v>#NAME?</v>
      </c>
      <c r="F47">
        <v>-4.08</v>
      </c>
    </row>
    <row r="49" spans="1:6" x14ac:dyDescent="0.25">
      <c r="A49" t="s">
        <v>265</v>
      </c>
      <c r="B49" t="s">
        <v>266</v>
      </c>
      <c r="C49" t="e">
        <f ca="1">_xll.BDH("CAVA US Equity","CF_EFFECT_FOREIGN_EXCHANGES","FY 2021","FY 2021","Currency=USD","Period=FY","BEST_FPERIOD_OVERRIDE=FY","FILING_STATUS=MR","SCALING_FORMAT=MLN","Sort=A","Dates=H","DateFormat=P","Fill=—","Direction=H","UseDPDF=Y")</f>
        <v>#NAME?</v>
      </c>
      <c r="D49" t="e">
        <f ca="1">_xll.BDH("CAVA US Equity","CF_EFFECT_FOREIGN_EXCHANGES","FY 2022","FY 2022","Currency=USD","Period=FY","BEST_FPERIOD_OVERRIDE=FY","FILING_STATUS=MR","SCALING_FORMAT=MLN","Sort=A","Dates=H","DateFormat=P","Fill=—","Direction=H","UseDPDF=Y")</f>
        <v>#NAME?</v>
      </c>
      <c r="E49" t="e">
        <f ca="1">_xll.BDH("CAVA US Equity","CF_EFFECT_FOREIGN_EXCHANGES","FY 2023","FY 2023","Currency=USD","Period=FY","BEST_FPERIOD_OVERRIDE=FY","FILING_STATUS=MR","SCALING_FORMAT=MLN","Sort=A","Dates=H","DateFormat=P","Fill=—","Direction=H","UseDPDF=Y")</f>
        <v>#NAME?</v>
      </c>
      <c r="F49">
        <v>0</v>
      </c>
    </row>
    <row r="51" spans="1:6" x14ac:dyDescent="0.25">
      <c r="A51" t="s">
        <v>267</v>
      </c>
      <c r="B51" t="s">
        <v>268</v>
      </c>
      <c r="C51" t="e">
        <f ca="1">_xll.BDH("CAVA US Equity","CF_NET_CHNG_CASH","FY 2021","FY 2021","Currency=USD","Period=FY","BEST_FPERIOD_OVERRIDE=FY","FILING_STATUS=MR","SCALING_FORMAT=MLN","Sort=A","Dates=H","DateFormat=P","Fill=—","Direction=H","UseDPDF=Y")</f>
        <v>#NAME?</v>
      </c>
      <c r="D51" t="e">
        <f ca="1">_xll.BDH("CAVA US Equity","CF_NET_CHNG_CASH","FY 2022","FY 2022","Currency=USD","Period=FY","BEST_FPERIOD_OVERRIDE=FY","FILING_STATUS=MR","SCALING_FORMAT=MLN","Sort=A","Dates=H","DateFormat=P","Fill=—","Direction=H","UseDPDF=Y")</f>
        <v>#NAME?</v>
      </c>
      <c r="E51" t="e">
        <f ca="1">_xll.BDH("CAVA US Equity","CF_NET_CHNG_CASH","FY 2023","FY 2023","Currency=USD","Period=FY","BEST_FPERIOD_OVERRIDE=FY","FILING_STATUS=MR","SCALING_FORMAT=MLN","Sort=A","Dates=H","DateFormat=P","Fill=—","Direction=H","UseDPDF=Y")</f>
        <v>#NAME?</v>
      </c>
    </row>
    <row r="53" spans="1:6" x14ac:dyDescent="0.25">
      <c r="A53" t="s">
        <v>269</v>
      </c>
      <c r="B53" t="s">
        <v>270</v>
      </c>
      <c r="C53" t="e">
        <f ca="1">_xll.BDH("CAVA US Equity","CF_CASH_PAID_FOR_TAX","FY 2021","FY 2021","Currency=USD","Period=FY","BEST_FPERIOD_OVERRIDE=FY","FILING_STATUS=MR","SCALING_FORMAT=MLN","Sort=A","Dates=H","DateFormat=P","Fill=—","Direction=H","UseDPDF=Y")</f>
        <v>#NAME?</v>
      </c>
      <c r="D53" t="e">
        <f ca="1">_xll.BDH("CAVA US Equity","CF_CASH_PAID_FOR_TAX","FY 2022","FY 2022","Currency=USD","Period=FY","BEST_FPERIOD_OVERRIDE=FY","FILING_STATUS=MR","SCALING_FORMAT=MLN","Sort=A","Dates=H","DateFormat=P","Fill=—","Direction=H","UseDPDF=Y")</f>
        <v>#NAME?</v>
      </c>
      <c r="E53" t="e">
        <f ca="1">_xll.BDH("CAVA US Equity","CF_CASH_PAID_FOR_TAX","FY 2023","FY 2023","Currency=USD","Period=FY","BEST_FPERIOD_OVERRIDE=FY","FILING_STATUS=MR","SCALING_FORMAT=MLN","Sort=A","Dates=H","DateFormat=P","Fill=—","Direction=H","UseDPDF=Y")</f>
        <v>#NAME?</v>
      </c>
    </row>
    <row r="54" spans="1:6" x14ac:dyDescent="0.25">
      <c r="A54" t="s">
        <v>271</v>
      </c>
      <c r="B54" t="s">
        <v>272</v>
      </c>
      <c r="C54" t="e">
        <f ca="1">_xll.BDH("CAVA US Equity","CF_ACT_CASH_PAID_FOR_INT_DEBT","FY 2021","FY 2021","Currency=USD","Period=FY","BEST_FPERIOD_OVERRIDE=FY","FILING_STATUS=MR","SCALING_FORMAT=MLN","Sort=A","Dates=H","DateFormat=P","Fill=—","Direction=H","UseDPDF=Y")</f>
        <v>#NAME?</v>
      </c>
      <c r="D54" t="e">
        <f ca="1">_xll.BDH("CAVA US Equity","CF_ACT_CASH_PAID_FOR_INT_DEBT","FY 2022","FY 2022","Currency=USD","Period=FY","BEST_FPERIOD_OVERRIDE=FY","FILING_STATUS=MR","SCALING_FORMAT=MLN","Sort=A","Dates=H","DateFormat=P","Fill=—","Direction=H","UseDPDF=Y")</f>
        <v>#NAME?</v>
      </c>
      <c r="E54" t="e">
        <f ca="1">_xll.BDH("CAVA US Equity","CF_ACT_CASH_PAID_FOR_INT_DEBT","FY 2023","FY 2023","Currency=USD","Period=FY","BEST_FPERIOD_OVERRIDE=FY","FILING_STATUS=MR","SCALING_FORMAT=MLN","Sort=A","Dates=H","DateFormat=P","Fill=—","Direction=H","UseDPDF=Y")</f>
        <v>#NAME?</v>
      </c>
    </row>
    <row r="56" spans="1:6" x14ac:dyDescent="0.25">
      <c r="A56" t="s">
        <v>166</v>
      </c>
    </row>
    <row r="57" spans="1:6" x14ac:dyDescent="0.25">
      <c r="A57" t="s">
        <v>170</v>
      </c>
      <c r="B57" t="s">
        <v>170</v>
      </c>
      <c r="C57" t="e">
        <f ca="1">_xll.BDH("CAVA US Equity","EBITDA","FY 2021","FY 2021","Currency=USD","Period=FY","BEST_FPERIOD_OVERRIDE=FY","FILING_STATUS=MR","SCALING_FORMAT=MLN","FA_ADJUSTED=GAAP","Sort=A","Dates=H","DateFormat=P","Fill=—","Direction=H","UseDPDF=Y")</f>
        <v>#NAME?</v>
      </c>
      <c r="D57" t="e">
        <f ca="1">_xll.BDH("CAVA US Equity","EBITDA","FY 2022","FY 2022","Currency=USD","Period=FY","BEST_FPERIOD_OVERRIDE=FY","FILING_STATUS=MR","SCALING_FORMAT=MLN","FA_ADJUSTED=GAAP","Sort=A","Dates=H","DateFormat=P","Fill=—","Direction=H","UseDPDF=Y")</f>
        <v>#NAME?</v>
      </c>
      <c r="E57" t="e">
        <f ca="1">_xll.BDH("CAVA US Equity","EBITDA","FY 2023","FY 2023","Currency=USD","Period=FY","BEST_FPERIOD_OVERRIDE=FY","FILING_STATUS=MR","SCALING_FORMAT=MLN","FA_ADJUSTED=GAAP","Sort=A","Dates=H","DateFormat=P","Fill=—","Direction=H","UseDPDF=Y")</f>
        <v>#NAME?</v>
      </c>
    </row>
    <row r="58" spans="1:6" x14ac:dyDescent="0.25">
      <c r="A58" t="s">
        <v>273</v>
      </c>
      <c r="B58" t="s">
        <v>172</v>
      </c>
      <c r="C58" t="e">
        <f ca="1">_xll.BDH("CAVA US Equity","EBITDA_MARGIN","FY 2021","FY 2021","Currency=USD","Period=FY","BEST_FPERIOD_OVERRIDE=FY","FILING_STATUS=MR","FA_ADJUSTED=GAAP","Sort=A","Dates=H","DateFormat=P","Fill=—","Direction=H","UseDPDF=Y")</f>
        <v>#NAME?</v>
      </c>
      <c r="D58" t="e">
        <f ca="1">_xll.BDH("CAVA US Equity","EBITDA_MARGIN","FY 2022","FY 2022","Currency=USD","Period=FY","BEST_FPERIOD_OVERRIDE=FY","FILING_STATUS=MR","FA_ADJUSTED=GAAP","Sort=A","Dates=H","DateFormat=P","Fill=—","Direction=H","UseDPDF=Y")</f>
        <v>#NAME?</v>
      </c>
      <c r="E58" t="e">
        <f ca="1">_xll.BDH("CAVA US Equity","EBITDA_MARGIN","FY 2023","FY 2023","Currency=USD","Period=FY","BEST_FPERIOD_OVERRIDE=FY","FILING_STATUS=MR","FA_ADJUSTED=GAAP","Sort=A","Dates=H","DateFormat=P","Fill=—","Direction=H","UseDPDF=Y")</f>
        <v>#NAME?</v>
      </c>
    </row>
    <row r="59" spans="1:6" x14ac:dyDescent="0.25">
      <c r="A59" t="s">
        <v>274</v>
      </c>
      <c r="B59" t="s">
        <v>275</v>
      </c>
      <c r="C59" t="e">
        <f ca="1">_xll.BDH("CAVA US Equity","CF_FREE_CASH_FLOW","FY 2021","FY 2021","Currency=USD","Period=FY","BEST_FPERIOD_OVERRIDE=FY","FILING_STATUS=MR","SCALING_FORMAT=MLN","Sort=A","Dates=H","DateFormat=P","Fill=—","Direction=H","UseDPDF=Y")</f>
        <v>#NAME?</v>
      </c>
      <c r="D59" t="e">
        <f ca="1">_xll.BDH("CAVA US Equity","CF_FREE_CASH_FLOW","FY 2022","FY 2022","Currency=USD","Period=FY","BEST_FPERIOD_OVERRIDE=FY","FILING_STATUS=MR","SCALING_FORMAT=MLN","Sort=A","Dates=H","DateFormat=P","Fill=—","Direction=H","UseDPDF=Y")</f>
        <v>#NAME?</v>
      </c>
      <c r="E59" t="e">
        <f ca="1">_xll.BDH("CAVA US Equity","CF_FREE_CASH_FLOW","FY 2023","FY 2023","Currency=USD","Period=FY","BEST_FPERIOD_OVERRIDE=FY","FILING_STATUS=MR","SCALING_FORMAT=MLN","Sort=A","Dates=H","DateFormat=P","Fill=—","Direction=H","UseDPDF=Y")</f>
        <v>#NAME?</v>
      </c>
    </row>
    <row r="60" spans="1:6" x14ac:dyDescent="0.25">
      <c r="A60" t="s">
        <v>276</v>
      </c>
      <c r="B60" t="s">
        <v>277</v>
      </c>
      <c r="C60" t="e">
        <f ca="1">_xll.BDH("CAVA US Equity","FREE_CASH_FLOW_EQUITY","FY 2021","FY 2021","Currency=USD","Period=FY","BEST_FPERIOD_OVERRIDE=FY","FILING_STATUS=MR","SCALING_FORMAT=MLN","Sort=A","Dates=H","DateFormat=P","Fill=—","Direction=H","UseDPDF=Y")</f>
        <v>#NAME?</v>
      </c>
      <c r="D60" t="e">
        <f ca="1">_xll.BDH("CAVA US Equity","FREE_CASH_FLOW_EQUITY","FY 2022","FY 2022","Currency=USD","Period=FY","BEST_FPERIOD_OVERRIDE=FY","FILING_STATUS=MR","SCALING_FORMAT=MLN","Sort=A","Dates=H","DateFormat=P","Fill=—","Direction=H","UseDPDF=Y")</f>
        <v>#NAME?</v>
      </c>
      <c r="E60" t="e">
        <f ca="1">_xll.BDH("CAVA US Equity","FREE_CASH_FLOW_EQUITY","FY 2023","FY 2023","Currency=USD","Period=FY","BEST_FPERIOD_OVERRIDE=FY","FILING_STATUS=MR","SCALING_FORMAT=MLN","Sort=A","Dates=H","DateFormat=P","Fill=—","Direction=H","UseDPDF=Y")</f>
        <v>#NAME?</v>
      </c>
      <c r="F60">
        <v>-356.69099999999997</v>
      </c>
    </row>
    <row r="61" spans="1:6" x14ac:dyDescent="0.25">
      <c r="A61" t="s">
        <v>278</v>
      </c>
      <c r="B61" t="s">
        <v>279</v>
      </c>
      <c r="C61" t="e">
        <f ca="1">_xll.BDH("CAVA US Equity","FREE_CASH_FLOW_PER_SH","FY 2021","FY 2021","Currency=USD","Period=FY","BEST_FPERIOD_OVERRIDE=FY","FILING_STATUS=MR","Sort=A","Dates=H","DateFormat=P","Fill=—","Direction=H","UseDPDF=Y")</f>
        <v>#NAME?</v>
      </c>
      <c r="D61" t="e">
        <f ca="1">_xll.BDH("CAVA US Equity","FREE_CASH_FLOW_PER_SH","FY 2022","FY 2022","Currency=USD","Period=FY","BEST_FPERIOD_OVERRIDE=FY","FILING_STATUS=MR","Sort=A","Dates=H","DateFormat=P","Fill=—","Direction=H","UseDPDF=Y")</f>
        <v>#NAME?</v>
      </c>
      <c r="E61" t="e">
        <f ca="1">_xll.BDH("CAVA US Equity","FREE_CASH_FLOW_PER_SH","FY 2023","FY 2023","Currency=USD","Period=FY","BEST_FPERIOD_OVERRIDE=FY","FILING_STATUS=MR","Sort=A","Dates=H","DateFormat=P","Fill=—","Direction=H","UseDPDF=Y")</f>
        <v>#NAME?</v>
      </c>
    </row>
    <row r="62" spans="1:6" x14ac:dyDescent="0.25">
      <c r="A62" t="s">
        <v>280</v>
      </c>
      <c r="B62" t="s">
        <v>281</v>
      </c>
      <c r="C62" t="e">
        <f ca="1">_xll.BDH("CAVA US Equity","CASH_FLOW_TO_NET_INC","FY 2021","FY 2021","Currency=USD","Period=FY","BEST_FPERIOD_OVERRIDE=FY","FILING_STATUS=MR","FA_ADJUSTED=GAAP","Sort=A","Dates=H","DateFormat=P","Fill=—","Direction=H","UseDPDF=Y")</f>
        <v>#NAME?</v>
      </c>
      <c r="D62" t="e">
        <f ca="1">_xll.BDH("CAVA US Equity","CASH_FLOW_TO_NET_INC","FY 2022","FY 2022","Currency=USD","Period=FY","BEST_FPERIOD_OVERRIDE=FY","FILING_STATUS=MR","FA_ADJUSTED=GAAP","Sort=A","Dates=H","DateFormat=P","Fill=—","Direction=H","UseDPDF=Y")</f>
        <v>#NAME?</v>
      </c>
      <c r="E62" t="e">
        <f ca="1">_xll.BDH("CAVA US Equity","CASH_FLOW_TO_NET_INC","FY 2023","FY 2023","Currency=USD","Period=FY","BEST_FPERIOD_OVERRIDE=FY","FILING_STATUS=MR","FA_ADJUSTED=GAAP","Sort=A","Dates=H","DateFormat=P","Fill=—","Direction=H","UseDPDF=Y")</f>
        <v>#NAME?</v>
      </c>
      <c r="F62">
        <v>11.7193753050268</v>
      </c>
    </row>
    <row r="63" spans="1:6" x14ac:dyDescent="0.25">
      <c r="A63" t="s">
        <v>188</v>
      </c>
      <c r="C63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0"/>
  </sheetPr>
  <dimension ref="A1:E82"/>
  <sheetViews>
    <sheetView workbookViewId="0">
      <selection activeCell="I20" sqref="I20"/>
    </sheetView>
  </sheetViews>
  <sheetFormatPr defaultRowHeight="15" x14ac:dyDescent="0.25"/>
  <cols>
    <col min="1" max="1" width="42.28515625" bestFit="1" customWidth="1"/>
    <col min="2" max="2" width="52.28515625" customWidth="1"/>
    <col min="3" max="3" width="29.7109375" customWidth="1"/>
    <col min="4" max="4" width="33.5703125" customWidth="1"/>
    <col min="5" max="5" width="27.5703125" customWidth="1"/>
  </cols>
  <sheetData>
    <row r="1" spans="1:5" x14ac:dyDescent="0.25">
      <c r="A1" t="s">
        <v>190</v>
      </c>
    </row>
    <row r="3" spans="1:5" x14ac:dyDescent="0.25">
      <c r="A3" t="s">
        <v>65</v>
      </c>
      <c r="C3" t="s">
        <v>66</v>
      </c>
      <c r="D3" t="s">
        <v>67</v>
      </c>
      <c r="E3" t="s">
        <v>68</v>
      </c>
    </row>
    <row r="4" spans="1:5" x14ac:dyDescent="0.25">
      <c r="A4" t="s">
        <v>72</v>
      </c>
      <c r="C4" t="s">
        <v>73</v>
      </c>
      <c r="D4" t="s">
        <v>74</v>
      </c>
      <c r="E4" t="s">
        <v>75</v>
      </c>
    </row>
    <row r="5" spans="1:5" x14ac:dyDescent="0.25">
      <c r="A5" t="s">
        <v>282</v>
      </c>
    </row>
    <row r="6" spans="1:5" x14ac:dyDescent="0.25">
      <c r="A6" t="s">
        <v>283</v>
      </c>
      <c r="B6" t="s">
        <v>284</v>
      </c>
      <c r="C6" t="e">
        <f ca="1">_xll.BDH("CAVA US Equity","CASH_CASH_EQTY_STI_DETAILED","FY 2021","FY 2021","Currency=USD","Period=FY","BEST_FPERIOD_OVERRIDE=FY","FILING_STATUS=MR","SCALING_FORMAT=MLN","Sort=A","Dates=H","DateFormat=P","Fill=—","Direction=H","UseDPDF=Y")</f>
        <v>#NAME?</v>
      </c>
      <c r="D6" t="e">
        <f ca="1">_xll.BDH("CAVA US Equity","CASH_CASH_EQTY_STI_DETAILED","FY 2022","FY 2022","Currency=USD","Period=FY","BEST_FPERIOD_OVERRIDE=FY","FILING_STATUS=MR","SCALING_FORMAT=MLN","Sort=A","Dates=H","DateFormat=P","Fill=—","Direction=H","UseDPDF=Y")</f>
        <v>#NAME?</v>
      </c>
      <c r="E6" t="e">
        <f ca="1">_xll.BDH("CAVA US Equity","CASH_CASH_EQTY_STI_DETAILED","FY 2023","FY 2023","Currency=USD","Period=FY","BEST_FPERIOD_OVERRIDE=FY","FILING_STATUS=MR","SCALING_FORMAT=MLN","Sort=A","Dates=H","DateFormat=P","Fill=—","Direction=H","UseDPDF=Y")</f>
        <v>#NAME?</v>
      </c>
    </row>
    <row r="7" spans="1:5" x14ac:dyDescent="0.25">
      <c r="A7" t="s">
        <v>285</v>
      </c>
      <c r="B7" t="s">
        <v>286</v>
      </c>
      <c r="C7" t="e">
        <f ca="1">_xll.BDH("CAVA US Equity","BS_CASH_NEAR_CASH_ITEM","FY 2021","FY 2021","Currency=USD","Period=FY","BEST_FPERIOD_OVERRIDE=FY","FILING_STATUS=MR","SCALING_FORMAT=MLN","Sort=A","Dates=H","DateFormat=P","Fill=—","Direction=H","UseDPDF=Y")</f>
        <v>#NAME?</v>
      </c>
      <c r="D7" t="e">
        <f ca="1">_xll.BDH("CAVA US Equity","BS_CASH_NEAR_CASH_ITEM","FY 2022","FY 2022","Currency=USD","Period=FY","BEST_FPERIOD_OVERRIDE=FY","FILING_STATUS=MR","SCALING_FORMAT=MLN","Sort=A","Dates=H","DateFormat=P","Fill=—","Direction=H","UseDPDF=Y")</f>
        <v>#NAME?</v>
      </c>
      <c r="E7" t="e">
        <f ca="1">_xll.BDH("CAVA US Equity","BS_CASH_NEAR_CASH_ITEM","FY 2023","FY 2023","Currency=USD","Period=FY","BEST_FPERIOD_OVERRIDE=FY","FILING_STATUS=MR","SCALING_FORMAT=MLN","Sort=A","Dates=H","DateFormat=P","Fill=—","Direction=H","UseDPDF=Y")</f>
        <v>#NAME?</v>
      </c>
    </row>
    <row r="8" spans="1:5" x14ac:dyDescent="0.25">
      <c r="A8" t="s">
        <v>287</v>
      </c>
      <c r="B8" t="s">
        <v>288</v>
      </c>
      <c r="C8" t="e">
        <f ca="1">_xll.BDH("CAVA US Equity","BS_MKT_SEC_OTHER_ST_INVEST","FY 2021","FY 2021","Currency=USD","Period=FY","BEST_FPERIOD_OVERRIDE=FY","FILING_STATUS=MR","SCALING_FORMAT=MLN","Sort=A","Dates=H","DateFormat=P","Fill=—","Direction=H","UseDPDF=Y")</f>
        <v>#NAME?</v>
      </c>
      <c r="D8" t="e">
        <f ca="1">_xll.BDH("CAVA US Equity","BS_MKT_SEC_OTHER_ST_INVEST","FY 2022","FY 2022","Currency=USD","Period=FY","BEST_FPERIOD_OVERRIDE=FY","FILING_STATUS=MR","SCALING_FORMAT=MLN","Sort=A","Dates=H","DateFormat=P","Fill=—","Direction=H","UseDPDF=Y")</f>
        <v>#NAME?</v>
      </c>
      <c r="E8" t="e">
        <f ca="1">_xll.BDH("CAVA US Equity","BS_MKT_SEC_OTHER_ST_INVEST","FY 2023","FY 2023","Currency=USD","Period=FY","BEST_FPERIOD_OVERRIDE=FY","FILING_STATUS=MR","SCALING_FORMAT=MLN","Sort=A","Dates=H","DateFormat=P","Fill=—","Direction=H","UseDPDF=Y")</f>
        <v>#NAME?</v>
      </c>
    </row>
    <row r="9" spans="1:5" x14ac:dyDescent="0.25">
      <c r="A9" t="s">
        <v>289</v>
      </c>
      <c r="B9" t="s">
        <v>290</v>
      </c>
      <c r="C9" t="e">
        <f ca="1">_xll.BDH("CAVA US Equity","BS_ACCT_NOTE_RCV","FY 2021","FY 2021","Currency=USD","Period=FY","BEST_FPERIOD_OVERRIDE=FY","FILING_STATUS=MR","SCALING_FORMAT=MLN","Sort=A","Dates=H","DateFormat=P","Fill=—","Direction=H","UseDPDF=Y")</f>
        <v>#NAME?</v>
      </c>
      <c r="D9" t="e">
        <f ca="1">_xll.BDH("CAVA US Equity","BS_ACCT_NOTE_RCV","FY 2022","FY 2022","Currency=USD","Period=FY","BEST_FPERIOD_OVERRIDE=FY","FILING_STATUS=MR","SCALING_FORMAT=MLN","Sort=A","Dates=H","DateFormat=P","Fill=—","Direction=H","UseDPDF=Y")</f>
        <v>#NAME?</v>
      </c>
      <c r="E9" t="e">
        <f ca="1">_xll.BDH("CAVA US Equity","BS_ACCT_NOTE_RCV","FY 2023","FY 2023","Currency=USD","Period=FY","BEST_FPERIOD_OVERRIDE=FY","FILING_STATUS=MR","SCALING_FORMAT=MLN","Sort=A","Dates=H","DateFormat=P","Fill=—","Direction=H","UseDPDF=Y")</f>
        <v>#NAME?</v>
      </c>
    </row>
    <row r="10" spans="1:5" x14ac:dyDescent="0.25">
      <c r="A10" t="s">
        <v>291</v>
      </c>
      <c r="B10" t="s">
        <v>292</v>
      </c>
      <c r="C10" t="e">
        <f ca="1">_xll.BDH("CAVA US Equity","BS_ACCTS_REC_EXCL_NOTES_REC","FY 2021","FY 2021","Currency=USD","Period=FY","BEST_FPERIOD_OVERRIDE=FY","FILING_STATUS=MR","SCALING_FORMAT=MLN","Sort=A","Dates=H","DateFormat=P","Fill=—","Direction=H","UseDPDF=Y")</f>
        <v>#NAME?</v>
      </c>
      <c r="D10" t="e">
        <f ca="1">_xll.BDH("CAVA US Equity","BS_ACCTS_REC_EXCL_NOTES_REC","FY 2022","FY 2022","Currency=USD","Period=FY","BEST_FPERIOD_OVERRIDE=FY","FILING_STATUS=MR","SCALING_FORMAT=MLN","Sort=A","Dates=H","DateFormat=P","Fill=—","Direction=H","UseDPDF=Y")</f>
        <v>#NAME?</v>
      </c>
      <c r="E10" t="e">
        <f ca="1">_xll.BDH("CAVA US Equity","BS_ACCTS_REC_EXCL_NOTES_REC","FY 2023","FY 2023","Currency=USD","Period=FY","BEST_FPERIOD_OVERRIDE=FY","FILING_STATUS=MR","SCALING_FORMAT=MLN","Sort=A","Dates=H","DateFormat=P","Fill=—","Direction=H","UseDPDF=Y")</f>
        <v>#NAME?</v>
      </c>
    </row>
    <row r="11" spans="1:5" x14ac:dyDescent="0.25">
      <c r="A11" t="s">
        <v>293</v>
      </c>
      <c r="B11" t="s">
        <v>294</v>
      </c>
      <c r="C11" t="e">
        <f ca="1">_xll.BDH("CAVA US Equity","NOTES_RECEIVABLE","FY 2021","FY 2021","Currency=USD","Period=FY","BEST_FPERIOD_OVERRIDE=FY","FILING_STATUS=MR","SCALING_FORMAT=MLN","Sort=A","Dates=H","DateFormat=P","Fill=—","Direction=H","UseDPDF=Y")</f>
        <v>#NAME?</v>
      </c>
      <c r="D11" t="e">
        <f ca="1">_xll.BDH("CAVA US Equity","NOTES_RECEIVABLE","FY 2022","FY 2022","Currency=USD","Period=FY","BEST_FPERIOD_OVERRIDE=FY","FILING_STATUS=MR","SCALING_FORMAT=MLN","Sort=A","Dates=H","DateFormat=P","Fill=—","Direction=H","UseDPDF=Y")</f>
        <v>#NAME?</v>
      </c>
      <c r="E11" t="e">
        <f ca="1">_xll.BDH("CAVA US Equity","NOTES_RECEIVABLE","FY 2023","FY 2023","Currency=USD","Period=FY","BEST_FPERIOD_OVERRIDE=FY","FILING_STATUS=MR","SCALING_FORMAT=MLN","Sort=A","Dates=H","DateFormat=P","Fill=—","Direction=H","UseDPDF=Y")</f>
        <v>#NAME?</v>
      </c>
    </row>
    <row r="12" spans="1:5" x14ac:dyDescent="0.25">
      <c r="A12" t="s">
        <v>295</v>
      </c>
      <c r="B12" t="s">
        <v>296</v>
      </c>
      <c r="C12" t="e">
        <f ca="1">_xll.BDH("CAVA US Equity","BS_INVENTORIES","FY 2021","FY 2021","Currency=USD","Period=FY","BEST_FPERIOD_OVERRIDE=FY","FILING_STATUS=MR","SCALING_FORMAT=MLN","Sort=A","Dates=H","DateFormat=P","Fill=—","Direction=H","UseDPDF=Y")</f>
        <v>#NAME?</v>
      </c>
      <c r="D12" t="e">
        <f ca="1">_xll.BDH("CAVA US Equity","BS_INVENTORIES","FY 2022","FY 2022","Currency=USD","Period=FY","BEST_FPERIOD_OVERRIDE=FY","FILING_STATUS=MR","SCALING_FORMAT=MLN","Sort=A","Dates=H","DateFormat=P","Fill=—","Direction=H","UseDPDF=Y")</f>
        <v>#NAME?</v>
      </c>
      <c r="E12" t="e">
        <f ca="1">_xll.BDH("CAVA US Equity","BS_INVENTORIES","FY 2023","FY 2023","Currency=USD","Period=FY","BEST_FPERIOD_OVERRIDE=FY","FILING_STATUS=MR","SCALING_FORMAT=MLN","Sort=A","Dates=H","DateFormat=P","Fill=—","Direction=H","UseDPDF=Y")</f>
        <v>#NAME?</v>
      </c>
    </row>
    <row r="13" spans="1:5" x14ac:dyDescent="0.25">
      <c r="A13" t="s">
        <v>297</v>
      </c>
      <c r="B13" t="s">
        <v>298</v>
      </c>
      <c r="C13" t="e">
        <f ca="1">_xll.BDH("CAVA US Equity","OTHER_CURRENT_ASSETS_DETAILED","FY 2021","FY 2021","Currency=USD","Period=FY","BEST_FPERIOD_OVERRIDE=FY","FILING_STATUS=MR","SCALING_FORMAT=MLN","Sort=A","Dates=H","DateFormat=P","Fill=—","Direction=H","UseDPDF=Y")</f>
        <v>#NAME?</v>
      </c>
      <c r="D13" t="e">
        <f ca="1">_xll.BDH("CAVA US Equity","OTHER_CURRENT_ASSETS_DETAILED","FY 2022","FY 2022","Currency=USD","Period=FY","BEST_FPERIOD_OVERRIDE=FY","FILING_STATUS=MR","SCALING_FORMAT=MLN","Sort=A","Dates=H","DateFormat=P","Fill=—","Direction=H","UseDPDF=Y")</f>
        <v>#NAME?</v>
      </c>
      <c r="E13" t="e">
        <f ca="1">_xll.BDH("CAVA US Equity","OTHER_CURRENT_ASSETS_DETAILED","FY 2023","FY 2023","Currency=USD","Period=FY","BEST_FPERIOD_OVERRIDE=FY","FILING_STATUS=MR","SCALING_FORMAT=MLN","Sort=A","Dates=H","DateFormat=P","Fill=—","Direction=H","UseDPDF=Y")</f>
        <v>#NAME?</v>
      </c>
    </row>
    <row r="14" spans="1:5" x14ac:dyDescent="0.25">
      <c r="A14" t="s">
        <v>299</v>
      </c>
      <c r="B14" t="s">
        <v>300</v>
      </c>
      <c r="C14" t="e">
        <f ca="1">_xll.BDH("CAVA US Equity","BS_DERIV_HEDGING_ASST_ST","FY 2021","FY 2021","Currency=USD","Period=FY","BEST_FPERIOD_OVERRIDE=FY","FILING_STATUS=MR","SCALING_FORMAT=MLN","Sort=A","Dates=H","DateFormat=P","Fill=—","Direction=H","UseDPDF=Y")</f>
        <v>#NAME?</v>
      </c>
      <c r="D14" t="e">
        <f ca="1">_xll.BDH("CAVA US Equity","BS_DERIV_HEDGING_ASST_ST","FY 2022","FY 2022","Currency=USD","Period=FY","BEST_FPERIOD_OVERRIDE=FY","FILING_STATUS=MR","SCALING_FORMAT=MLN","Sort=A","Dates=H","DateFormat=P","Fill=—","Direction=H","UseDPDF=Y")</f>
        <v>#NAME?</v>
      </c>
      <c r="E14" t="e">
        <f ca="1">_xll.BDH("CAVA US Equity","BS_DERIV_HEDGING_ASST_ST","FY 2023","FY 2023","Currency=USD","Period=FY","BEST_FPERIOD_OVERRIDE=FY","FILING_STATUS=MR","SCALING_FORMAT=MLN","Sort=A","Dates=H","DateFormat=P","Fill=—","Direction=H","UseDPDF=Y")</f>
        <v>#NAME?</v>
      </c>
    </row>
    <row r="15" spans="1:5" x14ac:dyDescent="0.25">
      <c r="A15" t="s">
        <v>301</v>
      </c>
      <c r="B15" t="s">
        <v>302</v>
      </c>
      <c r="C15" t="e">
        <f ca="1">_xll.BDH("CAVA US Equity","BS_OTHER_CUR_ASSET_LESS_PREPAY","FY 2021","FY 2021","Currency=USD","Period=FY","BEST_FPERIOD_OVERRIDE=FY","FILING_STATUS=MR","SCALING_FORMAT=MLN","Sort=A","Dates=H","DateFormat=P","Fill=—","Direction=H","UseDPDF=Y")</f>
        <v>#NAME?</v>
      </c>
      <c r="D15" t="e">
        <f ca="1">_xll.BDH("CAVA US Equity","BS_OTHER_CUR_ASSET_LESS_PREPAY","FY 2022","FY 2022","Currency=USD","Period=FY","BEST_FPERIOD_OVERRIDE=FY","FILING_STATUS=MR","SCALING_FORMAT=MLN","Sort=A","Dates=H","DateFormat=P","Fill=—","Direction=H","UseDPDF=Y")</f>
        <v>#NAME?</v>
      </c>
      <c r="E15" t="e">
        <f ca="1">_xll.BDH("CAVA US Equity","BS_OTHER_CUR_ASSET_LESS_PREPAY","FY 2023","FY 2023","Currency=USD","Period=FY","BEST_FPERIOD_OVERRIDE=FY","FILING_STATUS=MR","SCALING_FORMAT=MLN","Sort=A","Dates=H","DateFormat=P","Fill=—","Direction=H","UseDPDF=Y")</f>
        <v>#NAME?</v>
      </c>
    </row>
    <row r="16" spans="1:5" x14ac:dyDescent="0.25">
      <c r="A16" t="s">
        <v>303</v>
      </c>
      <c r="B16" t="s">
        <v>304</v>
      </c>
      <c r="C16" t="e">
        <f ca="1">_xll.BDH("CAVA US Equity","BS_CUR_ASSET_REPORT","FY 2021","FY 2021","Currency=USD","Period=FY","BEST_FPERIOD_OVERRIDE=FY","FILING_STATUS=MR","SCALING_FORMAT=MLN","Sort=A","Dates=H","DateFormat=P","Fill=—","Direction=H","UseDPDF=Y")</f>
        <v>#NAME?</v>
      </c>
      <c r="D16" t="e">
        <f ca="1">_xll.BDH("CAVA US Equity","BS_CUR_ASSET_REPORT","FY 2022","FY 2022","Currency=USD","Period=FY","BEST_FPERIOD_OVERRIDE=FY","FILING_STATUS=MR","SCALING_FORMAT=MLN","Sort=A","Dates=H","DateFormat=P","Fill=—","Direction=H","UseDPDF=Y")</f>
        <v>#NAME?</v>
      </c>
      <c r="E16" t="e">
        <f ca="1">_xll.BDH("CAVA US Equity","BS_CUR_ASSET_REPORT","FY 2023","FY 2023","Currency=USD","Period=FY","BEST_FPERIOD_OVERRIDE=FY","FILING_STATUS=MR","SCALING_FORMAT=MLN","Sort=A","Dates=H","DateFormat=P","Fill=—","Direction=H","UseDPDF=Y")</f>
        <v>#NAME?</v>
      </c>
    </row>
    <row r="17" spans="1:5" x14ac:dyDescent="0.25">
      <c r="A17" t="s">
        <v>305</v>
      </c>
      <c r="B17" t="s">
        <v>306</v>
      </c>
      <c r="C17" t="e">
        <f ca="1">_xll.BDH("CAVA US Equity","BS_NET_FIX_ASSET","FY 2021","FY 2021","Currency=USD","Period=FY","BEST_FPERIOD_OVERRIDE=FY","FILING_STATUS=MR","SCALING_FORMAT=MLN","Sort=A","Dates=H","DateFormat=P","Fill=—","Direction=H","UseDPDF=Y")</f>
        <v>#NAME?</v>
      </c>
      <c r="D17" t="e">
        <f ca="1">_xll.BDH("CAVA US Equity","BS_NET_FIX_ASSET","FY 2022","FY 2022","Currency=USD","Period=FY","BEST_FPERIOD_OVERRIDE=FY","FILING_STATUS=MR","SCALING_FORMAT=MLN","Sort=A","Dates=H","DateFormat=P","Fill=—","Direction=H","UseDPDF=Y")</f>
        <v>#NAME?</v>
      </c>
      <c r="E17" t="e">
        <f ca="1">_xll.BDH("CAVA US Equity","BS_NET_FIX_ASSET","FY 2023","FY 2023","Currency=USD","Period=FY","BEST_FPERIOD_OVERRIDE=FY","FILING_STATUS=MR","SCALING_FORMAT=MLN","Sort=A","Dates=H","DateFormat=P","Fill=—","Direction=H","UseDPDF=Y")</f>
        <v>#NAME?</v>
      </c>
    </row>
    <row r="18" spans="1:5" x14ac:dyDescent="0.25">
      <c r="A18" t="s">
        <v>307</v>
      </c>
      <c r="B18" t="s">
        <v>308</v>
      </c>
      <c r="C18" t="e">
        <f ca="1">_xll.BDH("CAVA US Equity","BS_GROSS_FIX_ASSET","FY 2021","FY 2021","Currency=USD","Period=FY","BEST_FPERIOD_OVERRIDE=FY","FILING_STATUS=MR","SCALING_FORMAT=MLN","Sort=A","Dates=H","DateFormat=P","Fill=—","Direction=H","UseDPDF=Y")</f>
        <v>#NAME?</v>
      </c>
      <c r="D18" t="e">
        <f ca="1">_xll.BDH("CAVA US Equity","BS_GROSS_FIX_ASSET","FY 2022","FY 2022","Currency=USD","Period=FY","BEST_FPERIOD_OVERRIDE=FY","FILING_STATUS=MR","SCALING_FORMAT=MLN","Sort=A","Dates=H","DateFormat=P","Fill=—","Direction=H","UseDPDF=Y")</f>
        <v>#NAME?</v>
      </c>
      <c r="E18" t="e">
        <f ca="1">_xll.BDH("CAVA US Equity","BS_GROSS_FIX_ASSET","FY 2023","FY 2023","Currency=USD","Period=FY","BEST_FPERIOD_OVERRIDE=FY","FILING_STATUS=MR","SCALING_FORMAT=MLN","Sort=A","Dates=H","DateFormat=P","Fill=—","Direction=H","UseDPDF=Y")</f>
        <v>#NAME?</v>
      </c>
    </row>
    <row r="19" spans="1:5" x14ac:dyDescent="0.25">
      <c r="A19" t="s">
        <v>309</v>
      </c>
      <c r="B19" t="s">
        <v>310</v>
      </c>
      <c r="C19" t="e">
        <f ca="1">_xll.BDH("CAVA US Equity","BS_ACCUM_DEPR","FY 2021","FY 2021","Currency=USD","Period=FY","BEST_FPERIOD_OVERRIDE=FY","FILING_STATUS=MR","SCALING_FORMAT=MLN","Sort=A","Dates=H","DateFormat=P","Fill=—","Direction=H","UseDPDF=Y")</f>
        <v>#NAME?</v>
      </c>
      <c r="D19" t="e">
        <f ca="1">_xll.BDH("CAVA US Equity","BS_ACCUM_DEPR","FY 2022","FY 2022","Currency=USD","Period=FY","BEST_FPERIOD_OVERRIDE=FY","FILING_STATUS=MR","SCALING_FORMAT=MLN","Sort=A","Dates=H","DateFormat=P","Fill=—","Direction=H","UseDPDF=Y")</f>
        <v>#NAME?</v>
      </c>
      <c r="E19" t="e">
        <f ca="1">_xll.BDH("CAVA US Equity","BS_ACCUM_DEPR","FY 2023","FY 2023","Currency=USD","Period=FY","BEST_FPERIOD_OVERRIDE=FY","FILING_STATUS=MR","SCALING_FORMAT=MLN","Sort=A","Dates=H","DateFormat=P","Fill=—","Direction=H","UseDPDF=Y")</f>
        <v>#NAME?</v>
      </c>
    </row>
    <row r="20" spans="1:5" x14ac:dyDescent="0.25">
      <c r="A20" t="s">
        <v>311</v>
      </c>
      <c r="B20" t="s">
        <v>312</v>
      </c>
      <c r="C20" t="e">
        <f ca="1">_xll.BDH("CAVA US Equity","BS_LT_INVEST","FY 2021","FY 2021","Currency=USD","Period=FY","BEST_FPERIOD_OVERRIDE=FY","FILING_STATUS=MR","SCALING_FORMAT=MLN","Sort=A","Dates=H","DateFormat=P","Fill=—","Direction=H","UseDPDF=Y")</f>
        <v>#NAME?</v>
      </c>
      <c r="D20" t="e">
        <f ca="1">_xll.BDH("CAVA US Equity","BS_LT_INVEST","FY 2022","FY 2022","Currency=USD","Period=FY","BEST_FPERIOD_OVERRIDE=FY","FILING_STATUS=MR","SCALING_FORMAT=MLN","Sort=A","Dates=H","DateFormat=P","Fill=—","Direction=H","UseDPDF=Y")</f>
        <v>#NAME?</v>
      </c>
      <c r="E20" t="e">
        <f ca="1">_xll.BDH("CAVA US Equity","BS_LT_INVEST","FY 2023","FY 2023","Currency=USD","Period=FY","BEST_FPERIOD_OVERRIDE=FY","FILING_STATUS=MR","SCALING_FORMAT=MLN","Sort=A","Dates=H","DateFormat=P","Fill=—","Direction=H","UseDPDF=Y")</f>
        <v>#NAME?</v>
      </c>
    </row>
    <row r="21" spans="1:5" x14ac:dyDescent="0.25">
      <c r="A21" t="s">
        <v>313</v>
      </c>
      <c r="B21" t="s">
        <v>314</v>
      </c>
      <c r="C21" t="e">
        <f ca="1">_xll.BDH("CAVA US Equity","BS_OTHER_ASSETS_DEF_CHRG_OTHER","FY 2021","FY 2021","Currency=USD","Period=FY","BEST_FPERIOD_OVERRIDE=FY","FILING_STATUS=MR","SCALING_FORMAT=MLN","Sort=A","Dates=H","DateFormat=P","Fill=—","Direction=H","UseDPDF=Y")</f>
        <v>#NAME?</v>
      </c>
      <c r="D21" t="e">
        <f ca="1">_xll.BDH("CAVA US Equity","BS_OTHER_ASSETS_DEF_CHRG_OTHER","FY 2022","FY 2022","Currency=USD","Period=FY","BEST_FPERIOD_OVERRIDE=FY","FILING_STATUS=MR","SCALING_FORMAT=MLN","Sort=A","Dates=H","DateFormat=P","Fill=—","Direction=H","UseDPDF=Y")</f>
        <v>#NAME?</v>
      </c>
      <c r="E21" t="e">
        <f ca="1">_xll.BDH("CAVA US Equity","BS_OTHER_ASSETS_DEF_CHRG_OTHER","FY 2023","FY 2023","Currency=USD","Period=FY","BEST_FPERIOD_OVERRIDE=FY","FILING_STATUS=MR","SCALING_FORMAT=MLN","Sort=A","Dates=H","DateFormat=P","Fill=—","Direction=H","UseDPDF=Y")</f>
        <v>#NAME?</v>
      </c>
    </row>
    <row r="22" spans="1:5" x14ac:dyDescent="0.25">
      <c r="A22" t="s">
        <v>315</v>
      </c>
      <c r="B22" t="s">
        <v>316</v>
      </c>
      <c r="C22" t="e">
        <f ca="1">_xll.BDH("CAVA US Equity","BS_DISCLOSED_INTANGIBLES","FY 2021","FY 2021","Currency=USD","Period=FY","BEST_FPERIOD_OVERRIDE=FY","FILING_STATUS=MR","SCALING_FORMAT=MLN","Sort=A","Dates=H","DateFormat=P","Fill=—","Direction=H","UseDPDF=Y")</f>
        <v>#NAME?</v>
      </c>
      <c r="D22" t="e">
        <f ca="1">_xll.BDH("CAVA US Equity","BS_DISCLOSED_INTANGIBLES","FY 2022","FY 2022","Currency=USD","Period=FY","BEST_FPERIOD_OVERRIDE=FY","FILING_STATUS=MR","SCALING_FORMAT=MLN","Sort=A","Dates=H","DateFormat=P","Fill=—","Direction=H","UseDPDF=Y")</f>
        <v>#NAME?</v>
      </c>
      <c r="E22" t="e">
        <f ca="1">_xll.BDH("CAVA US Equity","BS_DISCLOSED_INTANGIBLES","FY 2023","FY 2023","Currency=USD","Period=FY","BEST_FPERIOD_OVERRIDE=FY","FILING_STATUS=MR","SCALING_FORMAT=MLN","Sort=A","Dates=H","DateFormat=P","Fill=—","Direction=H","UseDPDF=Y")</f>
        <v>#NAME?</v>
      </c>
    </row>
    <row r="23" spans="1:5" x14ac:dyDescent="0.25">
      <c r="A23" t="s">
        <v>317</v>
      </c>
      <c r="B23" t="s">
        <v>318</v>
      </c>
      <c r="C23" t="e">
        <f ca="1">_xll.BDH("CAVA US Equity","BS_GOODWILL","FY 2021","FY 2021","Currency=USD","Period=FY","BEST_FPERIOD_OVERRIDE=FY","FILING_STATUS=MR","SCALING_FORMAT=MLN","Sort=A","Dates=H","DateFormat=P","Fill=—","Direction=H","UseDPDF=Y")</f>
        <v>#NAME?</v>
      </c>
      <c r="D23" t="e">
        <f ca="1">_xll.BDH("CAVA US Equity","BS_GOODWILL","FY 2022","FY 2022","Currency=USD","Period=FY","BEST_FPERIOD_OVERRIDE=FY","FILING_STATUS=MR","SCALING_FORMAT=MLN","Sort=A","Dates=H","DateFormat=P","Fill=—","Direction=H","UseDPDF=Y")</f>
        <v>#NAME?</v>
      </c>
      <c r="E23" t="e">
        <f ca="1">_xll.BDH("CAVA US Equity","BS_GOODWILL","FY 2023","FY 2023","Currency=USD","Period=FY","BEST_FPERIOD_OVERRIDE=FY","FILING_STATUS=MR","SCALING_FORMAT=MLN","Sort=A","Dates=H","DateFormat=P","Fill=—","Direction=H","UseDPDF=Y")</f>
        <v>#NAME?</v>
      </c>
    </row>
    <row r="24" spans="1:5" x14ac:dyDescent="0.25">
      <c r="A24" t="s">
        <v>319</v>
      </c>
      <c r="B24" t="s">
        <v>320</v>
      </c>
      <c r="C24" t="e">
        <f ca="1">_xll.BDH("CAVA US Equity","OTHER_INTANGIBLE_ASSETS_DETAILED","FY 2021","FY 2021","Currency=USD","Period=FY","BEST_FPERIOD_OVERRIDE=FY","FILING_STATUS=MR","SCALING_FORMAT=MLN","Sort=A","Dates=H","DateFormat=P","Fill=—","Direction=H","UseDPDF=Y")</f>
        <v>#NAME?</v>
      </c>
      <c r="D24" t="e">
        <f ca="1">_xll.BDH("CAVA US Equity","OTHER_INTANGIBLE_ASSETS_DETAILED","FY 2022","FY 2022","Currency=USD","Period=FY","BEST_FPERIOD_OVERRIDE=FY","FILING_STATUS=MR","SCALING_FORMAT=MLN","Sort=A","Dates=H","DateFormat=P","Fill=—","Direction=H","UseDPDF=Y")</f>
        <v>#NAME?</v>
      </c>
      <c r="E24" t="e">
        <f ca="1">_xll.BDH("CAVA US Equity","OTHER_INTANGIBLE_ASSETS_DETAILED","FY 2023","FY 2023","Currency=USD","Period=FY","BEST_FPERIOD_OVERRIDE=FY","FILING_STATUS=MR","SCALING_FORMAT=MLN","Sort=A","Dates=H","DateFormat=P","Fill=—","Direction=H","UseDPDF=Y")</f>
        <v>#NAME?</v>
      </c>
    </row>
    <row r="25" spans="1:5" x14ac:dyDescent="0.25">
      <c r="A25" t="s">
        <v>299</v>
      </c>
      <c r="B25" t="s">
        <v>321</v>
      </c>
      <c r="C25" t="e">
        <f ca="1">_xll.BDH("CAVA US Equity","BS_DERIV_HEDGING_ASST_LT","FY 2021","FY 2021","Currency=USD","Period=FY","BEST_FPERIOD_OVERRIDE=FY","FILING_STATUS=MR","SCALING_FORMAT=MLN","Sort=A","Dates=H","DateFormat=P","Fill=—","Direction=H","UseDPDF=Y")</f>
        <v>#NAME?</v>
      </c>
      <c r="D25" t="e">
        <f ca="1">_xll.BDH("CAVA US Equity","BS_DERIV_HEDGING_ASST_LT","FY 2022","FY 2022","Currency=USD","Period=FY","BEST_FPERIOD_OVERRIDE=FY","FILING_STATUS=MR","SCALING_FORMAT=MLN","Sort=A","Dates=H","DateFormat=P","Fill=—","Direction=H","UseDPDF=Y")</f>
        <v>#NAME?</v>
      </c>
      <c r="E25" t="e">
        <f ca="1">_xll.BDH("CAVA US Equity","BS_DERIV_HEDGING_ASST_LT","FY 2023","FY 2023","Currency=USD","Period=FY","BEST_FPERIOD_OVERRIDE=FY","FILING_STATUS=MR","SCALING_FORMAT=MLN","Sort=A","Dates=H","DateFormat=P","Fill=—","Direction=H","UseDPDF=Y")</f>
        <v>#NAME?</v>
      </c>
    </row>
    <row r="26" spans="1:5" x14ac:dyDescent="0.25">
      <c r="A26" t="s">
        <v>322</v>
      </c>
      <c r="B26" t="s">
        <v>323</v>
      </c>
      <c r="C26" t="e">
        <f ca="1">_xll.BDH("CAVA US Equity","OTHER_NONCURRENT_ASSETS_DETAILED","FY 2021","FY 2021","Currency=USD","Period=FY","BEST_FPERIOD_OVERRIDE=FY","FILING_STATUS=MR","SCALING_FORMAT=MLN","Sort=A","Dates=H","DateFormat=P","Fill=—","Direction=H","UseDPDF=Y")</f>
        <v>#NAME?</v>
      </c>
      <c r="D26" t="e">
        <f ca="1">_xll.BDH("CAVA US Equity","OTHER_NONCURRENT_ASSETS_DETAILED","FY 2022","FY 2022","Currency=USD","Period=FY","BEST_FPERIOD_OVERRIDE=FY","FILING_STATUS=MR","SCALING_FORMAT=MLN","Sort=A","Dates=H","DateFormat=P","Fill=—","Direction=H","UseDPDF=Y")</f>
        <v>#NAME?</v>
      </c>
      <c r="E26" t="e">
        <f ca="1">_xll.BDH("CAVA US Equity","OTHER_NONCURRENT_ASSETS_DETAILED","FY 2023","FY 2023","Currency=USD","Period=FY","BEST_FPERIOD_OVERRIDE=FY","FILING_STATUS=MR","SCALING_FORMAT=MLN","Sort=A","Dates=H","DateFormat=P","Fill=—","Direction=H","UseDPDF=Y")</f>
        <v>#NAME?</v>
      </c>
    </row>
    <row r="27" spans="1:5" x14ac:dyDescent="0.25">
      <c r="A27" t="s">
        <v>324</v>
      </c>
      <c r="B27" t="s">
        <v>325</v>
      </c>
      <c r="C27" t="e">
        <f ca="1">_xll.BDH("CAVA US Equity","BS_TOT_NON_CUR_ASSET","FY 2021","FY 2021","Currency=USD","Period=FY","BEST_FPERIOD_OVERRIDE=FY","FILING_STATUS=MR","SCALING_FORMAT=MLN","Sort=A","Dates=H","DateFormat=P","Fill=—","Direction=H","UseDPDF=Y")</f>
        <v>#NAME?</v>
      </c>
      <c r="D27" t="e">
        <f ca="1">_xll.BDH("CAVA US Equity","BS_TOT_NON_CUR_ASSET","FY 2022","FY 2022","Currency=USD","Period=FY","BEST_FPERIOD_OVERRIDE=FY","FILING_STATUS=MR","SCALING_FORMAT=MLN","Sort=A","Dates=H","DateFormat=P","Fill=—","Direction=H","UseDPDF=Y")</f>
        <v>#NAME?</v>
      </c>
      <c r="E27" t="e">
        <f ca="1">_xll.BDH("CAVA US Equity","BS_TOT_NON_CUR_ASSET","FY 2023","FY 2023","Currency=USD","Period=FY","BEST_FPERIOD_OVERRIDE=FY","FILING_STATUS=MR","SCALING_FORMAT=MLN","Sort=A","Dates=H","DateFormat=P","Fill=—","Direction=H","UseDPDF=Y")</f>
        <v>#NAME?</v>
      </c>
    </row>
    <row r="28" spans="1:5" x14ac:dyDescent="0.25">
      <c r="A28" t="s">
        <v>282</v>
      </c>
      <c r="B28" t="s">
        <v>326</v>
      </c>
      <c r="C28" t="e">
        <f ca="1">_xll.BDH("CAVA US Equity","BS_TOT_ASSET","FY 2021","FY 2021","Currency=USD","Period=FY","BEST_FPERIOD_OVERRIDE=FY","FILING_STATUS=MR","SCALING_FORMAT=MLN","Sort=A","Dates=H","DateFormat=P","Fill=—","Direction=H","UseDPDF=Y")</f>
        <v>#NAME?</v>
      </c>
      <c r="D28" t="e">
        <f ca="1">_xll.BDH("CAVA US Equity","BS_TOT_ASSET","FY 2022","FY 2022","Currency=USD","Period=FY","BEST_FPERIOD_OVERRIDE=FY","FILING_STATUS=MR","SCALING_FORMAT=MLN","Sort=A","Dates=H","DateFormat=P","Fill=—","Direction=H","UseDPDF=Y")</f>
        <v>#NAME?</v>
      </c>
      <c r="E28" t="e">
        <f ca="1">_xll.BDH("CAVA US Equity","BS_TOT_ASSET","FY 2023","FY 2023","Currency=USD","Period=FY","BEST_FPERIOD_OVERRIDE=FY","FILING_STATUS=MR","SCALING_FORMAT=MLN","Sort=A","Dates=H","DateFormat=P","Fill=—","Direction=H","UseDPDF=Y")</f>
        <v>#NAME?</v>
      </c>
    </row>
    <row r="30" spans="1:5" x14ac:dyDescent="0.25">
      <c r="A30" t="s">
        <v>327</v>
      </c>
    </row>
    <row r="31" spans="1:5" x14ac:dyDescent="0.25">
      <c r="A31" t="s">
        <v>328</v>
      </c>
      <c r="B31" t="s">
        <v>329</v>
      </c>
      <c r="C31" t="e">
        <f ca="1">_xll.BDH("CAVA US Equity","ACCT_PAYABLE_ACCRUALS_DETAILED","FY 2021","FY 2021","Currency=USD","Period=FY","BEST_FPERIOD_OVERRIDE=FY","FILING_STATUS=MR","SCALING_FORMAT=MLN","Sort=A","Dates=H","DateFormat=P","Fill=—","Direction=H","UseDPDF=Y")</f>
        <v>#NAME?</v>
      </c>
      <c r="D31" t="e">
        <f ca="1">_xll.BDH("CAVA US Equity","ACCT_PAYABLE_ACCRUALS_DETAILED","FY 2022","FY 2022","Currency=USD","Period=FY","BEST_FPERIOD_OVERRIDE=FY","FILING_STATUS=MR","SCALING_FORMAT=MLN","Sort=A","Dates=H","DateFormat=P","Fill=—","Direction=H","UseDPDF=Y")</f>
        <v>#NAME?</v>
      </c>
      <c r="E31" t="e">
        <f ca="1">_xll.BDH("CAVA US Equity","ACCT_PAYABLE_ACCRUALS_DETAILED","FY 2023","FY 2023","Currency=USD","Period=FY","BEST_FPERIOD_OVERRIDE=FY","FILING_STATUS=MR","SCALING_FORMAT=MLN","Sort=A","Dates=H","DateFormat=P","Fill=—","Direction=H","UseDPDF=Y")</f>
        <v>#NAME?</v>
      </c>
    </row>
    <row r="32" spans="1:5" x14ac:dyDescent="0.25">
      <c r="A32" t="s">
        <v>330</v>
      </c>
      <c r="B32" t="s">
        <v>331</v>
      </c>
      <c r="C32" t="e">
        <f ca="1">_xll.BDH("CAVA US Equity","BS_ACCT_PAYABLE","FY 2021","FY 2021","Currency=USD","Period=FY","BEST_FPERIOD_OVERRIDE=FY","FILING_STATUS=MR","SCALING_FORMAT=MLN","Sort=A","Dates=H","DateFormat=P","Fill=—","Direction=H","UseDPDF=Y")</f>
        <v>#NAME?</v>
      </c>
      <c r="D32" t="e">
        <f ca="1">_xll.BDH("CAVA US Equity","BS_ACCT_PAYABLE","FY 2022","FY 2022","Currency=USD","Period=FY","BEST_FPERIOD_OVERRIDE=FY","FILING_STATUS=MR","SCALING_FORMAT=MLN","Sort=A","Dates=H","DateFormat=P","Fill=—","Direction=H","UseDPDF=Y")</f>
        <v>#NAME?</v>
      </c>
      <c r="E32" t="e">
        <f ca="1">_xll.BDH("CAVA US Equity","BS_ACCT_PAYABLE","FY 2023","FY 2023","Currency=USD","Period=FY","BEST_FPERIOD_OVERRIDE=FY","FILING_STATUS=MR","SCALING_FORMAT=MLN","Sort=A","Dates=H","DateFormat=P","Fill=—","Direction=H","UseDPDF=Y")</f>
        <v>#NAME?</v>
      </c>
    </row>
    <row r="33" spans="1:5" x14ac:dyDescent="0.25">
      <c r="A33" t="s">
        <v>332</v>
      </c>
      <c r="B33" t="s">
        <v>333</v>
      </c>
      <c r="C33" t="e">
        <f ca="1">_xll.BDH("CAVA US Equity","BS_ACCRUAL","FY 2021","FY 2021","Currency=USD","Period=FY","BEST_FPERIOD_OVERRIDE=FY","FILING_STATUS=MR","SCALING_FORMAT=MLN","Sort=A","Dates=H","DateFormat=P","Fill=—","Direction=H","UseDPDF=Y")</f>
        <v>#NAME?</v>
      </c>
      <c r="D33" t="e">
        <f ca="1">_xll.BDH("CAVA US Equity","BS_ACCRUAL","FY 2022","FY 2022","Currency=USD","Period=FY","BEST_FPERIOD_OVERRIDE=FY","FILING_STATUS=MR","SCALING_FORMAT=MLN","Sort=A","Dates=H","DateFormat=P","Fill=—","Direction=H","UseDPDF=Y")</f>
        <v>#NAME?</v>
      </c>
      <c r="E33" t="e">
        <f ca="1">_xll.BDH("CAVA US Equity","BS_ACCRUAL","FY 2023","FY 2023","Currency=USD","Period=FY","BEST_FPERIOD_OVERRIDE=FY","FILING_STATUS=MR","SCALING_FORMAT=MLN","Sort=A","Dates=H","DateFormat=P","Fill=—","Direction=H","UseDPDF=Y")</f>
        <v>#NAME?</v>
      </c>
    </row>
    <row r="34" spans="1:5" x14ac:dyDescent="0.25">
      <c r="A34" t="s">
        <v>334</v>
      </c>
      <c r="B34" t="s">
        <v>335</v>
      </c>
      <c r="C34" t="e">
        <f ca="1">_xll.BDH("CAVA US Equity","BS_ST_BORROW","FY 2021","FY 2021","Currency=USD","Period=FY","BEST_FPERIOD_OVERRIDE=FY","FILING_STATUS=MR","SCALING_FORMAT=MLN","Sort=A","Dates=H","DateFormat=P","Fill=—","Direction=H","UseDPDF=Y")</f>
        <v>#NAME?</v>
      </c>
      <c r="D34" t="e">
        <f ca="1">_xll.BDH("CAVA US Equity","BS_ST_BORROW","FY 2022","FY 2022","Currency=USD","Period=FY","BEST_FPERIOD_OVERRIDE=FY","FILING_STATUS=MR","SCALING_FORMAT=MLN","Sort=A","Dates=H","DateFormat=P","Fill=—","Direction=H","UseDPDF=Y")</f>
        <v>#NAME?</v>
      </c>
      <c r="E34" t="e">
        <f ca="1">_xll.BDH("CAVA US Equity","BS_ST_BORROW","FY 2023","FY 2023","Currency=USD","Period=FY","BEST_FPERIOD_OVERRIDE=FY","FILING_STATUS=MR","SCALING_FORMAT=MLN","Sort=A","Dates=H","DateFormat=P","Fill=—","Direction=H","UseDPDF=Y")</f>
        <v>#NAME?</v>
      </c>
    </row>
    <row r="35" spans="1:5" x14ac:dyDescent="0.25">
      <c r="A35" t="s">
        <v>336</v>
      </c>
      <c r="B35" t="s">
        <v>337</v>
      </c>
      <c r="C35" t="e">
        <f ca="1">_xll.BDH("CAVA US Equity","SHORT_TERM_DEBT_DETAILED","FY 2021","FY 2021","Currency=USD","Period=FY","BEST_FPERIOD_OVERRIDE=FY","FILING_STATUS=MR","SCALING_FORMAT=MLN","Sort=A","Dates=H","DateFormat=P","Fill=—","Direction=H","UseDPDF=Y")</f>
        <v>#NAME?</v>
      </c>
      <c r="D35" t="e">
        <f ca="1">_xll.BDH("CAVA US Equity","SHORT_TERM_DEBT_DETAILED","FY 2022","FY 2022","Currency=USD","Period=FY","BEST_FPERIOD_OVERRIDE=FY","FILING_STATUS=MR","SCALING_FORMAT=MLN","Sort=A","Dates=H","DateFormat=P","Fill=—","Direction=H","UseDPDF=Y")</f>
        <v>#NAME?</v>
      </c>
      <c r="E35" t="e">
        <f ca="1">_xll.BDH("CAVA US Equity","SHORT_TERM_DEBT_DETAILED","FY 2023","FY 2023","Currency=USD","Period=FY","BEST_FPERIOD_OVERRIDE=FY","FILING_STATUS=MR","SCALING_FORMAT=MLN","Sort=A","Dates=H","DateFormat=P","Fill=—","Direction=H","UseDPDF=Y")</f>
        <v>#NAME?</v>
      </c>
    </row>
    <row r="36" spans="1:5" x14ac:dyDescent="0.25">
      <c r="A36" t="s">
        <v>338</v>
      </c>
      <c r="B36" t="s">
        <v>339</v>
      </c>
      <c r="C36" t="e">
        <f ca="1">_xll.BDH("CAVA US Equity","ST_CAPITALIZED_LEASE_LIABILITIES","FY 2021","FY 2021","Currency=USD","Period=FY","BEST_FPERIOD_OVERRIDE=FY","FILING_STATUS=MR","SCALING_FORMAT=MLN","Sort=A","Dates=H","DateFormat=P","Fill=—","Direction=H","UseDPDF=Y")</f>
        <v>#NAME?</v>
      </c>
      <c r="D36" t="e">
        <f ca="1">_xll.BDH("CAVA US Equity","ST_CAPITALIZED_LEASE_LIABILITIES","FY 2022","FY 2022","Currency=USD","Period=FY","BEST_FPERIOD_OVERRIDE=FY","FILING_STATUS=MR","SCALING_FORMAT=MLN","Sort=A","Dates=H","DateFormat=P","Fill=—","Direction=H","UseDPDF=Y")</f>
        <v>#NAME?</v>
      </c>
      <c r="E36" t="e">
        <f ca="1">_xll.BDH("CAVA US Equity","ST_CAPITALIZED_LEASE_LIABILITIES","FY 2023","FY 2023","Currency=USD","Period=FY","BEST_FPERIOD_OVERRIDE=FY","FILING_STATUS=MR","SCALING_FORMAT=MLN","Sort=A","Dates=H","DateFormat=P","Fill=—","Direction=H","UseDPDF=Y")</f>
        <v>#NAME?</v>
      </c>
    </row>
    <row r="37" spans="1:5" x14ac:dyDescent="0.25">
      <c r="A37" t="s">
        <v>340</v>
      </c>
      <c r="B37" t="s">
        <v>341</v>
      </c>
      <c r="C37" t="e">
        <f ca="1">_xll.BDH("CAVA US Equity","ST_CAPITAL_LEASE_OBLIGATIONS","FY 2021","FY 2021","Currency=USD","Period=FY","BEST_FPERIOD_OVERRIDE=FY","FILING_STATUS=MR","SCALING_FORMAT=MLN","Sort=A","Dates=H","DateFormat=P","Fill=—","Direction=H","UseDPDF=Y")</f>
        <v>#NAME?</v>
      </c>
      <c r="D37" t="e">
        <f ca="1">_xll.BDH("CAVA US Equity","ST_CAPITAL_LEASE_OBLIGATIONS","FY 2022","FY 2022","Currency=USD","Period=FY","BEST_FPERIOD_OVERRIDE=FY","FILING_STATUS=MR","SCALING_FORMAT=MLN","Sort=A","Dates=H","DateFormat=P","Fill=—","Direction=H","UseDPDF=Y")</f>
        <v>#NAME?</v>
      </c>
      <c r="E37" t="e">
        <f ca="1">_xll.BDH("CAVA US Equity","ST_CAPITAL_LEASE_OBLIGATIONS","FY 2023","FY 2023","Currency=USD","Period=FY","BEST_FPERIOD_OVERRIDE=FY","FILING_STATUS=MR","SCALING_FORMAT=MLN","Sort=A","Dates=H","DateFormat=P","Fill=—","Direction=H","UseDPDF=Y")</f>
        <v>#NAME?</v>
      </c>
    </row>
    <row r="38" spans="1:5" x14ac:dyDescent="0.25">
      <c r="A38" t="s">
        <v>342</v>
      </c>
      <c r="B38" t="s">
        <v>343</v>
      </c>
      <c r="C38" t="e">
        <f ca="1">_xll.BDH("CAVA US Equity","BS_ST_OPERATING_LEASE_LIABS","FY 2021","FY 2021","Currency=USD","Period=FY","BEST_FPERIOD_OVERRIDE=FY","FILING_STATUS=MR","SCALING_FORMAT=MLN","Sort=A","Dates=H","DateFormat=P","Fill=—","Direction=H","UseDPDF=Y")</f>
        <v>#NAME?</v>
      </c>
      <c r="D38" t="e">
        <f ca="1">_xll.BDH("CAVA US Equity","BS_ST_OPERATING_LEASE_LIABS","FY 2022","FY 2022","Currency=USD","Period=FY","BEST_FPERIOD_OVERRIDE=FY","FILING_STATUS=MR","SCALING_FORMAT=MLN","Sort=A","Dates=H","DateFormat=P","Fill=—","Direction=H","UseDPDF=Y")</f>
        <v>#NAME?</v>
      </c>
      <c r="E38" t="e">
        <f ca="1">_xll.BDH("CAVA US Equity","BS_ST_OPERATING_LEASE_LIABS","FY 2023","FY 2023","Currency=USD","Period=FY","BEST_FPERIOD_OVERRIDE=FY","FILING_STATUS=MR","SCALING_FORMAT=MLN","Sort=A","Dates=H","DateFormat=P","Fill=—","Direction=H","UseDPDF=Y")</f>
        <v>#NAME?</v>
      </c>
    </row>
    <row r="39" spans="1:5" x14ac:dyDescent="0.25">
      <c r="A39" t="s">
        <v>344</v>
      </c>
      <c r="B39" t="s">
        <v>345</v>
      </c>
      <c r="C39" t="e">
        <f ca="1">_xll.BDH("CAVA US Equity","OTHER_CURRENT_LIABS_SUB_DETAILED","FY 2021","FY 2021","Currency=USD","Period=FY","BEST_FPERIOD_OVERRIDE=FY","FILING_STATUS=MR","SCALING_FORMAT=MLN","Sort=A","Dates=H","DateFormat=P","Fill=—","Direction=H","UseDPDF=Y")</f>
        <v>#NAME?</v>
      </c>
      <c r="D39" t="e">
        <f ca="1">_xll.BDH("CAVA US Equity","OTHER_CURRENT_LIABS_SUB_DETAILED","FY 2022","FY 2022","Currency=USD","Period=FY","BEST_FPERIOD_OVERRIDE=FY","FILING_STATUS=MR","SCALING_FORMAT=MLN","Sort=A","Dates=H","DateFormat=P","Fill=—","Direction=H","UseDPDF=Y")</f>
        <v>#NAME?</v>
      </c>
      <c r="E39" t="e">
        <f ca="1">_xll.BDH("CAVA US Equity","OTHER_CURRENT_LIABS_SUB_DETAILED","FY 2023","FY 2023","Currency=USD","Period=FY","BEST_FPERIOD_OVERRIDE=FY","FILING_STATUS=MR","SCALING_FORMAT=MLN","Sort=A","Dates=H","DateFormat=P","Fill=—","Direction=H","UseDPDF=Y")</f>
        <v>#NAME?</v>
      </c>
    </row>
    <row r="40" spans="1:5" x14ac:dyDescent="0.25">
      <c r="A40" t="s">
        <v>346</v>
      </c>
      <c r="B40" t="s">
        <v>347</v>
      </c>
      <c r="C40" t="e">
        <f ca="1">_xll.BDH("CAVA US Equity","ST_DEFERRED_REVENUE","FY 2021","FY 2021","Currency=USD","Period=FY","BEST_FPERIOD_OVERRIDE=FY","FILING_STATUS=MR","SCALING_FORMAT=MLN","Sort=A","Dates=H","DateFormat=P","Fill=—","Direction=H","UseDPDF=Y")</f>
        <v>#NAME?</v>
      </c>
      <c r="D40" t="e">
        <f ca="1">_xll.BDH("CAVA US Equity","ST_DEFERRED_REVENUE","FY 2022","FY 2022","Currency=USD","Period=FY","BEST_FPERIOD_OVERRIDE=FY","FILING_STATUS=MR","SCALING_FORMAT=MLN","Sort=A","Dates=H","DateFormat=P","Fill=—","Direction=H","UseDPDF=Y")</f>
        <v>#NAME?</v>
      </c>
      <c r="E40" t="e">
        <f ca="1">_xll.BDH("CAVA US Equity","ST_DEFERRED_REVENUE","FY 2023","FY 2023","Currency=USD","Period=FY","BEST_FPERIOD_OVERRIDE=FY","FILING_STATUS=MR","SCALING_FORMAT=MLN","Sort=A","Dates=H","DateFormat=P","Fill=—","Direction=H","UseDPDF=Y")</f>
        <v>#NAME?</v>
      </c>
    </row>
    <row r="41" spans="1:5" x14ac:dyDescent="0.25">
      <c r="A41" t="s">
        <v>348</v>
      </c>
      <c r="B41" t="s">
        <v>349</v>
      </c>
      <c r="C41" t="e">
        <f ca="1">_xll.BDH("CAVA US Equity","BS_DERIV_HEDGING_LIAB_ST","FY 2021","FY 2021","Currency=USD","Period=FY","BEST_FPERIOD_OVERRIDE=FY","FILING_STATUS=MR","SCALING_FORMAT=MLN","Sort=A","Dates=H","DateFormat=P","Fill=—","Direction=H","UseDPDF=Y")</f>
        <v>#NAME?</v>
      </c>
      <c r="D41" t="e">
        <f ca="1">_xll.BDH("CAVA US Equity","BS_DERIV_HEDGING_LIAB_ST","FY 2022","FY 2022","Currency=USD","Period=FY","BEST_FPERIOD_OVERRIDE=FY","FILING_STATUS=MR","SCALING_FORMAT=MLN","Sort=A","Dates=H","DateFormat=P","Fill=—","Direction=H","UseDPDF=Y")</f>
        <v>#NAME?</v>
      </c>
      <c r="E41" t="e">
        <f ca="1">_xll.BDH("CAVA US Equity","BS_DERIV_HEDGING_LIAB_ST","FY 2023","FY 2023","Currency=USD","Period=FY","BEST_FPERIOD_OVERRIDE=FY","FILING_STATUS=MR","SCALING_FORMAT=MLN","Sort=A","Dates=H","DateFormat=P","Fill=—","Direction=H","UseDPDF=Y")</f>
        <v>#NAME?</v>
      </c>
    </row>
    <row r="42" spans="1:5" x14ac:dyDescent="0.25">
      <c r="A42" t="s">
        <v>350</v>
      </c>
      <c r="B42" t="s">
        <v>351</v>
      </c>
      <c r="C42" t="e">
        <f ca="1">_xll.BDH("CAVA US Equity","OTHER_CURRENT_LIABS_DETAILED","FY 2021","FY 2021","Currency=USD","Period=FY","BEST_FPERIOD_OVERRIDE=FY","FILING_STATUS=MR","SCALING_FORMAT=MLN","Sort=A","Dates=H","DateFormat=P","Fill=—","Direction=H","UseDPDF=Y")</f>
        <v>#NAME?</v>
      </c>
      <c r="D42" t="e">
        <f ca="1">_xll.BDH("CAVA US Equity","OTHER_CURRENT_LIABS_DETAILED","FY 2022","FY 2022","Currency=USD","Period=FY","BEST_FPERIOD_OVERRIDE=FY","FILING_STATUS=MR","SCALING_FORMAT=MLN","Sort=A","Dates=H","DateFormat=P","Fill=—","Direction=H","UseDPDF=Y")</f>
        <v>#NAME?</v>
      </c>
      <c r="E42" t="e">
        <f ca="1">_xll.BDH("CAVA US Equity","OTHER_CURRENT_LIABS_DETAILED","FY 2023","FY 2023","Currency=USD","Period=FY","BEST_FPERIOD_OVERRIDE=FY","FILING_STATUS=MR","SCALING_FORMAT=MLN","Sort=A","Dates=H","DateFormat=P","Fill=—","Direction=H","UseDPDF=Y")</f>
        <v>#NAME?</v>
      </c>
    </row>
    <row r="43" spans="1:5" x14ac:dyDescent="0.25">
      <c r="A43" t="s">
        <v>352</v>
      </c>
      <c r="B43" t="s">
        <v>353</v>
      </c>
      <c r="C43" t="e">
        <f ca="1">_xll.BDH("CAVA US Equity","BS_CUR_LIAB","FY 2021","FY 2021","Currency=USD","Period=FY","BEST_FPERIOD_OVERRIDE=FY","FILING_STATUS=MR","SCALING_FORMAT=MLN","Sort=A","Dates=H","DateFormat=P","Fill=—","Direction=H","UseDPDF=Y")</f>
        <v>#NAME?</v>
      </c>
      <c r="D43" t="e">
        <f ca="1">_xll.BDH("CAVA US Equity","BS_CUR_LIAB","FY 2022","FY 2022","Currency=USD","Period=FY","BEST_FPERIOD_OVERRIDE=FY","FILING_STATUS=MR","SCALING_FORMAT=MLN","Sort=A","Dates=H","DateFormat=P","Fill=—","Direction=H","UseDPDF=Y")</f>
        <v>#NAME?</v>
      </c>
      <c r="E43" t="e">
        <f ca="1">_xll.BDH("CAVA US Equity","BS_CUR_LIAB","FY 2023","FY 2023","Currency=USD","Period=FY","BEST_FPERIOD_OVERRIDE=FY","FILING_STATUS=MR","SCALING_FORMAT=MLN","Sort=A","Dates=H","DateFormat=P","Fill=—","Direction=H","UseDPDF=Y")</f>
        <v>#NAME?</v>
      </c>
    </row>
    <row r="44" spans="1:5" x14ac:dyDescent="0.25">
      <c r="A44" t="s">
        <v>354</v>
      </c>
      <c r="B44" t="s">
        <v>355</v>
      </c>
      <c r="C44" t="e">
        <f ca="1">_xll.BDH("CAVA US Equity","BS_LT_BORROW","FY 2021","FY 2021","Currency=USD","Period=FY","BEST_FPERIOD_OVERRIDE=FY","FILING_STATUS=MR","SCALING_FORMAT=MLN","Sort=A","Dates=H","DateFormat=P","Fill=—","Direction=H","UseDPDF=Y")</f>
        <v>#NAME?</v>
      </c>
      <c r="D44" t="e">
        <f ca="1">_xll.BDH("CAVA US Equity","BS_LT_BORROW","FY 2022","FY 2022","Currency=USD","Period=FY","BEST_FPERIOD_OVERRIDE=FY","FILING_STATUS=MR","SCALING_FORMAT=MLN","Sort=A","Dates=H","DateFormat=P","Fill=—","Direction=H","UseDPDF=Y")</f>
        <v>#NAME?</v>
      </c>
      <c r="E44" t="e">
        <f ca="1">_xll.BDH("CAVA US Equity","BS_LT_BORROW","FY 2023","FY 2023","Currency=USD","Period=FY","BEST_FPERIOD_OVERRIDE=FY","FILING_STATUS=MR","SCALING_FORMAT=MLN","Sort=A","Dates=H","DateFormat=P","Fill=—","Direction=H","UseDPDF=Y")</f>
        <v>#NAME?</v>
      </c>
    </row>
    <row r="45" spans="1:5" x14ac:dyDescent="0.25">
      <c r="A45" t="s">
        <v>356</v>
      </c>
      <c r="B45" t="s">
        <v>357</v>
      </c>
      <c r="C45" t="e">
        <f ca="1">_xll.BDH("CAVA US Equity","LONG_TERM_BORROWINGS_DETAILED","FY 2021","FY 2021","Currency=USD","Period=FY","BEST_FPERIOD_OVERRIDE=FY","FILING_STATUS=MR","SCALING_FORMAT=MLN","Sort=A","Dates=H","DateFormat=P","Fill=—","Direction=H","UseDPDF=Y")</f>
        <v>#NAME?</v>
      </c>
      <c r="D45" t="e">
        <f ca="1">_xll.BDH("CAVA US Equity","LONG_TERM_BORROWINGS_DETAILED","FY 2022","FY 2022","Currency=USD","Period=FY","BEST_FPERIOD_OVERRIDE=FY","FILING_STATUS=MR","SCALING_FORMAT=MLN","Sort=A","Dates=H","DateFormat=P","Fill=—","Direction=H","UseDPDF=Y")</f>
        <v>#NAME?</v>
      </c>
      <c r="E45" t="e">
        <f ca="1">_xll.BDH("CAVA US Equity","LONG_TERM_BORROWINGS_DETAILED","FY 2023","FY 2023","Currency=USD","Period=FY","BEST_FPERIOD_OVERRIDE=FY","FILING_STATUS=MR","SCALING_FORMAT=MLN","Sort=A","Dates=H","DateFormat=P","Fill=—","Direction=H","UseDPDF=Y")</f>
        <v>#NAME?</v>
      </c>
    </row>
    <row r="46" spans="1:5" x14ac:dyDescent="0.25">
      <c r="A46" t="s">
        <v>358</v>
      </c>
      <c r="B46" t="s">
        <v>359</v>
      </c>
      <c r="C46" t="e">
        <f ca="1">_xll.BDH("CAVA US Equity","LT_CAPITALIZED_LEASE_LIABILITIES","FY 2021","FY 2021","Currency=USD","Period=FY","BEST_FPERIOD_OVERRIDE=FY","FILING_STATUS=MR","SCALING_FORMAT=MLN","Sort=A","Dates=H","DateFormat=P","Fill=—","Direction=H","UseDPDF=Y")</f>
        <v>#NAME?</v>
      </c>
      <c r="D46" t="e">
        <f ca="1">_xll.BDH("CAVA US Equity","LT_CAPITALIZED_LEASE_LIABILITIES","FY 2022","FY 2022","Currency=USD","Period=FY","BEST_FPERIOD_OVERRIDE=FY","FILING_STATUS=MR","SCALING_FORMAT=MLN","Sort=A","Dates=H","DateFormat=P","Fill=—","Direction=H","UseDPDF=Y")</f>
        <v>#NAME?</v>
      </c>
      <c r="E46" t="e">
        <f ca="1">_xll.BDH("CAVA US Equity","LT_CAPITALIZED_LEASE_LIABILITIES","FY 2023","FY 2023","Currency=USD","Period=FY","BEST_FPERIOD_OVERRIDE=FY","FILING_STATUS=MR","SCALING_FORMAT=MLN","Sort=A","Dates=H","DateFormat=P","Fill=—","Direction=H","UseDPDF=Y")</f>
        <v>#NAME?</v>
      </c>
    </row>
    <row r="47" spans="1:5" x14ac:dyDescent="0.25">
      <c r="A47" t="s">
        <v>360</v>
      </c>
      <c r="B47" t="s">
        <v>361</v>
      </c>
      <c r="C47" t="e">
        <f ca="1">_xll.BDH("CAVA US Equity","LT_CAPITAL_LEASE_OBLIGATIONS","FY 2021","FY 2021","Currency=USD","Period=FY","BEST_FPERIOD_OVERRIDE=FY","FILING_STATUS=MR","SCALING_FORMAT=MLN","Sort=A","Dates=H","DateFormat=P","Fill=—","Direction=H","UseDPDF=Y")</f>
        <v>#NAME?</v>
      </c>
      <c r="D47" t="e">
        <f ca="1">_xll.BDH("CAVA US Equity","LT_CAPITAL_LEASE_OBLIGATIONS","FY 2022","FY 2022","Currency=USD","Period=FY","BEST_FPERIOD_OVERRIDE=FY","FILING_STATUS=MR","SCALING_FORMAT=MLN","Sort=A","Dates=H","DateFormat=P","Fill=—","Direction=H","UseDPDF=Y")</f>
        <v>#NAME?</v>
      </c>
      <c r="E47" t="e">
        <f ca="1">_xll.BDH("CAVA US Equity","LT_CAPITAL_LEASE_OBLIGATIONS","FY 2023","FY 2023","Currency=USD","Period=FY","BEST_FPERIOD_OVERRIDE=FY","FILING_STATUS=MR","SCALING_FORMAT=MLN","Sort=A","Dates=H","DateFormat=P","Fill=—","Direction=H","UseDPDF=Y")</f>
        <v>#NAME?</v>
      </c>
    </row>
    <row r="48" spans="1:5" x14ac:dyDescent="0.25">
      <c r="A48" t="s">
        <v>362</v>
      </c>
      <c r="B48" t="s">
        <v>363</v>
      </c>
      <c r="C48" t="e">
        <f ca="1">_xll.BDH("CAVA US Equity","BS_LT_OPERATING_LEASE_LIABS","FY 2021","FY 2021","Currency=USD","Period=FY","BEST_FPERIOD_OVERRIDE=FY","FILING_STATUS=MR","SCALING_FORMAT=MLN","Sort=A","Dates=H","DateFormat=P","Fill=—","Direction=H","UseDPDF=Y")</f>
        <v>#NAME?</v>
      </c>
      <c r="D48" t="e">
        <f ca="1">_xll.BDH("CAVA US Equity","BS_LT_OPERATING_LEASE_LIABS","FY 2022","FY 2022","Currency=USD","Period=FY","BEST_FPERIOD_OVERRIDE=FY","FILING_STATUS=MR","SCALING_FORMAT=MLN","Sort=A","Dates=H","DateFormat=P","Fill=—","Direction=H","UseDPDF=Y")</f>
        <v>#NAME?</v>
      </c>
      <c r="E48" t="e">
        <f ca="1">_xll.BDH("CAVA US Equity","BS_LT_OPERATING_LEASE_LIABS","FY 2023","FY 2023","Currency=USD","Period=FY","BEST_FPERIOD_OVERRIDE=FY","FILING_STATUS=MR","SCALING_FORMAT=MLN","Sort=A","Dates=H","DateFormat=P","Fill=—","Direction=H","UseDPDF=Y")</f>
        <v>#NAME?</v>
      </c>
    </row>
    <row r="49" spans="1:5" x14ac:dyDescent="0.25">
      <c r="A49" t="s">
        <v>364</v>
      </c>
      <c r="B49" t="s">
        <v>365</v>
      </c>
      <c r="C49" t="e">
        <f ca="1">_xll.BDH("CAVA US Equity","OTHER_NONCUR_LIABS_SUB_DETAILED","FY 2021","FY 2021","Currency=USD","Period=FY","BEST_FPERIOD_OVERRIDE=FY","FILING_STATUS=MR","SCALING_FORMAT=MLN","Sort=A","Dates=H","DateFormat=P","Fill=—","Direction=H","UseDPDF=Y")</f>
        <v>#NAME?</v>
      </c>
      <c r="D49" t="e">
        <f ca="1">_xll.BDH("CAVA US Equity","OTHER_NONCUR_LIABS_SUB_DETAILED","FY 2022","FY 2022","Currency=USD","Period=FY","BEST_FPERIOD_OVERRIDE=FY","FILING_STATUS=MR","SCALING_FORMAT=MLN","Sort=A","Dates=H","DateFormat=P","Fill=—","Direction=H","UseDPDF=Y")</f>
        <v>#NAME?</v>
      </c>
      <c r="E49" t="e">
        <f ca="1">_xll.BDH("CAVA US Equity","OTHER_NONCUR_LIABS_SUB_DETAILED","FY 2023","FY 2023","Currency=USD","Period=FY","BEST_FPERIOD_OVERRIDE=FY","FILING_STATUS=MR","SCALING_FORMAT=MLN","Sort=A","Dates=H","DateFormat=P","Fill=—","Direction=H","UseDPDF=Y")</f>
        <v>#NAME?</v>
      </c>
    </row>
    <row r="50" spans="1:5" x14ac:dyDescent="0.25">
      <c r="A50" t="s">
        <v>366</v>
      </c>
      <c r="B50" t="s">
        <v>367</v>
      </c>
      <c r="C50" t="e">
        <f ca="1">_xll.BDH("CAVA US Equity","BS_ACCRUED_LIABILITIES","FY 2021","FY 2021","Currency=USD","Period=FY","BEST_FPERIOD_OVERRIDE=FY","FILING_STATUS=MR","SCALING_FORMAT=MLN","Sort=A","Dates=H","DateFormat=P","Fill=—","Direction=H","UseDPDF=Y")</f>
        <v>#NAME?</v>
      </c>
      <c r="D50" t="e">
        <f ca="1">_xll.BDH("CAVA US Equity","BS_ACCRUED_LIABILITIES","FY 2022","FY 2022","Currency=USD","Period=FY","BEST_FPERIOD_OVERRIDE=FY","FILING_STATUS=MR","SCALING_FORMAT=MLN","Sort=A","Dates=H","DateFormat=P","Fill=—","Direction=H","UseDPDF=Y")</f>
        <v>#NAME?</v>
      </c>
      <c r="E50" t="e">
        <f ca="1">_xll.BDH("CAVA US Equity","BS_ACCRUED_LIABILITIES","FY 2023","FY 2023","Currency=USD","Period=FY","BEST_FPERIOD_OVERRIDE=FY","FILING_STATUS=MR","SCALING_FORMAT=MLN","Sort=A","Dates=H","DateFormat=P","Fill=—","Direction=H","UseDPDF=Y")</f>
        <v>#NAME?</v>
      </c>
    </row>
    <row r="51" spans="1:5" x14ac:dyDescent="0.25">
      <c r="A51" t="s">
        <v>346</v>
      </c>
      <c r="B51" t="s">
        <v>368</v>
      </c>
      <c r="C51" t="e">
        <f ca="1">_xll.BDH("CAVA US Equity","LT_DEFERRED_REVENUE","FY 2021","FY 2021","Currency=USD","Period=FY","BEST_FPERIOD_OVERRIDE=FY","FILING_STATUS=MR","SCALING_FORMAT=MLN","Sort=A","Dates=H","DateFormat=P","Fill=—","Direction=H","UseDPDF=Y")</f>
        <v>#NAME?</v>
      </c>
      <c r="D51" t="e">
        <f ca="1">_xll.BDH("CAVA US Equity","LT_DEFERRED_REVENUE","FY 2022","FY 2022","Currency=USD","Period=FY","BEST_FPERIOD_OVERRIDE=FY","FILING_STATUS=MR","SCALING_FORMAT=MLN","Sort=A","Dates=H","DateFormat=P","Fill=—","Direction=H","UseDPDF=Y")</f>
        <v>#NAME?</v>
      </c>
      <c r="E51" t="e">
        <f ca="1">_xll.BDH("CAVA US Equity","LT_DEFERRED_REVENUE","FY 2023","FY 2023","Currency=USD","Period=FY","BEST_FPERIOD_OVERRIDE=FY","FILING_STATUS=MR","SCALING_FORMAT=MLN","Sort=A","Dates=H","DateFormat=P","Fill=—","Direction=H","UseDPDF=Y")</f>
        <v>#NAME?</v>
      </c>
    </row>
    <row r="52" spans="1:5" x14ac:dyDescent="0.25">
      <c r="A52" t="s">
        <v>369</v>
      </c>
      <c r="B52" t="s">
        <v>370</v>
      </c>
      <c r="C52" t="e">
        <f ca="1">_xll.BDH("CAVA US Equity","BS_DEFERRED_TAX_LIABILITIES_LT","FY 2021","FY 2021","Currency=USD","Period=FY","BEST_FPERIOD_OVERRIDE=FY","FILING_STATUS=MR","SCALING_FORMAT=MLN","Sort=A","Dates=H","DateFormat=P","Fill=—","Direction=H","UseDPDF=Y")</f>
        <v>#NAME?</v>
      </c>
      <c r="D52" t="e">
        <f ca="1">_xll.BDH("CAVA US Equity","BS_DEFERRED_TAX_LIABILITIES_LT","FY 2022","FY 2022","Currency=USD","Period=FY","BEST_FPERIOD_OVERRIDE=FY","FILING_STATUS=MR","SCALING_FORMAT=MLN","Sort=A","Dates=H","DateFormat=P","Fill=—","Direction=H","UseDPDF=Y")</f>
        <v>#NAME?</v>
      </c>
      <c r="E52" t="e">
        <f ca="1">_xll.BDH("CAVA US Equity","BS_DEFERRED_TAX_LIABILITIES_LT","FY 2023","FY 2023","Currency=USD","Period=FY","BEST_FPERIOD_OVERRIDE=FY","FILING_STATUS=MR","SCALING_FORMAT=MLN","Sort=A","Dates=H","DateFormat=P","Fill=—","Direction=H","UseDPDF=Y")</f>
        <v>#NAME?</v>
      </c>
    </row>
    <row r="53" spans="1:5" x14ac:dyDescent="0.25">
      <c r="A53" t="s">
        <v>348</v>
      </c>
      <c r="B53" t="s">
        <v>371</v>
      </c>
      <c r="C53" t="e">
        <f ca="1">_xll.BDH("CAVA US Equity","BS_DERIV_HEDGING_LIAB_LT","FY 2021","FY 2021","Currency=USD","Period=FY","BEST_FPERIOD_OVERRIDE=FY","FILING_STATUS=MR","SCALING_FORMAT=MLN","Sort=A","Dates=H","DateFormat=P","Fill=—","Direction=H","UseDPDF=Y")</f>
        <v>#NAME?</v>
      </c>
      <c r="D53" t="e">
        <f ca="1">_xll.BDH("CAVA US Equity","BS_DERIV_HEDGING_LIAB_LT","FY 2022","FY 2022","Currency=USD","Period=FY","BEST_FPERIOD_OVERRIDE=FY","FILING_STATUS=MR","SCALING_FORMAT=MLN","Sort=A","Dates=H","DateFormat=P","Fill=—","Direction=H","UseDPDF=Y")</f>
        <v>#NAME?</v>
      </c>
      <c r="E53" t="e">
        <f ca="1">_xll.BDH("CAVA US Equity","BS_DERIV_HEDGING_LIAB_LT","FY 2023","FY 2023","Currency=USD","Period=FY","BEST_FPERIOD_OVERRIDE=FY","FILING_STATUS=MR","SCALING_FORMAT=MLN","Sort=A","Dates=H","DateFormat=P","Fill=—","Direction=H","UseDPDF=Y")</f>
        <v>#NAME?</v>
      </c>
    </row>
    <row r="54" spans="1:5" x14ac:dyDescent="0.25">
      <c r="A54" t="s">
        <v>372</v>
      </c>
      <c r="B54" t="s">
        <v>373</v>
      </c>
      <c r="C54" t="e">
        <f ca="1">_xll.BDH("CAVA US Equity","OTHER_NONCURRENT_LIABS_DETAILED","FY 2021","FY 2021","Currency=USD","Period=FY","BEST_FPERIOD_OVERRIDE=FY","FILING_STATUS=MR","SCALING_FORMAT=MLN","Sort=A","Dates=H","DateFormat=P","Fill=—","Direction=H","UseDPDF=Y")</f>
        <v>#NAME?</v>
      </c>
      <c r="D54" t="e">
        <f ca="1">_xll.BDH("CAVA US Equity","OTHER_NONCURRENT_LIABS_DETAILED","FY 2022","FY 2022","Currency=USD","Period=FY","BEST_FPERIOD_OVERRIDE=FY","FILING_STATUS=MR","SCALING_FORMAT=MLN","Sort=A","Dates=H","DateFormat=P","Fill=—","Direction=H","UseDPDF=Y")</f>
        <v>#NAME?</v>
      </c>
      <c r="E54" t="e">
        <f ca="1">_xll.BDH("CAVA US Equity","OTHER_NONCURRENT_LIABS_DETAILED","FY 2023","FY 2023","Currency=USD","Period=FY","BEST_FPERIOD_OVERRIDE=FY","FILING_STATUS=MR","SCALING_FORMAT=MLN","Sort=A","Dates=H","DateFormat=P","Fill=—","Direction=H","UseDPDF=Y")</f>
        <v>#NAME?</v>
      </c>
    </row>
    <row r="55" spans="1:5" x14ac:dyDescent="0.25">
      <c r="A55" t="s">
        <v>374</v>
      </c>
      <c r="B55" t="s">
        <v>375</v>
      </c>
      <c r="C55" t="e">
        <f ca="1">_xll.BDH("CAVA US Equity","NON_CUR_LIAB","FY 2021","FY 2021","Currency=USD","Period=FY","BEST_FPERIOD_OVERRIDE=FY","FILING_STATUS=MR","SCALING_FORMAT=MLN","Sort=A","Dates=H","DateFormat=P","Fill=—","Direction=H","UseDPDF=Y")</f>
        <v>#NAME?</v>
      </c>
      <c r="D55" t="e">
        <f ca="1">_xll.BDH("CAVA US Equity","NON_CUR_LIAB","FY 2022","FY 2022","Currency=USD","Period=FY","BEST_FPERIOD_OVERRIDE=FY","FILING_STATUS=MR","SCALING_FORMAT=MLN","Sort=A","Dates=H","DateFormat=P","Fill=—","Direction=H","UseDPDF=Y")</f>
        <v>#NAME?</v>
      </c>
      <c r="E55" t="e">
        <f ca="1">_xll.BDH("CAVA US Equity","NON_CUR_LIAB","FY 2023","FY 2023","Currency=USD","Period=FY","BEST_FPERIOD_OVERRIDE=FY","FILING_STATUS=MR","SCALING_FORMAT=MLN","Sort=A","Dates=H","DateFormat=P","Fill=—","Direction=H","UseDPDF=Y")</f>
        <v>#NAME?</v>
      </c>
    </row>
    <row r="56" spans="1:5" x14ac:dyDescent="0.25">
      <c r="A56" t="s">
        <v>376</v>
      </c>
      <c r="B56" t="s">
        <v>377</v>
      </c>
      <c r="C56" t="e">
        <f ca="1">_xll.BDH("CAVA US Equity","BS_TOT_LIAB2","FY 2021","FY 2021","Currency=USD","Period=FY","BEST_FPERIOD_OVERRIDE=FY","FILING_STATUS=MR","SCALING_FORMAT=MLN","Sort=A","Dates=H","DateFormat=P","Fill=—","Direction=H","UseDPDF=Y")</f>
        <v>#NAME?</v>
      </c>
      <c r="D56" t="e">
        <f ca="1">_xll.BDH("CAVA US Equity","BS_TOT_LIAB2","FY 2022","FY 2022","Currency=USD","Period=FY","BEST_FPERIOD_OVERRIDE=FY","FILING_STATUS=MR","SCALING_FORMAT=MLN","Sort=A","Dates=H","DateFormat=P","Fill=—","Direction=H","UseDPDF=Y")</f>
        <v>#NAME?</v>
      </c>
      <c r="E56" t="e">
        <f ca="1">_xll.BDH("CAVA US Equity","BS_TOT_LIAB2","FY 2023","FY 2023","Currency=USD","Period=FY","BEST_FPERIOD_OVERRIDE=FY","FILING_STATUS=MR","SCALING_FORMAT=MLN","Sort=A","Dates=H","DateFormat=P","Fill=—","Direction=H","UseDPDF=Y")</f>
        <v>#NAME?</v>
      </c>
    </row>
    <row r="57" spans="1:5" x14ac:dyDescent="0.25">
      <c r="A57" t="s">
        <v>378</v>
      </c>
      <c r="B57" t="s">
        <v>379</v>
      </c>
      <c r="C57" t="e">
        <f ca="1">_xll.BDH("CAVA US Equity","PFD_EQTY_HYBRID_CAPITAL","FY 2021","FY 2021","Currency=USD","Period=FY","BEST_FPERIOD_OVERRIDE=FY","FILING_STATUS=MR","SCALING_FORMAT=MLN","Sort=A","Dates=H","DateFormat=P","Fill=—","Direction=H","UseDPDF=Y")</f>
        <v>#NAME?</v>
      </c>
      <c r="D57" t="e">
        <f ca="1">_xll.BDH("CAVA US Equity","PFD_EQTY_HYBRID_CAPITAL","FY 2022","FY 2022","Currency=USD","Period=FY","BEST_FPERIOD_OVERRIDE=FY","FILING_STATUS=MR","SCALING_FORMAT=MLN","Sort=A","Dates=H","DateFormat=P","Fill=—","Direction=H","UseDPDF=Y")</f>
        <v>#NAME?</v>
      </c>
      <c r="E57" t="e">
        <f ca="1">_xll.BDH("CAVA US Equity","PFD_EQTY_HYBRID_CAPITAL","FY 2023","FY 2023","Currency=USD","Period=FY","BEST_FPERIOD_OVERRIDE=FY","FILING_STATUS=MR","SCALING_FORMAT=MLN","Sort=A","Dates=H","DateFormat=P","Fill=—","Direction=H","UseDPDF=Y")</f>
        <v>#NAME?</v>
      </c>
    </row>
    <row r="58" spans="1:5" x14ac:dyDescent="0.25">
      <c r="A58" t="s">
        <v>380</v>
      </c>
      <c r="B58" t="s">
        <v>381</v>
      </c>
      <c r="C58" t="e">
        <f ca="1">_xll.BDH("CAVA US Equity","BS_SH_CAP_AND_APIC","FY 2021","FY 2021","Currency=USD","Period=FY","BEST_FPERIOD_OVERRIDE=FY","FILING_STATUS=MR","SCALING_FORMAT=MLN","Sort=A","Dates=H","DateFormat=P","Fill=—","Direction=H","UseDPDF=Y")</f>
        <v>#NAME?</v>
      </c>
      <c r="D58" t="e">
        <f ca="1">_xll.BDH("CAVA US Equity","BS_SH_CAP_AND_APIC","FY 2022","FY 2022","Currency=USD","Period=FY","BEST_FPERIOD_OVERRIDE=FY","FILING_STATUS=MR","SCALING_FORMAT=MLN","Sort=A","Dates=H","DateFormat=P","Fill=—","Direction=H","UseDPDF=Y")</f>
        <v>#NAME?</v>
      </c>
      <c r="E58" t="e">
        <f ca="1">_xll.BDH("CAVA US Equity","BS_SH_CAP_AND_APIC","FY 2023","FY 2023","Currency=USD","Period=FY","BEST_FPERIOD_OVERRIDE=FY","FILING_STATUS=MR","SCALING_FORMAT=MLN","Sort=A","Dates=H","DateFormat=P","Fill=—","Direction=H","UseDPDF=Y")</f>
        <v>#NAME?</v>
      </c>
    </row>
    <row r="59" spans="1:5" x14ac:dyDescent="0.25">
      <c r="A59" t="s">
        <v>382</v>
      </c>
      <c r="B59" t="s">
        <v>383</v>
      </c>
      <c r="C59" t="e">
        <f ca="1">_xll.BDH("CAVA US Equity","BS_COMMON_STOCK","FY 2021","FY 2021","Currency=USD","Period=FY","BEST_FPERIOD_OVERRIDE=FY","FILING_STATUS=MR","SCALING_FORMAT=MLN","Sort=A","Dates=H","DateFormat=P","Fill=—","Direction=H","UseDPDF=Y")</f>
        <v>#NAME?</v>
      </c>
      <c r="D59" t="e">
        <f ca="1">_xll.BDH("CAVA US Equity","BS_COMMON_STOCK","FY 2022","FY 2022","Currency=USD","Period=FY","BEST_FPERIOD_OVERRIDE=FY","FILING_STATUS=MR","SCALING_FORMAT=MLN","Sort=A","Dates=H","DateFormat=P","Fill=—","Direction=H","UseDPDF=Y")</f>
        <v>#NAME?</v>
      </c>
      <c r="E59" t="e">
        <f ca="1">_xll.BDH("CAVA US Equity","BS_COMMON_STOCK","FY 2023","FY 2023","Currency=USD","Period=FY","BEST_FPERIOD_OVERRIDE=FY","FILING_STATUS=MR","SCALING_FORMAT=MLN","Sort=A","Dates=H","DateFormat=P","Fill=—","Direction=H","UseDPDF=Y")</f>
        <v>#NAME?</v>
      </c>
    </row>
    <row r="60" spans="1:5" x14ac:dyDescent="0.25">
      <c r="A60" t="s">
        <v>384</v>
      </c>
      <c r="B60" t="s">
        <v>385</v>
      </c>
      <c r="C60" t="e">
        <f ca="1">_xll.BDH("CAVA US Equity","BS_ADD_PAID_IN_CAP","FY 2021","FY 2021","Currency=USD","Period=FY","BEST_FPERIOD_OVERRIDE=FY","FILING_STATUS=MR","SCALING_FORMAT=MLN","Sort=A","Dates=H","DateFormat=P","Fill=—","Direction=H","UseDPDF=Y")</f>
        <v>#NAME?</v>
      </c>
      <c r="D60" t="e">
        <f ca="1">_xll.BDH("CAVA US Equity","BS_ADD_PAID_IN_CAP","FY 2022","FY 2022","Currency=USD","Period=FY","BEST_FPERIOD_OVERRIDE=FY","FILING_STATUS=MR","SCALING_FORMAT=MLN","Sort=A","Dates=H","DateFormat=P","Fill=—","Direction=H","UseDPDF=Y")</f>
        <v>#NAME?</v>
      </c>
      <c r="E60" t="e">
        <f ca="1">_xll.BDH("CAVA US Equity","BS_ADD_PAID_IN_CAP","FY 2023","FY 2023","Currency=USD","Period=FY","BEST_FPERIOD_OVERRIDE=FY","FILING_STATUS=MR","SCALING_FORMAT=MLN","Sort=A","Dates=H","DateFormat=P","Fill=—","Direction=H","UseDPDF=Y")</f>
        <v>#NAME?</v>
      </c>
    </row>
    <row r="61" spans="1:5" x14ac:dyDescent="0.25">
      <c r="A61" t="s">
        <v>386</v>
      </c>
      <c r="B61" t="s">
        <v>387</v>
      </c>
      <c r="C61" t="e">
        <f ca="1">_xll.BDH("CAVA US Equity","BS_AMT_OF_TSY_STOCK","FY 2021","FY 2021","Currency=USD","Period=FY","BEST_FPERIOD_OVERRIDE=FY","FILING_STATUS=MR","SCALING_FORMAT=MLN","Sort=A","Dates=H","DateFormat=P","Fill=—","Direction=H","UseDPDF=Y")</f>
        <v>#NAME?</v>
      </c>
      <c r="D61" t="e">
        <f ca="1">_xll.BDH("CAVA US Equity","BS_AMT_OF_TSY_STOCK","FY 2022","FY 2022","Currency=USD","Period=FY","BEST_FPERIOD_OVERRIDE=FY","FILING_STATUS=MR","SCALING_FORMAT=MLN","Sort=A","Dates=H","DateFormat=P","Fill=—","Direction=H","UseDPDF=Y")</f>
        <v>#NAME?</v>
      </c>
      <c r="E61" t="e">
        <f ca="1">_xll.BDH("CAVA US Equity","BS_AMT_OF_TSY_STOCK","FY 2023","FY 2023","Currency=USD","Period=FY","BEST_FPERIOD_OVERRIDE=FY","FILING_STATUS=MR","SCALING_FORMAT=MLN","Sort=A","Dates=H","DateFormat=P","Fill=—","Direction=H","UseDPDF=Y")</f>
        <v>#NAME?</v>
      </c>
    </row>
    <row r="62" spans="1:5" x14ac:dyDescent="0.25">
      <c r="A62" t="s">
        <v>388</v>
      </c>
      <c r="B62" t="s">
        <v>389</v>
      </c>
      <c r="C62" t="e">
        <f ca="1">_xll.BDH("CAVA US Equity","BS_PURE_RETAINED_EARNINGS","FY 2021","FY 2021","Currency=USD","Period=FY","BEST_FPERIOD_OVERRIDE=FY","FILING_STATUS=MR","SCALING_FORMAT=MLN","Sort=A","Dates=H","DateFormat=P","Fill=—","Direction=H","UseDPDF=Y")</f>
        <v>#NAME?</v>
      </c>
      <c r="D62" t="e">
        <f ca="1">_xll.BDH("CAVA US Equity","BS_PURE_RETAINED_EARNINGS","FY 2022","FY 2022","Currency=USD","Period=FY","BEST_FPERIOD_OVERRIDE=FY","FILING_STATUS=MR","SCALING_FORMAT=MLN","Sort=A","Dates=H","DateFormat=P","Fill=—","Direction=H","UseDPDF=Y")</f>
        <v>#NAME?</v>
      </c>
      <c r="E62" t="e">
        <f ca="1">_xll.BDH("CAVA US Equity","BS_PURE_RETAINED_EARNINGS","FY 2023","FY 2023","Currency=USD","Period=FY","BEST_FPERIOD_OVERRIDE=FY","FILING_STATUS=MR","SCALING_FORMAT=MLN","Sort=A","Dates=H","DateFormat=P","Fill=—","Direction=H","UseDPDF=Y")</f>
        <v>#NAME?</v>
      </c>
    </row>
    <row r="63" spans="1:5" x14ac:dyDescent="0.25">
      <c r="A63" t="s">
        <v>390</v>
      </c>
      <c r="B63" t="s">
        <v>391</v>
      </c>
      <c r="C63" t="e">
        <f ca="1">_xll.BDH("CAVA US Equity","OTHER_EQUITY_RATIO","FY 2021","FY 2021","Currency=USD","Period=FY","BEST_FPERIOD_OVERRIDE=FY","FILING_STATUS=MR","SCALING_FORMAT=MLN","Sort=A","Dates=H","DateFormat=P","Fill=—","Direction=H","UseDPDF=Y")</f>
        <v>#NAME?</v>
      </c>
      <c r="D63" t="e">
        <f ca="1">_xll.BDH("CAVA US Equity","OTHER_EQUITY_RATIO","FY 2022","FY 2022","Currency=USD","Period=FY","BEST_FPERIOD_OVERRIDE=FY","FILING_STATUS=MR","SCALING_FORMAT=MLN","Sort=A","Dates=H","DateFormat=P","Fill=—","Direction=H","UseDPDF=Y")</f>
        <v>#NAME?</v>
      </c>
      <c r="E63" t="e">
        <f ca="1">_xll.BDH("CAVA US Equity","OTHER_EQUITY_RATIO","FY 2023","FY 2023","Currency=USD","Period=FY","BEST_FPERIOD_OVERRIDE=FY","FILING_STATUS=MR","SCALING_FORMAT=MLN","Sort=A","Dates=H","DateFormat=P","Fill=—","Direction=H","UseDPDF=Y")</f>
        <v>#NAME?</v>
      </c>
    </row>
    <row r="64" spans="1:5" x14ac:dyDescent="0.25">
      <c r="A64" t="s">
        <v>392</v>
      </c>
      <c r="B64" t="s">
        <v>393</v>
      </c>
      <c r="C64" t="e">
        <f ca="1">_xll.BDH("CAVA US Equity","EQTY_BEF_MINORITY_INT_DETAILED","FY 2021","FY 2021","Currency=USD","Period=FY","BEST_FPERIOD_OVERRIDE=FY","FILING_STATUS=MR","SCALING_FORMAT=MLN","Sort=A","Dates=H","DateFormat=P","Fill=—","Direction=H","UseDPDF=Y")</f>
        <v>#NAME?</v>
      </c>
      <c r="D64" t="e">
        <f ca="1">_xll.BDH("CAVA US Equity","EQTY_BEF_MINORITY_INT_DETAILED","FY 2022","FY 2022","Currency=USD","Period=FY","BEST_FPERIOD_OVERRIDE=FY","FILING_STATUS=MR","SCALING_FORMAT=MLN","Sort=A","Dates=H","DateFormat=P","Fill=—","Direction=H","UseDPDF=Y")</f>
        <v>#NAME?</v>
      </c>
      <c r="E64" t="e">
        <f ca="1">_xll.BDH("CAVA US Equity","EQTY_BEF_MINORITY_INT_DETAILED","FY 2023","FY 2023","Currency=USD","Period=FY","BEST_FPERIOD_OVERRIDE=FY","FILING_STATUS=MR","SCALING_FORMAT=MLN","Sort=A","Dates=H","DateFormat=P","Fill=—","Direction=H","UseDPDF=Y")</f>
        <v>#NAME?</v>
      </c>
    </row>
    <row r="65" spans="1:5" x14ac:dyDescent="0.25">
      <c r="A65" t="s">
        <v>394</v>
      </c>
      <c r="B65" t="s">
        <v>395</v>
      </c>
      <c r="C65" t="e">
        <f ca="1">_xll.BDH("CAVA US Equity","MINORITY_NONCONTROLLING_INTEREST","FY 2021","FY 2021","Currency=USD","Period=FY","BEST_FPERIOD_OVERRIDE=FY","FILING_STATUS=MR","SCALING_FORMAT=MLN","Sort=A","Dates=H","DateFormat=P","Fill=—","Direction=H","UseDPDF=Y")</f>
        <v>#NAME?</v>
      </c>
      <c r="D65" t="e">
        <f ca="1">_xll.BDH("CAVA US Equity","MINORITY_NONCONTROLLING_INTEREST","FY 2022","FY 2022","Currency=USD","Period=FY","BEST_FPERIOD_OVERRIDE=FY","FILING_STATUS=MR","SCALING_FORMAT=MLN","Sort=A","Dates=H","DateFormat=P","Fill=—","Direction=H","UseDPDF=Y")</f>
        <v>#NAME?</v>
      </c>
      <c r="E65" t="e">
        <f ca="1">_xll.BDH("CAVA US Equity","MINORITY_NONCONTROLLING_INTEREST","FY 2023","FY 2023","Currency=USD","Period=FY","BEST_FPERIOD_OVERRIDE=FY","FILING_STATUS=MR","SCALING_FORMAT=MLN","Sort=A","Dates=H","DateFormat=P","Fill=—","Direction=H","UseDPDF=Y")</f>
        <v>#NAME?</v>
      </c>
    </row>
    <row r="66" spans="1:5" x14ac:dyDescent="0.25">
      <c r="A66" t="s">
        <v>396</v>
      </c>
      <c r="B66" t="s">
        <v>397</v>
      </c>
      <c r="C66" t="e">
        <f ca="1">_xll.BDH("CAVA US Equity","TOTAL_EQUITY","FY 2021","FY 2021","Currency=USD","Period=FY","BEST_FPERIOD_OVERRIDE=FY","FILING_STATUS=MR","SCALING_FORMAT=MLN","Sort=A","Dates=H","DateFormat=P","Fill=—","Direction=H","UseDPDF=Y")</f>
        <v>#NAME?</v>
      </c>
      <c r="D66" t="e">
        <f ca="1">_xll.BDH("CAVA US Equity","TOTAL_EQUITY","FY 2022","FY 2022","Currency=USD","Period=FY","BEST_FPERIOD_OVERRIDE=FY","FILING_STATUS=MR","SCALING_FORMAT=MLN","Sort=A","Dates=H","DateFormat=P","Fill=—","Direction=H","UseDPDF=Y")</f>
        <v>#NAME?</v>
      </c>
      <c r="E66" t="e">
        <f ca="1">_xll.BDH("CAVA US Equity","TOTAL_EQUITY","FY 2023","FY 2023","Currency=USD","Period=FY","BEST_FPERIOD_OVERRIDE=FY","FILING_STATUS=MR","SCALING_FORMAT=MLN","Sort=A","Dates=H","DateFormat=P","Fill=—","Direction=H","UseDPDF=Y")</f>
        <v>#NAME?</v>
      </c>
    </row>
    <row r="67" spans="1:5" x14ac:dyDescent="0.25">
      <c r="A67" t="s">
        <v>398</v>
      </c>
      <c r="B67" t="s">
        <v>399</v>
      </c>
      <c r="C67" t="e">
        <f ca="1">_xll.BDH("CAVA US Equity","TOT_LIAB_AND_EQY","FY 2021","FY 2021","Currency=USD","Period=FY","BEST_FPERIOD_OVERRIDE=FY","FILING_STATUS=MR","SCALING_FORMAT=MLN","Sort=A","Dates=H","DateFormat=P","Fill=—","Direction=H","UseDPDF=Y")</f>
        <v>#NAME?</v>
      </c>
      <c r="D67" t="e">
        <f ca="1">_xll.BDH("CAVA US Equity","TOT_LIAB_AND_EQY","FY 2022","FY 2022","Currency=USD","Period=FY","BEST_FPERIOD_OVERRIDE=FY","FILING_STATUS=MR","SCALING_FORMAT=MLN","Sort=A","Dates=H","DateFormat=P","Fill=—","Direction=H","UseDPDF=Y")</f>
        <v>#NAME?</v>
      </c>
      <c r="E67" t="e">
        <f ca="1">_xll.BDH("CAVA US Equity","TOT_LIAB_AND_EQY","FY 2023","FY 2023","Currency=USD","Period=FY","BEST_FPERIOD_OVERRIDE=FY","FILING_STATUS=MR","SCALING_FORMAT=MLN","Sort=A","Dates=H","DateFormat=P","Fill=—","Direction=H","UseDPDF=Y")</f>
        <v>#NAME?</v>
      </c>
    </row>
    <row r="69" spans="1:5" x14ac:dyDescent="0.25">
      <c r="A69" t="s">
        <v>166</v>
      </c>
    </row>
    <row r="70" spans="1:5" x14ac:dyDescent="0.25">
      <c r="A70" t="s">
        <v>167</v>
      </c>
      <c r="B70" t="s">
        <v>168</v>
      </c>
      <c r="C70" t="s">
        <v>169</v>
      </c>
      <c r="D70" t="s">
        <v>169</v>
      </c>
      <c r="E70" t="s">
        <v>169</v>
      </c>
    </row>
    <row r="71" spans="1:5" x14ac:dyDescent="0.25">
      <c r="A71" t="s">
        <v>400</v>
      </c>
      <c r="B71" t="s">
        <v>401</v>
      </c>
      <c r="C71" t="e">
        <f ca="1">_xll.BDH("CAVA US Equity","BS_SH_OUT","FY 2021","FY 2021","Currency=USD","Period=FY","BEST_FPERIOD_OVERRIDE=FY","FILING_STATUS=MR","Sort=A","Dates=H","DateFormat=P","Fill=—","Direction=H","UseDPDF=Y")</f>
        <v>#NAME?</v>
      </c>
      <c r="D71" t="e">
        <f ca="1">_xll.BDH("CAVA US Equity","BS_SH_OUT","FY 2022","FY 2022","Currency=USD","Period=FY","BEST_FPERIOD_OVERRIDE=FY","FILING_STATUS=MR","Sort=A","Dates=H","DateFormat=P","Fill=—","Direction=H","UseDPDF=Y")</f>
        <v>#NAME?</v>
      </c>
      <c r="E71" t="e">
        <f ca="1">_xll.BDH("CAVA US Equity","BS_SH_OUT","FY 2023","FY 2023","Currency=USD","Period=FY","BEST_FPERIOD_OVERRIDE=FY","FILING_STATUS=MR","Sort=A","Dates=H","DateFormat=P","Fill=—","Direction=H","UseDPDF=Y")</f>
        <v>#NAME?</v>
      </c>
    </row>
    <row r="72" spans="1:5" x14ac:dyDescent="0.25">
      <c r="A72" t="s">
        <v>402</v>
      </c>
      <c r="B72" t="s">
        <v>403</v>
      </c>
      <c r="C72" t="e">
        <f ca="1">_xll.BDH("CAVA US Equity","BS_NUM_OF_TSY_SH","FY 2021","FY 2021","Currency=USD","Period=FY","BEST_FPERIOD_OVERRIDE=FY","FILING_STATUS=MR","Sort=A","Dates=H","DateFormat=P","Fill=—","Direction=H","UseDPDF=Y")</f>
        <v>#NAME?</v>
      </c>
      <c r="D72" t="e">
        <f ca="1">_xll.BDH("CAVA US Equity","BS_NUM_OF_TSY_SH","FY 2022","FY 2022","Currency=USD","Period=FY","BEST_FPERIOD_OVERRIDE=FY","FILING_STATUS=MR","Sort=A","Dates=H","DateFormat=P","Fill=—","Direction=H","UseDPDF=Y")</f>
        <v>#NAME?</v>
      </c>
      <c r="E72" t="e">
        <f ca="1">_xll.BDH("CAVA US Equity","BS_NUM_OF_TSY_SH","FY 2023","FY 2023","Currency=USD","Period=FY","BEST_FPERIOD_OVERRIDE=FY","FILING_STATUS=MR","Sort=A","Dates=H","DateFormat=P","Fill=—","Direction=H","UseDPDF=Y")</f>
        <v>#NAME?</v>
      </c>
    </row>
    <row r="73" spans="1:5" x14ac:dyDescent="0.25">
      <c r="A73" t="s">
        <v>404</v>
      </c>
      <c r="B73" t="s">
        <v>405</v>
      </c>
      <c r="C73" t="e">
        <f ca="1">_xll.BDH("CAVA US Equity","BS_FUTURE_MIN_OPER_LEASE_OBLIG","FY 2021","FY 2021","Currency=USD","Period=FY","BEST_FPERIOD_OVERRIDE=FY","FILING_STATUS=MR","SCALING_FORMAT=MLN","Sort=A","Dates=H","DateFormat=P","Fill=—","Direction=H","UseDPDF=Y")</f>
        <v>#NAME?</v>
      </c>
      <c r="D73" t="e">
        <f ca="1">_xll.BDH("CAVA US Equity","BS_FUTURE_MIN_OPER_LEASE_OBLIG","FY 2022","FY 2022","Currency=USD","Period=FY","BEST_FPERIOD_OVERRIDE=FY","FILING_STATUS=MR","SCALING_FORMAT=MLN","Sort=A","Dates=H","DateFormat=P","Fill=—","Direction=H","UseDPDF=Y")</f>
        <v>#NAME?</v>
      </c>
      <c r="E73" t="e">
        <f ca="1">_xll.BDH("CAVA US Equity","BS_FUTURE_MIN_OPER_LEASE_OBLIG","FY 2023","FY 2023","Currency=USD","Period=FY","BEST_FPERIOD_OVERRIDE=FY","FILING_STATUS=MR","SCALING_FORMAT=MLN","Sort=A","Dates=H","DateFormat=P","Fill=—","Direction=H","UseDPDF=Y")</f>
        <v>#NAME?</v>
      </c>
    </row>
    <row r="74" spans="1:5" x14ac:dyDescent="0.25">
      <c r="A74" t="s">
        <v>406</v>
      </c>
      <c r="B74" t="s">
        <v>407</v>
      </c>
      <c r="C74" t="e">
        <f ca="1">_xll.BDH("CAVA US Equity","BS_TOTAL_CAPITAL_LEASES","FY 2021","FY 2021","Currency=USD","Period=FY","BEST_FPERIOD_OVERRIDE=FY","FILING_STATUS=MR","SCALING_FORMAT=MLN","Sort=A","Dates=H","DateFormat=P","Fill=—","Direction=H","UseDPDF=Y")</f>
        <v>#NAME?</v>
      </c>
      <c r="D74" t="e">
        <f ca="1">_xll.BDH("CAVA US Equity","BS_TOTAL_CAPITAL_LEASES","FY 2022","FY 2022","Currency=USD","Period=FY","BEST_FPERIOD_OVERRIDE=FY","FILING_STATUS=MR","SCALING_FORMAT=MLN","Sort=A","Dates=H","DateFormat=P","Fill=—","Direction=H","UseDPDF=Y")</f>
        <v>#NAME?</v>
      </c>
      <c r="E74" t="e">
        <f ca="1">_xll.BDH("CAVA US Equity","BS_TOTAL_CAPITAL_LEASES","FY 2023","FY 2023","Currency=USD","Period=FY","BEST_FPERIOD_OVERRIDE=FY","FILING_STATUS=MR","SCALING_FORMAT=MLN","Sort=A","Dates=H","DateFormat=P","Fill=—","Direction=H","UseDPDF=Y")</f>
        <v>#NAME?</v>
      </c>
    </row>
    <row r="75" spans="1:5" x14ac:dyDescent="0.25">
      <c r="A75" t="s">
        <v>408</v>
      </c>
      <c r="B75" t="s">
        <v>409</v>
      </c>
      <c r="C75" t="e">
        <f ca="1">_xll.BDH("CAVA US Equity","BS_OPTIONS_GRANTED","FY 2021","FY 2021","Currency=USD","Period=FY","BEST_FPERIOD_OVERRIDE=FY","FILING_STATUS=MR","Sort=A","Dates=H","DateFormat=P","Fill=—","Direction=H","UseDPDF=Y")</f>
        <v>#NAME?</v>
      </c>
      <c r="D75" t="e">
        <f ca="1">_xll.BDH("CAVA US Equity","BS_OPTIONS_GRANTED","FY 2022","FY 2022","Currency=USD","Period=FY","BEST_FPERIOD_OVERRIDE=FY","FILING_STATUS=MR","Sort=A","Dates=H","DateFormat=P","Fill=—","Direction=H","UseDPDF=Y")</f>
        <v>#NAME?</v>
      </c>
      <c r="E75" t="e">
        <f ca="1">_xll.BDH("CAVA US Equity","BS_OPTIONS_GRANTED","FY 2023","FY 2023","Currency=USD","Period=FY","BEST_FPERIOD_OVERRIDE=FY","FILING_STATUS=MR","Sort=A","Dates=H","DateFormat=P","Fill=—","Direction=H","UseDPDF=Y")</f>
        <v>#NAME?</v>
      </c>
    </row>
    <row r="76" spans="1:5" x14ac:dyDescent="0.25">
      <c r="A76" t="s">
        <v>410</v>
      </c>
      <c r="B76" t="s">
        <v>411</v>
      </c>
      <c r="C76" t="e">
        <f ca="1">_xll.BDH("CAVA US Equity","BS_OPTIONS_OUTSTANDING","FY 2021","FY 2021","Currency=USD","Period=FY","BEST_FPERIOD_OVERRIDE=FY","FILING_STATUS=MR","Sort=A","Dates=H","DateFormat=P","Fill=—","Direction=H","UseDPDF=Y")</f>
        <v>#NAME?</v>
      </c>
      <c r="D76" t="e">
        <f ca="1">_xll.BDH("CAVA US Equity","BS_OPTIONS_OUTSTANDING","FY 2022","FY 2022","Currency=USD","Period=FY","BEST_FPERIOD_OVERRIDE=FY","FILING_STATUS=MR","Sort=A","Dates=H","DateFormat=P","Fill=—","Direction=H","UseDPDF=Y")</f>
        <v>#NAME?</v>
      </c>
      <c r="E76" t="e">
        <f ca="1">_xll.BDH("CAVA US Equity","BS_OPTIONS_OUTSTANDING","FY 2023","FY 2023","Currency=USD","Period=FY","BEST_FPERIOD_OVERRIDE=FY","FILING_STATUS=MR","Sort=A","Dates=H","DateFormat=P","Fill=—","Direction=H","UseDPDF=Y")</f>
        <v>#NAME?</v>
      </c>
    </row>
    <row r="77" spans="1:5" x14ac:dyDescent="0.25">
      <c r="A77" t="s">
        <v>412</v>
      </c>
      <c r="B77" t="s">
        <v>413</v>
      </c>
      <c r="C77" t="e">
        <f ca="1">_xll.BDH("CAVA US Equity","NET_DEBT","FY 2021","FY 2021","Currency=USD","Period=FY","BEST_FPERIOD_OVERRIDE=FY","FILING_STATUS=MR","SCALING_FORMAT=MLN","Sort=A","Dates=H","DateFormat=P","Fill=—","Direction=H","UseDPDF=Y")</f>
        <v>#NAME?</v>
      </c>
      <c r="D77" t="e">
        <f ca="1">_xll.BDH("CAVA US Equity","NET_DEBT","FY 2022","FY 2022","Currency=USD","Period=FY","BEST_FPERIOD_OVERRIDE=FY","FILING_STATUS=MR","SCALING_FORMAT=MLN","Sort=A","Dates=H","DateFormat=P","Fill=—","Direction=H","UseDPDF=Y")</f>
        <v>#NAME?</v>
      </c>
      <c r="E77" t="e">
        <f ca="1">_xll.BDH("CAVA US Equity","NET_DEBT","FY 2023","FY 2023","Currency=USD","Period=FY","BEST_FPERIOD_OVERRIDE=FY","FILING_STATUS=MR","SCALING_FORMAT=MLN","Sort=A","Dates=H","DateFormat=P","Fill=—","Direction=H","UseDPDF=Y")</f>
        <v>#NAME?</v>
      </c>
    </row>
    <row r="78" spans="1:5" x14ac:dyDescent="0.25">
      <c r="A78" t="s">
        <v>414</v>
      </c>
      <c r="B78" t="s">
        <v>415</v>
      </c>
      <c r="C78" t="e">
        <f ca="1">_xll.BDH("CAVA US Equity","NET_DEBT_TO_SHRHLDR_EQTY","FY 2021","FY 2021","Currency=USD","Period=FY","BEST_FPERIOD_OVERRIDE=FY","FILING_STATUS=MR","Sort=A","Dates=H","DateFormat=P","Fill=—","Direction=H","UseDPDF=Y")</f>
        <v>#NAME?</v>
      </c>
      <c r="D78" t="e">
        <f ca="1">_xll.BDH("CAVA US Equity","NET_DEBT_TO_SHRHLDR_EQTY","FY 2022","FY 2022","Currency=USD","Period=FY","BEST_FPERIOD_OVERRIDE=FY","FILING_STATUS=MR","Sort=A","Dates=H","DateFormat=P","Fill=—","Direction=H","UseDPDF=Y")</f>
        <v>#NAME?</v>
      </c>
      <c r="E78" t="e">
        <f ca="1">_xll.BDH("CAVA US Equity","NET_DEBT_TO_SHRHLDR_EQTY","FY 2023","FY 2023","Currency=USD","Period=FY","BEST_FPERIOD_OVERRIDE=FY","FILING_STATUS=MR","Sort=A","Dates=H","DateFormat=P","Fill=—","Direction=H","UseDPDF=Y")</f>
        <v>#NAME?</v>
      </c>
    </row>
    <row r="79" spans="1:5" x14ac:dyDescent="0.25">
      <c r="A79" t="s">
        <v>416</v>
      </c>
      <c r="B79" t="s">
        <v>417</v>
      </c>
      <c r="C79" t="e">
        <f ca="1">_xll.BDH("CAVA US Equity","TCE_RATIO","FY 2021","FY 2021","Currency=USD","Period=FY","BEST_FPERIOD_OVERRIDE=FY","FILING_STATUS=MR","Sort=A","Dates=H","DateFormat=P","Fill=—","Direction=H","UseDPDF=Y")</f>
        <v>#NAME?</v>
      </c>
      <c r="D79" t="e">
        <f ca="1">_xll.BDH("CAVA US Equity","TCE_RATIO","FY 2022","FY 2022","Currency=USD","Period=FY","BEST_FPERIOD_OVERRIDE=FY","FILING_STATUS=MR","Sort=A","Dates=H","DateFormat=P","Fill=—","Direction=H","UseDPDF=Y")</f>
        <v>#NAME?</v>
      </c>
      <c r="E79" t="e">
        <f ca="1">_xll.BDH("CAVA US Equity","TCE_RATIO","FY 2023","FY 2023","Currency=USD","Period=FY","BEST_FPERIOD_OVERRIDE=FY","FILING_STATUS=MR","Sort=A","Dates=H","DateFormat=P","Fill=—","Direction=H","UseDPDF=Y")</f>
        <v>#NAME?</v>
      </c>
    </row>
    <row r="80" spans="1:5" x14ac:dyDescent="0.25">
      <c r="A80" t="s">
        <v>418</v>
      </c>
      <c r="B80" t="s">
        <v>419</v>
      </c>
      <c r="C80" t="e">
        <f ca="1">_xll.BDH("CAVA US Equity","CUR_RATIO","FY 2021","FY 2021","Currency=USD","Period=FY","BEST_FPERIOD_OVERRIDE=FY","FILING_STATUS=MR","Sort=A","Dates=H","DateFormat=P","Fill=—","Direction=H","UseDPDF=Y")</f>
        <v>#NAME?</v>
      </c>
      <c r="D80" t="e">
        <f ca="1">_xll.BDH("CAVA US Equity","CUR_RATIO","FY 2022","FY 2022","Currency=USD","Period=FY","BEST_FPERIOD_OVERRIDE=FY","FILING_STATUS=MR","Sort=A","Dates=H","DateFormat=P","Fill=—","Direction=H","UseDPDF=Y")</f>
        <v>#NAME?</v>
      </c>
      <c r="E80" t="e">
        <f ca="1">_xll.BDH("CAVA US Equity","CUR_RATIO","FY 2023","FY 2023","Currency=USD","Period=FY","BEST_FPERIOD_OVERRIDE=FY","FILING_STATUS=MR","Sort=A","Dates=H","DateFormat=P","Fill=—","Direction=H","UseDPDF=Y")</f>
        <v>#NAME?</v>
      </c>
    </row>
    <row r="81" spans="1:5" x14ac:dyDescent="0.25">
      <c r="A81" t="s">
        <v>420</v>
      </c>
      <c r="B81" t="s">
        <v>421</v>
      </c>
      <c r="C81" t="e">
        <f ca="1">_xll.BDH("CAVA US Equity","CASH_CONVERSION_CYCLE","FY 2021","FY 2021","Currency=USD","Period=FY","BEST_FPERIOD_OVERRIDE=FY","FILING_STATUS=MR","FA_ADJUSTED=GAAP","Sort=A","Dates=H","DateFormat=P","Fill=—","Direction=H","UseDPDF=Y")</f>
        <v>#NAME?</v>
      </c>
      <c r="D81" t="e">
        <f ca="1">_xll.BDH("CAVA US Equity","CASH_CONVERSION_CYCLE","FY 2022","FY 2022","Currency=USD","Period=FY","BEST_FPERIOD_OVERRIDE=FY","FILING_STATUS=MR","FA_ADJUSTED=GAAP","Sort=A","Dates=H","DateFormat=P","Fill=—","Direction=H","UseDPDF=Y")</f>
        <v>#NAME?</v>
      </c>
      <c r="E81" t="e">
        <f ca="1">_xll.BDH("CAVA US Equity","CASH_CONVERSION_CYCLE","FY 2023","FY 2023","Currency=USD","Period=FY","BEST_FPERIOD_OVERRIDE=FY","FILING_STATUS=MR","FA_ADJUSTED=GAAP","Sort=A","Dates=H","DateFormat=P","Fill=—","Direction=H","UseDPDF=Y")</f>
        <v>#NAME?</v>
      </c>
    </row>
    <row r="82" spans="1:5" x14ac:dyDescent="0.25">
      <c r="A82" t="s">
        <v>188</v>
      </c>
      <c r="C82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</vt:i4>
      </vt:variant>
    </vt:vector>
  </HeadingPairs>
  <TitlesOfParts>
    <vt:vector size="12" baseType="lpstr">
      <vt:lpstr>OUTPUTS &gt;&gt;&gt;</vt:lpstr>
      <vt:lpstr>Historical Financial Data</vt:lpstr>
      <vt:lpstr>DCF</vt:lpstr>
      <vt:lpstr>WACC</vt:lpstr>
      <vt:lpstr>Assumptions</vt:lpstr>
      <vt:lpstr>SOURCE DATA &gt;&gt;&gt;</vt:lpstr>
      <vt:lpstr>Income Statement</vt:lpstr>
      <vt:lpstr>Statement Cash Flows</vt:lpstr>
      <vt:lpstr>Balance Sheet</vt:lpstr>
      <vt:lpstr>DCF!Print_Area</vt:lpstr>
      <vt:lpstr>'Historical Financial Data'!Print_Area</vt:lpstr>
      <vt:lpstr>WACC!Print_Area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System</dc:creator>
  <cp:lastModifiedBy>Danny Watkins</cp:lastModifiedBy>
  <cp:lastPrinted>2023-03-17T01:37:20Z</cp:lastPrinted>
  <dcterms:created xsi:type="dcterms:W3CDTF">2022-10-15T03:42:18Z</dcterms:created>
  <dcterms:modified xsi:type="dcterms:W3CDTF">2024-04-22T19:37:56Z</dcterms:modified>
</cp:coreProperties>
</file>