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SFuser\AppData\Local\Microsoft\Windows\INetCache\Content.Outlook\4OENDWRU\"/>
    </mc:Choice>
  </mc:AlternateContent>
  <bookViews>
    <workbookView xWindow="0" yWindow="90" windowWidth="15480" windowHeight="7430" tabRatio="834" firstSheet="3" activeTab="3"/>
  </bookViews>
  <sheets>
    <sheet name="Summary" sheetId="26" state="hidden" r:id="rId1"/>
    <sheet name="Inter Credible contact" sheetId="28" state="hidden" r:id="rId2"/>
    <sheet name="Dom Credible contract" sheetId="29" state="hidden" r:id="rId3"/>
    <sheet name="Transport rates international" sheetId="31" r:id="rId4"/>
    <sheet name="International Air Rates" sheetId="32" r:id="rId5"/>
  </sheets>
  <definedNames>
    <definedName name="_xlnm._FilterDatabase" localSheetId="2" hidden="1">'Dom Credible contract'!$A$2:$AV$13</definedName>
    <definedName name="_xlnm.Print_Area" localSheetId="2">'Dom Credible contract'!$A$1:$AJ$78</definedName>
    <definedName name="_xlnm.Print_Area" localSheetId="1">'Inter Credible contact'!$A$1:$AH$65</definedName>
    <definedName name="_xlnm.Print_Titles" localSheetId="2">'Dom Credible contract'!$1:$2</definedName>
    <definedName name="_xlnm.Print_Titles" localSheetId="1">'Inter Credible contact'!$1:$2</definedName>
  </definedNames>
  <calcPr calcId="162913"/>
</workbook>
</file>

<file path=xl/calcChain.xml><?xml version="1.0" encoding="utf-8"?>
<calcChain xmlns="http://schemas.openxmlformats.org/spreadsheetml/2006/main">
  <c r="K106" i="31" l="1"/>
  <c r="K105" i="31"/>
  <c r="K102" i="31"/>
  <c r="K94" i="31"/>
  <c r="K93" i="31"/>
  <c r="K90" i="31"/>
  <c r="K82" i="31"/>
  <c r="K78" i="31"/>
  <c r="N130" i="29" l="1"/>
  <c r="AV129" i="29"/>
  <c r="N129" i="29"/>
  <c r="AV128" i="29"/>
  <c r="N128" i="29"/>
  <c r="AV127" i="29"/>
  <c r="N127" i="29"/>
  <c r="AV126" i="29"/>
  <c r="N126" i="29"/>
  <c r="AV125" i="29"/>
  <c r="N125" i="29"/>
  <c r="AV124" i="29"/>
  <c r="N124" i="29"/>
  <c r="AV123" i="29"/>
  <c r="N123" i="29"/>
  <c r="AV122" i="29"/>
  <c r="AV121" i="29"/>
  <c r="N121" i="29"/>
  <c r="AV120" i="29"/>
  <c r="N120" i="29"/>
  <c r="AV119" i="29"/>
  <c r="AV117" i="29"/>
  <c r="N117" i="29"/>
  <c r="AV116" i="29"/>
  <c r="N116" i="29"/>
  <c r="AV115" i="29"/>
  <c r="N115" i="29"/>
  <c r="AV114" i="29"/>
  <c r="N114" i="29"/>
  <c r="AV113" i="29"/>
  <c r="N113" i="29"/>
  <c r="AV112" i="29"/>
  <c r="N112" i="29"/>
  <c r="AV111" i="29"/>
  <c r="N111" i="29"/>
  <c r="AV110" i="29"/>
  <c r="N110" i="29"/>
  <c r="AV109" i="29"/>
  <c r="AV108" i="29"/>
  <c r="N108" i="29"/>
  <c r="AV107" i="29"/>
  <c r="N107" i="29"/>
  <c r="AV106" i="29"/>
  <c r="N104" i="29"/>
  <c r="AV103" i="29"/>
  <c r="N103" i="29"/>
  <c r="AV102" i="29"/>
  <c r="N102" i="29"/>
  <c r="AV101" i="29"/>
  <c r="AV100" i="29"/>
  <c r="N100" i="29"/>
  <c r="AV99" i="29"/>
  <c r="N99" i="29"/>
  <c r="AV98" i="29"/>
  <c r="N98" i="29"/>
  <c r="AV97" i="29"/>
  <c r="N97" i="29"/>
  <c r="AV96" i="29"/>
  <c r="AV95" i="29"/>
  <c r="AV94" i="29"/>
  <c r="N94" i="29"/>
  <c r="AV93" i="29"/>
  <c r="N91" i="29"/>
  <c r="N90" i="29"/>
  <c r="N89" i="29"/>
  <c r="N88" i="29"/>
  <c r="N87" i="29"/>
  <c r="N86" i="29"/>
  <c r="N85" i="29"/>
  <c r="N84" i="29"/>
  <c r="N82" i="29"/>
  <c r="N81" i="29"/>
  <c r="AJ78" i="29"/>
  <c r="N78" i="29"/>
  <c r="AV77" i="29"/>
  <c r="AJ77" i="29"/>
  <c r="N77" i="29"/>
  <c r="AV76" i="29"/>
  <c r="AJ76" i="29"/>
  <c r="N76" i="29"/>
  <c r="AV75" i="29"/>
  <c r="N75" i="29"/>
  <c r="AV74" i="29"/>
  <c r="AJ74" i="29"/>
  <c r="N74" i="29"/>
  <c r="AV73" i="29"/>
  <c r="AJ73" i="29"/>
  <c r="N73" i="29"/>
  <c r="AV72" i="29"/>
  <c r="AJ72" i="29"/>
  <c r="N72" i="29"/>
  <c r="AV71" i="29"/>
  <c r="AJ71" i="29"/>
  <c r="N71" i="29"/>
  <c r="AV70" i="29"/>
  <c r="AV69" i="29"/>
  <c r="AJ69" i="29"/>
  <c r="N69" i="29"/>
  <c r="AV68" i="29"/>
  <c r="AJ68" i="29"/>
  <c r="N68" i="29"/>
  <c r="AV67" i="29"/>
  <c r="AJ65" i="29"/>
  <c r="N65" i="29"/>
  <c r="AV64" i="29"/>
  <c r="AJ64" i="29"/>
  <c r="N64" i="29"/>
  <c r="AV63" i="29"/>
  <c r="AJ63" i="29"/>
  <c r="N63" i="29"/>
  <c r="AV62" i="29"/>
  <c r="AJ62" i="29"/>
  <c r="N62" i="29"/>
  <c r="AV61" i="29"/>
  <c r="N61" i="29"/>
  <c r="AV60" i="29"/>
  <c r="AJ60" i="29"/>
  <c r="N60" i="29"/>
  <c r="AV59" i="29"/>
  <c r="AJ59" i="29"/>
  <c r="N59" i="29"/>
  <c r="AV58" i="29"/>
  <c r="AJ58" i="29"/>
  <c r="N58" i="29"/>
  <c r="AV57" i="29"/>
  <c r="AV56" i="29"/>
  <c r="AJ56" i="29"/>
  <c r="N56" i="29"/>
  <c r="AV55" i="29"/>
  <c r="AJ55" i="29"/>
  <c r="N55" i="29"/>
  <c r="AV54" i="29"/>
  <c r="AJ52" i="29"/>
  <c r="AV51" i="29"/>
  <c r="AJ51" i="29"/>
  <c r="AV50" i="29"/>
  <c r="AJ50" i="29"/>
  <c r="AV49" i="29"/>
  <c r="AJ49" i="29"/>
  <c r="AV48" i="29"/>
  <c r="AV47" i="29"/>
  <c r="AJ47" i="29"/>
  <c r="AV46" i="29"/>
  <c r="AJ46" i="29"/>
  <c r="AV45" i="29"/>
  <c r="AJ45" i="29"/>
  <c r="AV44" i="29"/>
  <c r="AV43" i="29"/>
  <c r="AJ43" i="29"/>
  <c r="AV42" i="29"/>
  <c r="AJ42" i="29"/>
  <c r="AV41" i="29"/>
  <c r="AV39" i="29"/>
  <c r="AV38" i="29"/>
  <c r="AV37" i="29"/>
  <c r="AV36" i="29"/>
  <c r="AV35" i="29"/>
  <c r="AV34" i="29"/>
  <c r="AV33" i="29"/>
  <c r="AV32" i="29"/>
  <c r="AV31" i="29"/>
  <c r="AV30" i="29"/>
  <c r="AV29" i="29"/>
  <c r="AJ26" i="29"/>
  <c r="N26" i="29"/>
  <c r="AV25" i="29"/>
  <c r="AJ25" i="29"/>
  <c r="N25" i="29"/>
  <c r="AV24" i="29"/>
  <c r="AJ24" i="29"/>
  <c r="N24" i="29"/>
  <c r="AV23" i="29"/>
  <c r="AJ23" i="29"/>
  <c r="N23" i="29"/>
  <c r="AV22" i="29"/>
  <c r="N22" i="29"/>
  <c r="AV21" i="29"/>
  <c r="AJ21" i="29"/>
  <c r="N21" i="29"/>
  <c r="AV20" i="29"/>
  <c r="AJ20" i="29"/>
  <c r="N20" i="29"/>
  <c r="AV19" i="29"/>
  <c r="AJ19" i="29"/>
  <c r="N19" i="29"/>
  <c r="AV18" i="29"/>
  <c r="AV17" i="29"/>
  <c r="AJ17" i="29"/>
  <c r="N17" i="29"/>
  <c r="AV16" i="29"/>
  <c r="AJ16" i="29"/>
  <c r="N16" i="29"/>
  <c r="AV15" i="29"/>
  <c r="AJ13" i="29"/>
  <c r="N13" i="29"/>
  <c r="AV12" i="29"/>
  <c r="AJ12" i="29"/>
  <c r="N12" i="29"/>
  <c r="AV11" i="29"/>
  <c r="AJ11" i="29"/>
  <c r="N11" i="29"/>
  <c r="AV10" i="29"/>
  <c r="N10" i="29"/>
  <c r="AV9" i="29"/>
  <c r="N9" i="29"/>
  <c r="AV8" i="29"/>
  <c r="AJ8" i="29"/>
  <c r="N8" i="29"/>
  <c r="AV7" i="29"/>
  <c r="AJ7" i="29"/>
  <c r="N7" i="29"/>
  <c r="AV6" i="29"/>
  <c r="AJ6" i="29"/>
  <c r="N6" i="29"/>
  <c r="AV5" i="29"/>
  <c r="AV4" i="29"/>
  <c r="AJ4" i="29"/>
  <c r="N4" i="29"/>
  <c r="AV3" i="29"/>
  <c r="AJ3" i="29"/>
  <c r="N3" i="29"/>
  <c r="P65" i="28"/>
  <c r="P64" i="28"/>
  <c r="P63" i="28"/>
  <c r="P60" i="28"/>
  <c r="P59" i="28"/>
  <c r="P58" i="28"/>
  <c r="P57" i="28"/>
  <c r="AD54" i="28"/>
  <c r="AH54" i="28" s="1"/>
  <c r="P54" i="28"/>
  <c r="AD53" i="28"/>
  <c r="AH53" i="28" s="1"/>
  <c r="P53" i="28"/>
  <c r="AD52" i="28"/>
  <c r="AH52" i="28" s="1"/>
  <c r="P52" i="28"/>
  <c r="AD51" i="28"/>
  <c r="AD50" i="28"/>
  <c r="AD49" i="28"/>
  <c r="AH49" i="28" s="1"/>
  <c r="P49" i="28"/>
  <c r="P48" i="28"/>
  <c r="AD47" i="28"/>
  <c r="AH47" i="28" s="1"/>
  <c r="P47" i="28"/>
  <c r="AD46" i="28"/>
  <c r="AH46" i="28" s="1"/>
  <c r="P46" i="28"/>
  <c r="AD43" i="28"/>
  <c r="AH43" i="28" s="1"/>
  <c r="P43" i="28"/>
  <c r="AD42" i="28"/>
  <c r="AH42" i="28" s="1"/>
  <c r="P42" i="28"/>
  <c r="AD41" i="28"/>
  <c r="AH41" i="28" s="1"/>
  <c r="P41" i="28"/>
  <c r="AD40" i="28"/>
  <c r="AD39" i="28"/>
  <c r="AD38" i="28"/>
  <c r="AH38" i="28" s="1"/>
  <c r="P38" i="28"/>
  <c r="P37" i="28"/>
  <c r="AD36" i="28"/>
  <c r="AH36" i="28" s="1"/>
  <c r="P36" i="28"/>
  <c r="AD35" i="28"/>
  <c r="AH35" i="28" s="1"/>
  <c r="P35" i="28"/>
  <c r="AD32" i="28"/>
  <c r="AH32" i="28" s="1"/>
  <c r="AD31" i="28"/>
  <c r="AH31" i="28" s="1"/>
  <c r="AD30" i="28"/>
  <c r="AH30" i="28" s="1"/>
  <c r="AD29" i="28"/>
  <c r="AD28" i="28"/>
  <c r="AD27" i="28"/>
  <c r="AH27" i="28" s="1"/>
  <c r="AD25" i="28"/>
  <c r="AH25" i="28" s="1"/>
  <c r="AD24" i="28"/>
  <c r="AH24" i="28" s="1"/>
  <c r="AD22" i="28"/>
  <c r="AH22" i="28" s="1"/>
  <c r="AD21" i="28"/>
  <c r="AH21" i="28" s="1"/>
  <c r="AD20" i="28"/>
  <c r="AH20" i="28" s="1"/>
  <c r="AD19" i="28"/>
  <c r="AD18" i="28"/>
  <c r="AD17" i="28"/>
  <c r="AH17" i="28" s="1"/>
  <c r="AD15" i="28"/>
  <c r="AH15" i="28" s="1"/>
  <c r="AD14" i="28"/>
  <c r="AH14" i="28" s="1"/>
  <c r="AD11" i="28"/>
  <c r="AH11" i="28" s="1"/>
  <c r="P11" i="28"/>
  <c r="AD10" i="28"/>
  <c r="AH10" i="28" s="1"/>
  <c r="P10" i="28"/>
  <c r="AD9" i="28"/>
  <c r="AH9" i="28" s="1"/>
  <c r="P9" i="28"/>
  <c r="AD8" i="28"/>
  <c r="AD7" i="28"/>
  <c r="AD6" i="28"/>
  <c r="AH6" i="28" s="1"/>
  <c r="P6" i="28"/>
  <c r="P5" i="28"/>
  <c r="AD4" i="28"/>
  <c r="AH4" i="28" s="1"/>
  <c r="P4" i="28"/>
  <c r="AD3" i="28"/>
  <c r="AH3" i="28" s="1"/>
  <c r="P3" i="28"/>
</calcChain>
</file>

<file path=xl/comments1.xml><?xml version="1.0" encoding="utf-8"?>
<comments xmlns="http://schemas.openxmlformats.org/spreadsheetml/2006/main">
  <authors>
    <author>MSFUser</author>
  </authors>
  <commentList>
    <comment ref="Z3" authorId="0" shapeId="0">
      <text>
        <r>
          <rPr>
            <b/>
            <sz val="8"/>
            <color indexed="81"/>
            <rFont val="Tahoma"/>
            <family val="2"/>
          </rPr>
          <t>Wrong number, should be 5250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4" authorId="0" shapeId="0">
      <text>
        <r>
          <rPr>
            <b/>
            <sz val="8"/>
            <color indexed="81"/>
            <rFont val="Tahoma"/>
            <family val="2"/>
          </rPr>
          <t>Wrong number, should be 5250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6" authorId="0" shapeId="0">
      <text>
        <r>
          <rPr>
            <b/>
            <sz val="8"/>
            <color indexed="81"/>
            <rFont val="Tahoma"/>
            <family val="2"/>
          </rPr>
          <t>Wrong number, should be 4750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9" authorId="0" shapeId="0">
      <text>
        <r>
          <rPr>
            <b/>
            <sz val="8"/>
            <color indexed="81"/>
            <rFont val="Tahoma"/>
            <family val="2"/>
          </rPr>
          <t>Wrong number, should be 1950</t>
        </r>
      </text>
    </comment>
    <comment ref="Z15" authorId="0" shapeId="0">
      <text>
        <r>
          <rPr>
            <b/>
            <sz val="8"/>
            <color indexed="81"/>
            <rFont val="Tahoma"/>
            <family val="2"/>
          </rPr>
          <t>Wrong number, should be 5850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7" authorId="0" shapeId="0">
      <text>
        <r>
          <rPr>
            <b/>
            <sz val="8"/>
            <color indexed="81"/>
            <rFont val="Tahoma"/>
            <family val="2"/>
          </rPr>
          <t>Wrong number should be 6350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0" authorId="0" shapeId="0">
      <text>
        <r>
          <rPr>
            <b/>
            <sz val="8"/>
            <color indexed="81"/>
            <rFont val="Tahoma"/>
            <family val="2"/>
          </rPr>
          <t>Wrong number should be 1950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Wrong number, 4500 $ in the contract</t>
        </r>
      </text>
    </comment>
    <comment ref="Z25" authorId="0" shapeId="0">
      <text>
        <r>
          <rPr>
            <b/>
            <sz val="8"/>
            <color indexed="81"/>
            <rFont val="Tahoma"/>
            <family val="2"/>
          </rPr>
          <t>Wrong number, should be 5250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7" authorId="0" shapeId="0">
      <text>
        <r>
          <rPr>
            <b/>
            <sz val="8"/>
            <color indexed="81"/>
            <rFont val="Tahoma"/>
            <family val="2"/>
          </rPr>
          <t>Wrong number, should be 4750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0" authorId="0" shapeId="0">
      <text>
        <r>
          <rPr>
            <b/>
            <sz val="8"/>
            <color indexed="81"/>
            <rFont val="Tahoma"/>
            <family val="2"/>
          </rPr>
          <t>Wrong number, should be 1950</t>
        </r>
      </text>
    </comment>
    <comment ref="Z35" authorId="0" shapeId="0">
      <text>
        <r>
          <rPr>
            <b/>
            <sz val="8"/>
            <color indexed="81"/>
            <rFont val="Tahoma"/>
            <family val="2"/>
          </rPr>
          <t>Wrong number, should be 5550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6" authorId="0" shapeId="0">
      <text>
        <r>
          <rPr>
            <b/>
            <sz val="8"/>
            <color indexed="81"/>
            <rFont val="Tahoma"/>
            <family val="2"/>
          </rPr>
          <t>Wrong number, should be 5850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8" authorId="0" shapeId="0">
      <text>
        <r>
          <rPr>
            <b/>
            <sz val="8"/>
            <color indexed="81"/>
            <rFont val="Tahoma"/>
            <family val="2"/>
          </rPr>
          <t>Wrong number, should be 6350</t>
        </r>
      </text>
    </comment>
    <comment ref="Z41" authorId="0" shapeId="0">
      <text>
        <r>
          <rPr>
            <b/>
            <sz val="8"/>
            <color indexed="81"/>
            <rFont val="Tahoma"/>
            <family val="2"/>
          </rPr>
          <t>Wrong number, should be 1950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5300 in the contract!!!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46" authorId="0" shapeId="0">
      <text>
        <r>
          <rPr>
            <b/>
            <sz val="8"/>
            <color indexed="81"/>
            <rFont val="Tahoma"/>
            <family val="2"/>
          </rPr>
          <t>Wrong number, should be 4850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47" authorId="0" shapeId="0">
      <text>
        <r>
          <rPr>
            <b/>
            <sz val="8"/>
            <color indexed="81"/>
            <rFont val="Tahoma"/>
            <family val="2"/>
          </rPr>
          <t>Wrong number, should be 4250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49" authorId="0" shapeId="0">
      <text>
        <r>
          <rPr>
            <b/>
            <sz val="8"/>
            <color indexed="81"/>
            <rFont val="Tahoma"/>
            <family val="2"/>
          </rPr>
          <t>Wrong number, should be 4050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52" authorId="0" shapeId="0">
      <text>
        <r>
          <rPr>
            <b/>
            <sz val="8"/>
            <color indexed="81"/>
            <rFont val="Tahoma"/>
            <family val="2"/>
          </rPr>
          <t>Wrong number, should be 1350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MSFUser</author>
  </authors>
  <commentList>
    <comment ref="D3" authorId="0" shapeId="0">
      <text>
        <r>
          <rPr>
            <b/>
            <sz val="8"/>
            <color indexed="81"/>
            <rFont val="Tahoma"/>
            <family val="2"/>
          </rPr>
          <t>Wrong number, should be 650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 xml:space="preserve">Wrong number, should be 1200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Wrong number, should be 650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Wrong number, should be 1700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 xml:space="preserve">Wrong number, should be 150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Wrong number, should be 1265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 xml:space="preserve">Wrong number, should be 950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Wrong number should be 650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Wrong number, should be 530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Wrong number, should be 1750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Wrong number, should be 330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9" authorId="0" shapeId="0">
      <text>
        <r>
          <rPr>
            <b/>
            <sz val="8"/>
            <color indexed="81"/>
            <rFont val="Tahoma"/>
            <family val="2"/>
          </rPr>
          <t>Wrong number, should be 900 and after amendement 850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1" authorId="0" shapeId="0">
      <text>
        <r>
          <rPr>
            <b/>
            <sz val="8"/>
            <color indexed="81"/>
            <rFont val="Tahoma"/>
            <family val="2"/>
          </rPr>
          <t>NOT IN THE EXCEL SHEET !!!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1" authorId="0" shapeId="0">
      <text>
        <r>
          <rPr>
            <b/>
            <sz val="8"/>
            <color indexed="81"/>
            <rFont val="Tahoma"/>
            <family val="2"/>
          </rPr>
          <t>Not in the excel sheet</t>
        </r>
      </text>
    </comment>
    <comment ref="AA81" authorId="0" shapeId="0">
      <text>
        <r>
          <rPr>
            <b/>
            <sz val="8"/>
            <color indexed="81"/>
            <rFont val="Tahoma"/>
            <family val="2"/>
          </rPr>
          <t>NOT IN THE EXCEL SHEET !!!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81" authorId="0" shapeId="0">
      <text>
        <r>
          <rPr>
            <b/>
            <sz val="8"/>
            <color indexed="81"/>
            <rFont val="Tahoma"/>
            <family val="2"/>
          </rPr>
          <t>NOT IN THE EXCEL SHEET !!!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5" authorId="0" shapeId="0">
      <text>
        <r>
          <rPr>
            <b/>
            <sz val="8"/>
            <color indexed="81"/>
            <rFont val="Tahoma"/>
            <family val="2"/>
          </rPr>
          <t>Wrong number, should be 800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08" authorId="0" shapeId="0">
      <text>
        <r>
          <rPr>
            <b/>
            <sz val="8"/>
            <color indexed="81"/>
            <rFont val="Tahoma"/>
            <family val="2"/>
          </rPr>
          <t>Wrong number, should be 850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1" authorId="0" shapeId="0">
      <text>
        <r>
          <rPr>
            <b/>
            <sz val="8"/>
            <color indexed="81"/>
            <rFont val="Tahoma"/>
            <family val="2"/>
          </rPr>
          <t>Wrong number, should be 850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<sst xmlns="http://schemas.openxmlformats.org/spreadsheetml/2006/main" count="1594" uniqueCount="224">
  <si>
    <t>Country of Origin</t>
  </si>
  <si>
    <t>Place of Origin</t>
  </si>
  <si>
    <t>Country of Destination</t>
  </si>
  <si>
    <t>Place of Destination</t>
  </si>
  <si>
    <t>Type of Vehicle</t>
  </si>
  <si>
    <t>Mombasa Port</t>
  </si>
  <si>
    <t>20 FT with 10 wheeler</t>
  </si>
  <si>
    <t>Nairobi</t>
  </si>
  <si>
    <t>Homa Bay</t>
  </si>
  <si>
    <t>Mathare</t>
  </si>
  <si>
    <t>Dadaab</t>
  </si>
  <si>
    <t>Kibera</t>
  </si>
  <si>
    <t>20 FT - Refeer</t>
  </si>
  <si>
    <t>40 FT</t>
  </si>
  <si>
    <t>CANTER / 3 TONS</t>
  </si>
  <si>
    <t>CANTER / 4 TONS</t>
  </si>
  <si>
    <t>FIGHTER / 7 TONS</t>
  </si>
  <si>
    <t>South Sudan</t>
  </si>
  <si>
    <t>Juba</t>
  </si>
  <si>
    <t>Uganda</t>
  </si>
  <si>
    <t>Kampala</t>
  </si>
  <si>
    <t>DRC</t>
  </si>
  <si>
    <t>Bukavu</t>
  </si>
  <si>
    <t>Goma</t>
  </si>
  <si>
    <t>Start:</t>
  </si>
  <si>
    <t>End:</t>
  </si>
  <si>
    <t>1st July, 2015</t>
  </si>
  <si>
    <t>The present document lists contacted rates for road transport services within Kenya and outside region.</t>
  </si>
  <si>
    <t>OBJECTIVE</t>
  </si>
  <si>
    <t>GENERAL INFORMATION</t>
  </si>
  <si>
    <t>The rates are valid during period below:</t>
  </si>
  <si>
    <t>Kenya Supply Unit - Road Transport Rates 2014</t>
  </si>
  <si>
    <t>Sheet</t>
  </si>
  <si>
    <t>TRANSIT TIME
(in hours)</t>
  </si>
  <si>
    <t>1. Have specified Customs clearance, Port, Reefer Monitoring and Border clearance in specified columns. Final clearance at destination is not included. This can be agreed with upon awarding contract to us.</t>
  </si>
  <si>
    <t>2. Reefer genset will be chaged at an additional cost us$250 per day for transport exceeding one day</t>
  </si>
  <si>
    <t>3. Truck detention charges of us$250 per day will apply  for delays occurred due to documentation issues and delays due to customer , for extra days beyond the mutually agreed transit time</t>
  </si>
  <si>
    <t>4. All truck loadings will be subject to East African Axle Loading regulations</t>
  </si>
  <si>
    <t>5. All rates are United States Dollars</t>
  </si>
  <si>
    <t>6. Weely transport preferred. However, urgent transport request can be accomodated subject to 24 Hour notice.</t>
  </si>
  <si>
    <t>GENERAL REMARKS:</t>
  </si>
  <si>
    <t>HOW TO SELECT PROVIDER?</t>
  </si>
  <si>
    <t>Attention to remarks on bottom of each sheet.</t>
  </si>
  <si>
    <t>Description: Rates for road transport services within Kenya.</t>
  </si>
  <si>
    <t>Description: Rates for road transport services outside Kenya.</t>
  </si>
  <si>
    <t>1. Identify whether route is within our outside Kenya;</t>
  </si>
  <si>
    <t>2. After identification, select the sheet according to your need;</t>
  </si>
  <si>
    <t>stored in a retrieval system or transmitted</t>
  </si>
  <si>
    <t>in any form or by any means electronic,</t>
  </si>
  <si>
    <t>mechanical, photocopying, recording or</t>
  </si>
  <si>
    <t xml:space="preserve">No part of this document may be reproduced, </t>
  </si>
  <si>
    <t>This document is restricted to KSU (Kenya Supply Unit)'s team.</t>
  </si>
  <si>
    <t>otherwise without the prior written permission of KSU.</t>
  </si>
  <si>
    <t>CONTACTS</t>
  </si>
  <si>
    <t>Multiple Solutions</t>
  </si>
  <si>
    <t>5. In case none of transporters is able to provide vehicles, contact Procurement Area to 
proceed with RFQ (Request for Quotation)</t>
  </si>
  <si>
    <t>CANTER / 5 TONS</t>
  </si>
  <si>
    <t xml:space="preserve">Fausta Kallist | Commercial Manager | Kenfreight EA Ltd  |  P. O. Box 43994, Nairobi, Kenya
Phone: +254-020-2247004 |  Mobile: +254 722 511688   Fax: +254-020-2246803 |  E-mail: faustak@nbi.kenfreight.co.ke I www.kenfreightgroup.com
</t>
  </si>
  <si>
    <t>Version 2.0 - July, 2015</t>
  </si>
  <si>
    <t>1st July, 2016</t>
  </si>
  <si>
    <t>"2015 WINNERS - Domestic"</t>
  </si>
  <si>
    <t>"2015 WINNERS - International"</t>
  </si>
  <si>
    <t>Mombasa</t>
  </si>
  <si>
    <t>Garissa</t>
  </si>
  <si>
    <t>Lokichogio</t>
  </si>
  <si>
    <t>Mombasa Island</t>
  </si>
  <si>
    <t>1 day</t>
  </si>
  <si>
    <t>2 days</t>
  </si>
  <si>
    <t>3 days</t>
  </si>
  <si>
    <t xml:space="preserve">Contact: Joseph Nguku
Position: Managing director
Mobile: +254 710 344 443 
Email: Nguku &lt;nguku@credibleservices.co.ke&gt;
</t>
  </si>
  <si>
    <t>Burundi</t>
  </si>
  <si>
    <t>Bujumbura</t>
  </si>
  <si>
    <t>Lubumbashi</t>
  </si>
  <si>
    <t>CREDIBLE SERVICE LTD</t>
  </si>
  <si>
    <t>KENFREIGHT EA LTD</t>
  </si>
  <si>
    <t>PRICE (in USD VAT INC)</t>
  </si>
  <si>
    <t>Credible</t>
  </si>
  <si>
    <t>Multiple</t>
  </si>
  <si>
    <t>20 FT (UP TO 13MT INCLUDING CONTAINER WEIGHT)</t>
  </si>
  <si>
    <t>KenFreight EA Ltd</t>
  </si>
  <si>
    <t>20 FT (up to 13 mt includint container weight)</t>
  </si>
  <si>
    <t>20 ft (from 13 up to 26 mt including container weight)</t>
  </si>
  <si>
    <t>5 to 7</t>
  </si>
  <si>
    <t>Contact: Hiran Shah
Position: Director
Ph: +254 0755 222 222
Mobile: +254 0789 271 741
Email: subramanian@multiplehauliers.com</t>
  </si>
  <si>
    <t>Min</t>
  </si>
  <si>
    <t xml:space="preserve">VAT NONE APPLICABLE
Clearance at borders inclusive
Clearance Mombasa not inclusive
</t>
  </si>
  <si>
    <r>
      <t>3. Select provider highlighted in Green as "</t>
    </r>
    <r>
      <rPr>
        <b/>
        <sz val="10"/>
        <color rgb="FF0033CC"/>
        <rFont val="Arial"/>
        <family val="2"/>
      </rPr>
      <t>1st CHOICE</t>
    </r>
    <r>
      <rPr>
        <sz val="10"/>
        <rFont val="Arial"/>
        <family val="2"/>
      </rPr>
      <t>" and contact to arrange the operational procedure;</t>
    </r>
  </si>
  <si>
    <t>4. In case of unavailability of vehicle, go to "orange" highliht followed by "red</t>
  </si>
  <si>
    <t xml:space="preserve">1.VAT NON APPLICABLE
2. Delays at the loading/boarders/offloading beyond 2 days will attract demurrage at a rate of USD250 per truck per day
</t>
  </si>
  <si>
    <t>$1150</t>
  </si>
  <si>
    <t>$ 1150</t>
  </si>
  <si>
    <t>KENYA</t>
  </si>
  <si>
    <t>Bunia</t>
  </si>
  <si>
    <t>Ethiopia</t>
  </si>
  <si>
    <t>Addis-Abeba</t>
  </si>
  <si>
    <t>NA</t>
  </si>
  <si>
    <t xml:space="preserve">RATE USD EXCL VAT
</t>
  </si>
  <si>
    <t>TRANSIT TIME
(days)</t>
  </si>
  <si>
    <t>KSU INTERNATIONAL RATES</t>
  </si>
  <si>
    <t>20 FT ( FROM 13 MT UP TO 26 MT)</t>
  </si>
  <si>
    <t>40 FT Reefer</t>
  </si>
  <si>
    <t>FIGHTER REEFER</t>
  </si>
  <si>
    <t>20 FT INCLUDING CONTAINER 33 CBM / 16 T</t>
  </si>
  <si>
    <t>40 FT                    60 CBM / 28 T</t>
  </si>
  <si>
    <t>FIGHTER                23 CBM / 8 T</t>
  </si>
  <si>
    <t>Multiple 2015</t>
  </si>
  <si>
    <t>Multiple 2016</t>
  </si>
  <si>
    <t>KEN FREIGHT 2015</t>
  </si>
  <si>
    <t>CREDIBLE 2015</t>
  </si>
  <si>
    <t>CREDIBLE 2016</t>
  </si>
  <si>
    <t>KEN FREIGHT 2016</t>
  </si>
  <si>
    <t>20 FT (38.3 m3, 13 T including container weight)</t>
  </si>
  <si>
    <t>20 FT REEFER</t>
  </si>
  <si>
    <t>40 FT (77 M3)</t>
  </si>
  <si>
    <t>FIGHTER 7 T</t>
  </si>
  <si>
    <t>20 FT - Refeer                          32.2 CBM / 24 T</t>
  </si>
  <si>
    <t>40 FT                                            67.7 CBM / 24 T</t>
  </si>
  <si>
    <t>FIGHTER                                     30 CBM / 10 T</t>
  </si>
  <si>
    <t xml:space="preserve">Likoni </t>
  </si>
  <si>
    <t>Embu</t>
  </si>
  <si>
    <t>Comparision</t>
  </si>
  <si>
    <t>MULTIPLE 2015</t>
  </si>
  <si>
    <t>MULTIPLE 2016</t>
  </si>
  <si>
    <t>FIGHTER / 7 TONS                             REEFER</t>
  </si>
  <si>
    <t>20 FT with 10 wheeler (33 M3, 16 T)</t>
  </si>
  <si>
    <t>40 FT (VOLUME 60 m3, 28 T)</t>
  </si>
  <si>
    <t>20 FT with 10 wheeler (38.5 m3 / 13 T)</t>
  </si>
  <si>
    <t>20 FT (38.5 M3 up to 13 T)</t>
  </si>
  <si>
    <t>20 FT (38.5 M3 up to 26 T)</t>
  </si>
  <si>
    <t>20 FT with 10 wheeler (32.2 m3 / 13 T)</t>
  </si>
  <si>
    <t>Comparison</t>
  </si>
  <si>
    <t>KSU</t>
  </si>
  <si>
    <t xml:space="preserve">RATE USD $ EXCL VAT
</t>
  </si>
  <si>
    <r>
      <t>20 FT 32.2 CBM /</t>
    </r>
    <r>
      <rPr>
        <b/>
        <sz val="10"/>
        <color rgb="FFFF0000"/>
        <rFont val="Calibri"/>
        <family val="2"/>
        <scheme val="minor"/>
      </rPr>
      <t xml:space="preserve"> 13 to 24 T</t>
    </r>
  </si>
  <si>
    <t>DEMURRAGE/ Day in $</t>
  </si>
  <si>
    <t>20 FT (32.2 m3 / 26 T) including container</t>
  </si>
  <si>
    <t>?????</t>
  </si>
  <si>
    <t>20 FT - Refeer (30 m3, 15 T)</t>
  </si>
  <si>
    <t>KSU DOMESTIC RATES</t>
  </si>
  <si>
    <r>
      <t>20 FT INCLUDING CONTAINER 32.2 CBM 0 /</t>
    </r>
    <r>
      <rPr>
        <b/>
        <sz val="10"/>
        <color rgb="FFFF0000"/>
        <rFont val="Calibri"/>
        <family val="2"/>
        <scheme val="minor"/>
      </rPr>
      <t xml:space="preserve"> 13 T</t>
    </r>
  </si>
  <si>
    <t>NOTICE (day)</t>
  </si>
  <si>
    <t>FIGHTER REEFER 7T</t>
  </si>
  <si>
    <t>NOTICE (days)</t>
  </si>
  <si>
    <t>Nduta</t>
  </si>
  <si>
    <t>Tanzania</t>
  </si>
  <si>
    <t>CANTER 5 T</t>
  </si>
  <si>
    <t>CANTER 4 T</t>
  </si>
  <si>
    <t>CANTER 3 T</t>
  </si>
  <si>
    <t>SIGINON</t>
  </si>
  <si>
    <t>20 FT DRY</t>
  </si>
  <si>
    <t xml:space="preserve">Max Chargeable weight </t>
  </si>
  <si>
    <t>27 m3</t>
  </si>
  <si>
    <t>48 m3</t>
  </si>
  <si>
    <t>7 T</t>
  </si>
  <si>
    <t>25 T</t>
  </si>
  <si>
    <t>28 T</t>
  </si>
  <si>
    <t>54 m3</t>
  </si>
  <si>
    <t>10 T</t>
  </si>
  <si>
    <t>13 T</t>
  </si>
  <si>
    <t>20 m3</t>
  </si>
  <si>
    <t>5 T</t>
  </si>
  <si>
    <t>18 m3</t>
  </si>
  <si>
    <t>4 T</t>
  </si>
  <si>
    <t>14 m3</t>
  </si>
  <si>
    <t>12 m3</t>
  </si>
  <si>
    <t>3 T</t>
  </si>
  <si>
    <t>Type of vehicle</t>
  </si>
  <si>
    <t>Volume</t>
  </si>
  <si>
    <t>CREDIBLE SERVICES</t>
  </si>
  <si>
    <t>22m3</t>
  </si>
  <si>
    <t>Country</t>
  </si>
  <si>
    <t>Route</t>
  </si>
  <si>
    <t>Min. Charge</t>
  </si>
  <si>
    <t>Frequency</t>
  </si>
  <si>
    <t>Nairobi - Juba</t>
  </si>
  <si>
    <t>Nairobi - Mogadishu</t>
  </si>
  <si>
    <t>Nairobi-Zanzibar</t>
  </si>
  <si>
    <t>Nairobi-Pemba</t>
  </si>
  <si>
    <t>Nairobi-Lubumbashi</t>
  </si>
  <si>
    <t>Nairobi-Lusaka</t>
  </si>
  <si>
    <t>Nairobi-Hargeysa</t>
  </si>
  <si>
    <t>Nairobi-Djibout</t>
  </si>
  <si>
    <t>Rates</t>
  </si>
  <si>
    <t>Origin-Destination/Route</t>
  </si>
  <si>
    <t>Astral Aviation Ltd</t>
  </si>
  <si>
    <t>Kenya Airways</t>
  </si>
  <si>
    <t>Nairobi-Goma</t>
  </si>
  <si>
    <t>Rates/Kg</t>
  </si>
  <si>
    <t xml:space="preserve">Min. Charge </t>
  </si>
  <si>
    <t>3days</t>
  </si>
  <si>
    <t>Day 7 Alternate</t>
  </si>
  <si>
    <t>Day 1 Alternate</t>
  </si>
  <si>
    <t>Day 2</t>
  </si>
  <si>
    <t>Day 6</t>
  </si>
  <si>
    <t>Frequency / week</t>
  </si>
  <si>
    <t>Nairobi-Kinshasa</t>
  </si>
  <si>
    <t>Nairobi-Bangui</t>
  </si>
  <si>
    <t>Nairobi-Abdjan</t>
  </si>
  <si>
    <t>Nairobi-Bamako</t>
  </si>
  <si>
    <t>Nairobi-Free town</t>
  </si>
  <si>
    <t>Nairobi-Addis Ababa</t>
  </si>
  <si>
    <t>Nairobi-Kigali</t>
  </si>
  <si>
    <t>Nairobi-Entebbe</t>
  </si>
  <si>
    <t>&gt; All in Rates exclude handling and screening charges</t>
  </si>
  <si>
    <t>&gt; Physical hard copy awb is  40usd and Neutral over the counter awb 6usd.</t>
  </si>
  <si>
    <t>DGR surchage:US$ 0.25/kg, min charge US$ 30</t>
  </si>
  <si>
    <t>AWB fee: US$10</t>
  </si>
  <si>
    <t>2days</t>
  </si>
  <si>
    <t>pass</t>
  </si>
  <si>
    <t>Nairobi - Arusha</t>
  </si>
  <si>
    <t xml:space="preserve"> - </t>
  </si>
  <si>
    <t xml:space="preserve"> -</t>
  </si>
  <si>
    <t>1 freighter 15t</t>
  </si>
  <si>
    <t xml:space="preserve"> 10 alternate</t>
  </si>
  <si>
    <t>2/day</t>
  </si>
  <si>
    <t>3/week</t>
  </si>
  <si>
    <t>FIGHTER  REEFER 7 T</t>
  </si>
  <si>
    <t>Cost of dry plus genset cost</t>
  </si>
  <si>
    <t>Daily/passanger</t>
  </si>
  <si>
    <t>Export documentation in days</t>
  </si>
  <si>
    <t>&gt; For DGR shipments, we collect Additional DGR freight of 40usd and DG handling fee of $0.18/kg (MN $40)</t>
  </si>
  <si>
    <t>REGIONAL ROAD TRANSPORT RATES</t>
  </si>
  <si>
    <t>AIRFREIGHT TRANSPORT RATES</t>
  </si>
  <si>
    <t>TRANSPORT SERVICE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</si>
</sst>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USD]\ #,##0.00"/>
    <numFmt numFmtId="166" formatCode="0.0%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6" fillId="17" borderId="0" applyNumberFormat="0" applyBorder="0" applyAlignment="0" applyProtection="0"/>
    <xf numFmtId="0" fontId="7" fillId="9" borderId="1" applyNumberFormat="0" applyAlignment="0" applyProtection="0"/>
    <xf numFmtId="0" fontId="8" fillId="14" borderId="2" applyNumberFormat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10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460">
    <xf numFmtId="0" fontId="0" fillId="0" borderId="0" xfId="0"/>
    <xf numFmtId="0" fontId="0" fillId="0" borderId="0" xfId="0" applyFill="1" applyBorder="1"/>
    <xf numFmtId="0" fontId="2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6" fillId="0" borderId="0" xfId="0" applyFont="1" applyFill="1" applyBorder="1"/>
    <xf numFmtId="0" fontId="27" fillId="0" borderId="0" xfId="0" applyFont="1" applyAlignment="1">
      <alignment vertic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" fillId="0" borderId="0" xfId="37" applyFont="1" applyAlignment="1">
      <alignment vertical="center" wrapText="1"/>
    </xf>
    <xf numFmtId="0" fontId="34" fillId="0" borderId="0" xfId="37" applyFont="1" applyAlignment="1">
      <alignment vertical="center" wrapText="1"/>
    </xf>
    <xf numFmtId="0" fontId="36" fillId="0" borderId="0" xfId="37" applyFont="1" applyFill="1" applyBorder="1" applyAlignment="1">
      <alignment vertical="center" wrapText="1"/>
    </xf>
    <xf numFmtId="0" fontId="36" fillId="0" borderId="0" xfId="37" applyFont="1" applyBorder="1" applyAlignment="1">
      <alignment horizontal="center" vertical="center" wrapText="1"/>
    </xf>
    <xf numFmtId="0" fontId="36" fillId="0" borderId="0" xfId="37" applyFont="1" applyBorder="1" applyAlignment="1">
      <alignment vertical="center" wrapText="1"/>
    </xf>
    <xf numFmtId="0" fontId="32" fillId="0" borderId="0" xfId="37" applyFont="1" applyFill="1" applyBorder="1" applyAlignment="1">
      <alignment vertical="center" wrapText="1"/>
    </xf>
    <xf numFmtId="0" fontId="37" fillId="18" borderId="38" xfId="37" applyFont="1" applyFill="1" applyBorder="1" applyAlignment="1">
      <alignment horizontal="center" vertical="center" wrapText="1"/>
    </xf>
    <xf numFmtId="0" fontId="37" fillId="18" borderId="39" xfId="37" applyFont="1" applyFill="1" applyBorder="1" applyAlignment="1">
      <alignment horizontal="center" vertical="center" wrapText="1"/>
    </xf>
    <xf numFmtId="0" fontId="37" fillId="18" borderId="39" xfId="37" quotePrefix="1" applyFont="1" applyFill="1" applyBorder="1" applyAlignment="1">
      <alignment horizontal="center" vertical="center" wrapText="1"/>
    </xf>
    <xf numFmtId="0" fontId="37" fillId="18" borderId="40" xfId="37" applyFont="1" applyFill="1" applyBorder="1" applyAlignment="1">
      <alignment horizontal="center" vertical="center" wrapText="1"/>
    </xf>
    <xf numFmtId="0" fontId="38" fillId="0" borderId="27" xfId="37" applyFont="1" applyFill="1" applyBorder="1" applyAlignment="1">
      <alignment horizontal="center" vertical="center" wrapText="1"/>
    </xf>
    <xf numFmtId="0" fontId="38" fillId="0" borderId="32" xfId="37" applyNumberFormat="1" applyFont="1" applyFill="1" applyBorder="1" applyAlignment="1">
      <alignment horizontal="center" vertical="center" wrapText="1"/>
    </xf>
    <xf numFmtId="0" fontId="38" fillId="0" borderId="0" xfId="37" applyNumberFormat="1" applyFont="1" applyFill="1" applyBorder="1" applyAlignment="1">
      <alignment horizontal="center" vertical="center" wrapText="1"/>
    </xf>
    <xf numFmtId="0" fontId="37" fillId="18" borderId="35" xfId="37" applyFont="1" applyFill="1" applyBorder="1" applyAlignment="1">
      <alignment horizontal="center" vertical="center" wrapText="1"/>
    </xf>
    <xf numFmtId="0" fontId="32" fillId="0" borderId="0" xfId="37" applyFont="1"/>
    <xf numFmtId="0" fontId="39" fillId="0" borderId="27" xfId="0" applyFont="1" applyBorder="1"/>
    <xf numFmtId="0" fontId="39" fillId="0" borderId="28" xfId="0" applyFont="1" applyBorder="1"/>
    <xf numFmtId="0" fontId="39" fillId="0" borderId="32" xfId="0" applyFont="1" applyBorder="1"/>
    <xf numFmtId="3" fontId="38" fillId="0" borderId="29" xfId="37" applyNumberFormat="1" applyFont="1" applyFill="1" applyBorder="1" applyAlignment="1">
      <alignment horizontal="distributed"/>
    </xf>
    <xf numFmtId="0" fontId="34" fillId="0" borderId="33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9" fontId="32" fillId="0" borderId="0" xfId="48" applyFont="1" applyFill="1" applyBorder="1" applyAlignment="1">
      <alignment horizontal="center"/>
    </xf>
    <xf numFmtId="0" fontId="38" fillId="0" borderId="0" xfId="37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9" fillId="0" borderId="29" xfId="0" applyFont="1" applyBorder="1"/>
    <xf numFmtId="0" fontId="39" fillId="0" borderId="11" xfId="0" applyFont="1" applyBorder="1"/>
    <xf numFmtId="0" fontId="39" fillId="0" borderId="33" xfId="0" applyFont="1" applyBorder="1"/>
    <xf numFmtId="0" fontId="39" fillId="0" borderId="0" xfId="37" applyFont="1"/>
    <xf numFmtId="0" fontId="39" fillId="0" borderId="30" xfId="0" applyFont="1" applyBorder="1"/>
    <xf numFmtId="0" fontId="39" fillId="0" borderId="31" xfId="0" applyFont="1" applyBorder="1"/>
    <xf numFmtId="0" fontId="39" fillId="0" borderId="34" xfId="0" applyFont="1" applyBorder="1"/>
    <xf numFmtId="3" fontId="38" fillId="0" borderId="30" xfId="37" applyNumberFormat="1" applyFont="1" applyFill="1" applyBorder="1" applyAlignment="1" applyProtection="1">
      <alignment horizontal="distributed"/>
      <protection locked="0"/>
    </xf>
    <xf numFmtId="0" fontId="34" fillId="0" borderId="34" xfId="0" applyFont="1" applyFill="1" applyBorder="1" applyAlignment="1">
      <alignment horizontal="center"/>
    </xf>
    <xf numFmtId="0" fontId="39" fillId="0" borderId="0" xfId="0" applyFont="1" applyBorder="1"/>
    <xf numFmtId="0" fontId="34" fillId="0" borderId="0" xfId="37" quotePrefix="1" applyFont="1" applyBorder="1" applyAlignment="1">
      <alignment horizontal="center" vertical="center" wrapText="1"/>
    </xf>
    <xf numFmtId="3" fontId="38" fillId="0" borderId="0" xfId="37" applyNumberFormat="1" applyFont="1" applyFill="1" applyBorder="1" applyAlignment="1" applyProtection="1">
      <alignment horizontal="distributed"/>
      <protection locked="0"/>
    </xf>
    <xf numFmtId="0" fontId="32" fillId="0" borderId="0" xfId="37" applyFont="1" applyBorder="1"/>
    <xf numFmtId="0" fontId="32" fillId="0" borderId="0" xfId="37" applyFont="1" applyBorder="1" applyAlignment="1">
      <alignment horizontal="center"/>
    </xf>
    <xf numFmtId="0" fontId="34" fillId="0" borderId="0" xfId="37" applyFont="1" applyBorder="1" applyAlignment="1">
      <alignment horizontal="center" wrapText="1"/>
    </xf>
    <xf numFmtId="0" fontId="39" fillId="0" borderId="0" xfId="37" applyNumberFormat="1" applyFont="1" applyFill="1" applyBorder="1" applyAlignment="1">
      <alignment horizontal="center"/>
    </xf>
    <xf numFmtId="0" fontId="32" fillId="0" borderId="35" xfId="37" applyFont="1" applyBorder="1"/>
    <xf numFmtId="0" fontId="32" fillId="0" borderId="0" xfId="37" applyNumberFormat="1" applyFont="1" applyAlignment="1">
      <alignment horizontal="center"/>
    </xf>
    <xf numFmtId="0" fontId="32" fillId="0" borderId="0" xfId="37" applyNumberFormat="1" applyFont="1" applyFill="1" applyBorder="1" applyAlignment="1">
      <alignment horizontal="center"/>
    </xf>
    <xf numFmtId="3" fontId="38" fillId="0" borderId="41" xfId="37" applyNumberFormat="1" applyFont="1" applyFill="1" applyBorder="1" applyAlignment="1">
      <alignment horizontal="distributed"/>
    </xf>
    <xf numFmtId="0" fontId="34" fillId="0" borderId="42" xfId="0" applyFont="1" applyFill="1" applyBorder="1" applyAlignment="1">
      <alignment horizontal="center"/>
    </xf>
    <xf numFmtId="3" fontId="38" fillId="0" borderId="30" xfId="37" applyNumberFormat="1" applyFont="1" applyFill="1" applyBorder="1" applyAlignment="1">
      <alignment horizontal="distributed"/>
    </xf>
    <xf numFmtId="3" fontId="38" fillId="0" borderId="0" xfId="37" applyNumberFormat="1" applyFont="1" applyFill="1" applyBorder="1" applyAlignment="1">
      <alignment horizontal="distributed"/>
    </xf>
    <xf numFmtId="0" fontId="34" fillId="0" borderId="0" xfId="37" applyFont="1"/>
    <xf numFmtId="0" fontId="38" fillId="0" borderId="38" xfId="37" applyFont="1" applyFill="1" applyBorder="1" applyAlignment="1">
      <alignment horizontal="center" vertical="center" wrapText="1"/>
    </xf>
    <xf numFmtId="0" fontId="38" fillId="0" borderId="40" xfId="37" applyNumberFormat="1" applyFont="1" applyFill="1" applyBorder="1" applyAlignment="1">
      <alignment horizontal="center" vertical="center" wrapText="1"/>
    </xf>
    <xf numFmtId="0" fontId="32" fillId="0" borderId="0" xfId="37" applyNumberFormat="1" applyFont="1" applyFill="1" applyAlignment="1">
      <alignment horizontal="center"/>
    </xf>
    <xf numFmtId="3" fontId="38" fillId="0" borderId="27" xfId="37" applyNumberFormat="1" applyFont="1" applyFill="1" applyBorder="1" applyAlignment="1">
      <alignment horizontal="distributed"/>
    </xf>
    <xf numFmtId="0" fontId="34" fillId="0" borderId="32" xfId="0" applyFont="1" applyFill="1" applyBorder="1" applyAlignment="1">
      <alignment horizontal="center"/>
    </xf>
    <xf numFmtId="3" fontId="35" fillId="0" borderId="29" xfId="37" applyNumberFormat="1" applyFont="1" applyFill="1" applyBorder="1" applyAlignment="1">
      <alignment horizontal="distributed"/>
    </xf>
    <xf numFmtId="0" fontId="32" fillId="0" borderId="0" xfId="37" applyFont="1" applyFill="1"/>
    <xf numFmtId="3" fontId="35" fillId="0" borderId="41" xfId="37" applyNumberFormat="1" applyFont="1" applyFill="1" applyBorder="1" applyAlignment="1">
      <alignment horizontal="distributed"/>
    </xf>
    <xf numFmtId="0" fontId="34" fillId="26" borderId="33" xfId="0" applyFont="1" applyFill="1" applyBorder="1" applyAlignment="1">
      <alignment horizontal="center"/>
    </xf>
    <xf numFmtId="0" fontId="34" fillId="26" borderId="32" xfId="0" applyFont="1" applyFill="1" applyBorder="1" applyAlignment="1">
      <alignment horizontal="center"/>
    </xf>
    <xf numFmtId="3" fontId="35" fillId="0" borderId="27" xfId="37" applyNumberFormat="1" applyFont="1" applyFill="1" applyBorder="1" applyAlignment="1">
      <alignment horizontal="distributed"/>
    </xf>
    <xf numFmtId="0" fontId="35" fillId="0" borderId="0" xfId="37" applyFont="1" applyFill="1" applyBorder="1" applyAlignment="1">
      <alignment horizontal="center" vertical="center" wrapText="1"/>
    </xf>
    <xf numFmtId="0" fontId="40" fillId="0" borderId="0" xfId="37" applyFont="1" applyBorder="1" applyAlignment="1">
      <alignment horizontal="center" vertical="center" wrapText="1"/>
    </xf>
    <xf numFmtId="3" fontId="38" fillId="24" borderId="29" xfId="37" applyNumberFormat="1" applyFont="1" applyFill="1" applyBorder="1" applyAlignment="1">
      <alignment horizontal="distributed"/>
    </xf>
    <xf numFmtId="0" fontId="41" fillId="0" borderId="0" xfId="37" applyFont="1" applyFill="1" applyBorder="1" applyAlignment="1">
      <alignment horizontal="center" vertical="center" wrapText="1"/>
    </xf>
    <xf numFmtId="0" fontId="38" fillId="21" borderId="12" xfId="37" applyFont="1" applyFill="1" applyBorder="1" applyAlignment="1">
      <alignment horizontal="center" vertical="center" wrapText="1"/>
    </xf>
    <xf numFmtId="164" fontId="34" fillId="0" borderId="13" xfId="47" applyFont="1" applyFill="1" applyBorder="1" applyAlignment="1" applyProtection="1">
      <alignment horizontal="left"/>
      <protection locked="0"/>
    </xf>
    <xf numFmtId="0" fontId="32" fillId="0" borderId="11" xfId="0" applyFont="1" applyFill="1" applyBorder="1" applyAlignment="1" applyProtection="1">
      <alignment horizontal="center" wrapText="1"/>
      <protection locked="0"/>
    </xf>
    <xf numFmtId="0" fontId="32" fillId="0" borderId="0" xfId="37" applyFont="1" applyFill="1" applyBorder="1" applyProtection="1">
      <protection locked="0"/>
    </xf>
    <xf numFmtId="165" fontId="34" fillId="0" borderId="11" xfId="37" applyNumberFormat="1" applyFont="1" applyFill="1" applyBorder="1" applyAlignment="1" applyProtection="1">
      <alignment horizontal="distributed"/>
      <protection locked="0"/>
    </xf>
    <xf numFmtId="0" fontId="32" fillId="0" borderId="11" xfId="37" applyFont="1" applyFill="1" applyBorder="1" applyAlignment="1" applyProtection="1">
      <alignment horizontal="center"/>
      <protection locked="0"/>
    </xf>
    <xf numFmtId="0" fontId="32" fillId="0" borderId="0" xfId="37" applyFont="1" applyFill="1" applyBorder="1" applyAlignment="1" applyProtection="1">
      <alignment horizontal="center" vertical="center"/>
      <protection locked="0"/>
    </xf>
    <xf numFmtId="0" fontId="32" fillId="0" borderId="0" xfId="37" applyFont="1" applyFill="1" applyProtection="1">
      <protection locked="0"/>
    </xf>
    <xf numFmtId="164" fontId="32" fillId="0" borderId="0" xfId="37" applyNumberFormat="1" applyFont="1"/>
    <xf numFmtId="0" fontId="32" fillId="0" borderId="11" xfId="0" applyFont="1" applyFill="1" applyBorder="1" applyAlignment="1" applyProtection="1">
      <alignment horizontal="center"/>
      <protection locked="0"/>
    </xf>
    <xf numFmtId="0" fontId="32" fillId="0" borderId="0" xfId="37" applyFont="1" applyFill="1" applyBorder="1" applyAlignment="1">
      <alignment horizontal="center"/>
    </xf>
    <xf numFmtId="0" fontId="34" fillId="0" borderId="0" xfId="37" applyFont="1" applyFill="1" applyBorder="1" applyAlignment="1">
      <alignment horizontal="center"/>
    </xf>
    <xf numFmtId="0" fontId="32" fillId="0" borderId="0" xfId="37" applyFont="1" applyFill="1" applyBorder="1" applyAlignment="1" applyProtection="1">
      <alignment horizontal="distributed"/>
      <protection locked="0"/>
    </xf>
    <xf numFmtId="0" fontId="32" fillId="0" borderId="0" xfId="37" applyFont="1" applyFill="1" applyBorder="1"/>
    <xf numFmtId="0" fontId="32" fillId="0" borderId="0" xfId="0" applyFont="1" applyFill="1" applyBorder="1" applyAlignment="1" applyProtection="1">
      <alignment horizontal="center"/>
      <protection locked="0"/>
    </xf>
    <xf numFmtId="0" fontId="32" fillId="0" borderId="0" xfId="37" applyFont="1" applyFill="1" applyBorder="1" applyAlignment="1" applyProtection="1">
      <alignment horizontal="center"/>
      <protection locked="0"/>
    </xf>
    <xf numFmtId="165" fontId="34" fillId="0" borderId="0" xfId="37" applyNumberFormat="1" applyFont="1" applyFill="1" applyBorder="1" applyAlignment="1" applyProtection="1">
      <alignment horizontal="distributed"/>
      <protection locked="0"/>
    </xf>
    <xf numFmtId="0" fontId="34" fillId="0" borderId="0" xfId="37" quotePrefix="1" applyFont="1" applyFill="1" applyBorder="1" applyAlignment="1">
      <alignment horizontal="center"/>
    </xf>
    <xf numFmtId="0" fontId="32" fillId="0" borderId="0" xfId="37" applyFont="1" applyFill="1" applyAlignment="1" applyProtection="1">
      <alignment horizontal="center"/>
      <protection locked="0"/>
    </xf>
    <xf numFmtId="0" fontId="32" fillId="0" borderId="10" xfId="0" applyFont="1" applyFill="1" applyBorder="1" applyAlignment="1" applyProtection="1">
      <alignment horizontal="center" wrapText="1"/>
      <protection locked="0"/>
    </xf>
    <xf numFmtId="165" fontId="34" fillId="0" borderId="10" xfId="37" applyNumberFormat="1" applyFont="1" applyFill="1" applyBorder="1" applyAlignment="1" applyProtection="1">
      <alignment horizontal="distributed"/>
      <protection locked="0"/>
    </xf>
    <xf numFmtId="0" fontId="32" fillId="0" borderId="10" xfId="37" applyFont="1" applyFill="1" applyBorder="1" applyAlignment="1" applyProtection="1">
      <alignment horizontal="center"/>
      <protection locked="0"/>
    </xf>
    <xf numFmtId="0" fontId="32" fillId="0" borderId="11" xfId="37" applyFont="1" applyFill="1" applyBorder="1" applyAlignment="1" applyProtection="1">
      <alignment horizontal="center" vertical="center"/>
      <protection locked="0"/>
    </xf>
    <xf numFmtId="0" fontId="32" fillId="0" borderId="0" xfId="37" applyFont="1" applyFill="1" applyBorder="1" applyAlignment="1">
      <alignment horizontal="distributed"/>
    </xf>
    <xf numFmtId="0" fontId="32" fillId="0" borderId="0" xfId="37" applyNumberFormat="1" applyFont="1" applyFill="1" applyBorder="1" applyAlignment="1">
      <alignment horizontal="center" vertical="center"/>
    </xf>
    <xf numFmtId="0" fontId="34" fillId="0" borderId="0" xfId="37" applyFont="1" applyFill="1" applyBorder="1" applyAlignment="1">
      <alignment horizontal="center" vertical="center"/>
    </xf>
    <xf numFmtId="0" fontId="42" fillId="23" borderId="0" xfId="37" quotePrefix="1" applyFont="1" applyFill="1" applyBorder="1" applyAlignment="1">
      <alignment horizontal="center"/>
    </xf>
    <xf numFmtId="0" fontId="40" fillId="22" borderId="0" xfId="37" applyFont="1" applyFill="1" applyBorder="1" applyAlignment="1">
      <alignment horizontal="center"/>
    </xf>
    <xf numFmtId="0" fontId="39" fillId="19" borderId="16" xfId="0" applyFont="1" applyFill="1" applyBorder="1" applyAlignment="1">
      <alignment horizontal="left"/>
    </xf>
    <xf numFmtId="0" fontId="32" fillId="19" borderId="0" xfId="37" applyFont="1" applyFill="1" applyBorder="1"/>
    <xf numFmtId="0" fontId="39" fillId="19" borderId="17" xfId="0" applyFont="1" applyFill="1" applyBorder="1" applyAlignment="1">
      <alignment horizontal="left"/>
    </xf>
    <xf numFmtId="0" fontId="32" fillId="19" borderId="18" xfId="37" applyFont="1" applyFill="1" applyBorder="1"/>
    <xf numFmtId="0" fontId="40" fillId="20" borderId="0" xfId="37" applyFont="1" applyFill="1" applyBorder="1" applyAlignment="1">
      <alignment horizontal="center"/>
    </xf>
    <xf numFmtId="0" fontId="39" fillId="19" borderId="0" xfId="0" applyFont="1" applyFill="1" applyBorder="1" applyAlignment="1">
      <alignment horizontal="left" vertical="top" wrapText="1"/>
    </xf>
    <xf numFmtId="0" fontId="32" fillId="0" borderId="0" xfId="37" applyFont="1" applyAlignment="1">
      <alignment horizontal="distributed"/>
    </xf>
    <xf numFmtId="0" fontId="32" fillId="0" borderId="0" xfId="0" applyFont="1" applyBorder="1" applyAlignment="1">
      <alignment horizontal="center"/>
    </xf>
    <xf numFmtId="0" fontId="34" fillId="0" borderId="0" xfId="37" applyFont="1" applyFill="1" applyBorder="1" applyAlignment="1">
      <alignment horizontal="center" vertical="center" wrapText="1"/>
    </xf>
    <xf numFmtId="164" fontId="34" fillId="0" borderId="0" xfId="47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 applyProtection="1">
      <alignment horizontal="center" wrapText="1"/>
      <protection locked="0"/>
    </xf>
    <xf numFmtId="0" fontId="35" fillId="0" borderId="0" xfId="37" applyFont="1" applyBorder="1" applyAlignment="1">
      <alignment horizontal="center" vertical="center"/>
    </xf>
    <xf numFmtId="0" fontId="34" fillId="0" borderId="0" xfId="37" applyFont="1" applyBorder="1" applyAlignment="1">
      <alignment horizontal="center" vertical="center"/>
    </xf>
    <xf numFmtId="164" fontId="34" fillId="0" borderId="0" xfId="47" applyFont="1" applyFill="1" applyBorder="1" applyAlignment="1" applyProtection="1">
      <alignment horizontal="right"/>
      <protection locked="0"/>
    </xf>
    <xf numFmtId="0" fontId="0" fillId="0" borderId="33" xfId="0" applyBorder="1"/>
    <xf numFmtId="0" fontId="0" fillId="0" borderId="34" xfId="0" applyBorder="1"/>
    <xf numFmtId="0" fontId="37" fillId="0" borderId="20" xfId="37" applyFont="1" applyFill="1" applyBorder="1" applyAlignment="1">
      <alignment horizontal="center" vertical="center" wrapText="1"/>
    </xf>
    <xf numFmtId="0" fontId="37" fillId="18" borderId="44" xfId="37" applyFont="1" applyFill="1" applyBorder="1" applyAlignment="1">
      <alignment horizontal="center" vertical="center" wrapText="1"/>
    </xf>
    <xf numFmtId="0" fontId="37" fillId="18" borderId="45" xfId="37" quotePrefix="1" applyFont="1" applyFill="1" applyBorder="1" applyAlignment="1">
      <alignment horizontal="center" vertical="center" wrapText="1"/>
    </xf>
    <xf numFmtId="0" fontId="37" fillId="18" borderId="46" xfId="37" applyFont="1" applyFill="1" applyBorder="1" applyAlignment="1">
      <alignment horizontal="center" vertical="center" wrapText="1"/>
    </xf>
    <xf numFmtId="0" fontId="34" fillId="0" borderId="0" xfId="37" quotePrefix="1" applyFont="1" applyFill="1" applyBorder="1" applyAlignment="1">
      <alignment horizontal="center" vertical="center" wrapText="1"/>
    </xf>
    <xf numFmtId="0" fontId="37" fillId="0" borderId="0" xfId="37" applyFont="1" applyFill="1" applyBorder="1" applyAlignment="1">
      <alignment horizontal="center" vertical="center" wrapText="1"/>
    </xf>
    <xf numFmtId="164" fontId="34" fillId="0" borderId="23" xfId="47" applyFont="1" applyFill="1" applyBorder="1" applyAlignment="1" applyProtection="1">
      <alignment horizontal="left"/>
      <protection locked="0"/>
    </xf>
    <xf numFmtId="0" fontId="35" fillId="0" borderId="0" xfId="37" quotePrefix="1" applyFont="1" applyBorder="1" applyAlignment="1">
      <alignment horizontal="center" vertical="center"/>
    </xf>
    <xf numFmtId="164" fontId="34" fillId="0" borderId="22" xfId="47" applyFont="1" applyFill="1" applyBorder="1" applyAlignment="1" applyProtection="1">
      <alignment horizontal="left"/>
      <protection locked="0"/>
    </xf>
    <xf numFmtId="164" fontId="34" fillId="0" borderId="14" xfId="47" applyFont="1" applyFill="1" applyBorder="1" applyAlignment="1" applyProtection="1">
      <alignment horizontal="right"/>
      <protection locked="0"/>
    </xf>
    <xf numFmtId="0" fontId="34" fillId="0" borderId="0" xfId="37" quotePrefix="1" applyFont="1" applyBorder="1" applyAlignment="1">
      <alignment horizontal="center" vertical="center"/>
    </xf>
    <xf numFmtId="0" fontId="41" fillId="0" borderId="25" xfId="37" applyFont="1" applyFill="1" applyBorder="1" applyAlignment="1">
      <alignment vertical="center" wrapText="1"/>
    </xf>
    <xf numFmtId="0" fontId="41" fillId="0" borderId="26" xfId="37" applyFont="1" applyFill="1" applyBorder="1" applyAlignment="1">
      <alignment vertical="center" wrapText="1"/>
    </xf>
    <xf numFmtId="0" fontId="41" fillId="0" borderId="24" xfId="37" applyFont="1" applyFill="1" applyBorder="1" applyAlignment="1">
      <alignment vertical="center" wrapText="1"/>
    </xf>
    <xf numFmtId="0" fontId="34" fillId="0" borderId="27" xfId="37" quotePrefix="1" applyFont="1" applyFill="1" applyBorder="1" applyAlignment="1">
      <alignment horizontal="center" vertical="center" wrapText="1"/>
    </xf>
    <xf numFmtId="0" fontId="34" fillId="0" borderId="32" xfId="37" quotePrefix="1" applyFont="1" applyFill="1" applyBorder="1" applyAlignment="1">
      <alignment horizontal="center" vertical="center" wrapText="1"/>
    </xf>
    <xf numFmtId="0" fontId="34" fillId="0" borderId="33" xfId="37" quotePrefix="1" applyFont="1" applyFill="1" applyBorder="1" applyAlignment="1">
      <alignment horizontal="center" vertical="center" wrapText="1"/>
    </xf>
    <xf numFmtId="0" fontId="34" fillId="0" borderId="34" xfId="37" quotePrefix="1" applyFont="1" applyFill="1" applyBorder="1" applyAlignment="1">
      <alignment horizontal="center" vertical="center" wrapText="1"/>
    </xf>
    <xf numFmtId="0" fontId="34" fillId="25" borderId="0" xfId="37" applyFont="1" applyFill="1" applyAlignment="1">
      <alignment vertical="center" wrapText="1"/>
    </xf>
    <xf numFmtId="0" fontId="34" fillId="0" borderId="0" xfId="37" applyFont="1" applyFill="1" applyAlignment="1">
      <alignment vertical="center" wrapText="1"/>
    </xf>
    <xf numFmtId="0" fontId="35" fillId="0" borderId="0" xfId="37" quotePrefix="1" applyFont="1" applyFill="1" applyBorder="1" applyAlignment="1">
      <alignment horizontal="center" vertical="center"/>
    </xf>
    <xf numFmtId="0" fontId="35" fillId="0" borderId="0" xfId="37" applyFont="1" applyFill="1" applyBorder="1" applyAlignment="1">
      <alignment horizontal="center" vertical="center"/>
    </xf>
    <xf numFmtId="0" fontId="34" fillId="0" borderId="0" xfId="37" quotePrefix="1" applyFont="1" applyFill="1" applyBorder="1" applyAlignment="1">
      <alignment horizontal="center" vertical="center"/>
    </xf>
    <xf numFmtId="0" fontId="34" fillId="0" borderId="0" xfId="37" applyFont="1" applyFill="1"/>
    <xf numFmtId="0" fontId="37" fillId="18" borderId="43" xfId="37" applyFont="1" applyFill="1" applyBorder="1" applyAlignment="1">
      <alignment horizontal="center" vertical="center" wrapText="1"/>
    </xf>
    <xf numFmtId="0" fontId="38" fillId="0" borderId="44" xfId="37" applyFont="1" applyFill="1" applyBorder="1" applyAlignment="1">
      <alignment horizontal="center" vertical="center" wrapText="1"/>
    </xf>
    <xf numFmtId="0" fontId="38" fillId="0" borderId="46" xfId="37" applyNumberFormat="1" applyFont="1" applyFill="1" applyBorder="1" applyAlignment="1">
      <alignment horizontal="center" vertical="center" wrapText="1"/>
    </xf>
    <xf numFmtId="0" fontId="35" fillId="0" borderId="29" xfId="37" quotePrefix="1" applyFont="1" applyFill="1" applyBorder="1" applyAlignment="1">
      <alignment horizontal="center" vertical="center" wrapText="1"/>
    </xf>
    <xf numFmtId="0" fontId="0" fillId="25" borderId="29" xfId="0" applyFill="1" applyBorder="1"/>
    <xf numFmtId="0" fontId="0" fillId="25" borderId="33" xfId="0" applyFill="1" applyBorder="1"/>
    <xf numFmtId="0" fontId="34" fillId="24" borderId="27" xfId="37" quotePrefix="1" applyFont="1" applyFill="1" applyBorder="1" applyAlignment="1">
      <alignment horizontal="center" vertical="center" wrapText="1"/>
    </xf>
    <xf numFmtId="0" fontId="34" fillId="24" borderId="32" xfId="37" quotePrefix="1" applyFont="1" applyFill="1" applyBorder="1" applyAlignment="1">
      <alignment horizontal="center" vertical="center" wrapText="1"/>
    </xf>
    <xf numFmtId="0" fontId="34" fillId="24" borderId="29" xfId="37" quotePrefix="1" applyFont="1" applyFill="1" applyBorder="1" applyAlignment="1">
      <alignment horizontal="center" vertical="center" wrapText="1"/>
    </xf>
    <xf numFmtId="0" fontId="34" fillId="24" borderId="33" xfId="37" quotePrefix="1" applyFont="1" applyFill="1" applyBorder="1" applyAlignment="1">
      <alignment horizontal="center" vertical="center" wrapText="1"/>
    </xf>
    <xf numFmtId="0" fontId="34" fillId="24" borderId="30" xfId="37" quotePrefix="1" applyFont="1" applyFill="1" applyBorder="1" applyAlignment="1">
      <alignment horizontal="center" vertical="center" wrapText="1"/>
    </xf>
    <xf numFmtId="0" fontId="34" fillId="24" borderId="34" xfId="37" quotePrefix="1" applyFont="1" applyFill="1" applyBorder="1" applyAlignment="1">
      <alignment horizontal="center" vertical="center" wrapText="1"/>
    </xf>
    <xf numFmtId="3" fontId="35" fillId="0" borderId="27" xfId="37" quotePrefix="1" applyNumberFormat="1" applyFont="1" applyFill="1" applyBorder="1" applyAlignment="1">
      <alignment horizontal="center" vertical="center" wrapText="1"/>
    </xf>
    <xf numFmtId="3" fontId="34" fillId="0" borderId="29" xfId="37" quotePrefix="1" applyNumberFormat="1" applyFont="1" applyFill="1" applyBorder="1" applyAlignment="1">
      <alignment horizontal="center" vertical="center" wrapText="1"/>
    </xf>
    <xf numFmtId="3" fontId="35" fillId="0" borderId="29" xfId="37" quotePrefix="1" applyNumberFormat="1" applyFont="1" applyFill="1" applyBorder="1" applyAlignment="1">
      <alignment horizontal="center" vertical="center" wrapText="1"/>
    </xf>
    <xf numFmtId="3" fontId="34" fillId="0" borderId="30" xfId="37" quotePrefix="1" applyNumberFormat="1" applyFont="1" applyFill="1" applyBorder="1" applyAlignment="1">
      <alignment horizontal="center" vertical="center" wrapText="1"/>
    </xf>
    <xf numFmtId="3" fontId="34" fillId="0" borderId="27" xfId="37" quotePrefix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8" fillId="0" borderId="29" xfId="37" quotePrefix="1" applyFont="1" applyFill="1" applyBorder="1" applyAlignment="1">
      <alignment horizontal="center" vertical="center" wrapText="1"/>
    </xf>
    <xf numFmtId="0" fontId="34" fillId="0" borderId="47" xfId="37" quotePrefix="1" applyFont="1" applyFill="1" applyBorder="1" applyAlignment="1">
      <alignment horizontal="center" vertical="center" wrapText="1"/>
    </xf>
    <xf numFmtId="0" fontId="34" fillId="0" borderId="25" xfId="37" quotePrefix="1" applyFont="1" applyFill="1" applyBorder="1" applyAlignment="1">
      <alignment horizontal="center" vertical="center" wrapText="1"/>
    </xf>
    <xf numFmtId="0" fontId="34" fillId="24" borderId="33" xfId="0" applyFont="1" applyFill="1" applyBorder="1" applyAlignment="1">
      <alignment horizontal="center"/>
    </xf>
    <xf numFmtId="3" fontId="38" fillId="24" borderId="30" xfId="37" applyNumberFormat="1" applyFont="1" applyFill="1" applyBorder="1" applyAlignment="1">
      <alignment horizontal="distributed"/>
    </xf>
    <xf numFmtId="9" fontId="32" fillId="25" borderId="48" xfId="48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9" fontId="32" fillId="25" borderId="49" xfId="48" applyFont="1" applyFill="1" applyBorder="1" applyAlignment="1">
      <alignment horizontal="center"/>
    </xf>
    <xf numFmtId="9" fontId="32" fillId="25" borderId="50" xfId="48" applyFont="1" applyFill="1" applyBorder="1" applyAlignment="1">
      <alignment horizontal="center"/>
    </xf>
    <xf numFmtId="166" fontId="32" fillId="25" borderId="48" xfId="48" applyNumberFormat="1" applyFont="1" applyFill="1" applyBorder="1" applyAlignment="1">
      <alignment horizontal="center"/>
    </xf>
    <xf numFmtId="166" fontId="32" fillId="0" borderId="49" xfId="48" applyNumberFormat="1" applyFont="1" applyBorder="1" applyAlignment="1">
      <alignment horizontal="center"/>
    </xf>
    <xf numFmtId="166" fontId="32" fillId="25" borderId="49" xfId="48" applyNumberFormat="1" applyFont="1" applyFill="1" applyBorder="1" applyAlignment="1">
      <alignment horizontal="center"/>
    </xf>
    <xf numFmtId="166" fontId="32" fillId="25" borderId="50" xfId="48" applyNumberFormat="1" applyFont="1" applyFill="1" applyBorder="1" applyAlignment="1">
      <alignment horizontal="center"/>
    </xf>
    <xf numFmtId="0" fontId="32" fillId="0" borderId="49" xfId="37" applyNumberFormat="1" applyFont="1" applyBorder="1" applyAlignment="1">
      <alignment horizontal="center"/>
    </xf>
    <xf numFmtId="166" fontId="32" fillId="24" borderId="49" xfId="48" applyNumberFormat="1" applyFont="1" applyFill="1" applyBorder="1" applyAlignment="1">
      <alignment horizontal="center"/>
    </xf>
    <xf numFmtId="166" fontId="32" fillId="26" borderId="49" xfId="48" applyNumberFormat="1" applyFont="1" applyFill="1" applyBorder="1" applyAlignment="1">
      <alignment horizontal="center"/>
    </xf>
    <xf numFmtId="166" fontId="32" fillId="24" borderId="50" xfId="48" applyNumberFormat="1" applyFont="1" applyFill="1" applyBorder="1" applyAlignment="1">
      <alignment horizontal="center"/>
    </xf>
    <xf numFmtId="166" fontId="34" fillId="0" borderId="49" xfId="48" quotePrefix="1" applyNumberFormat="1" applyFont="1" applyFill="1" applyBorder="1" applyAlignment="1">
      <alignment horizontal="center" vertical="center" wrapText="1"/>
    </xf>
    <xf numFmtId="0" fontId="34" fillId="0" borderId="49" xfId="37" quotePrefix="1" applyFont="1" applyFill="1" applyBorder="1" applyAlignment="1">
      <alignment horizontal="center" vertical="center" wrapText="1"/>
    </xf>
    <xf numFmtId="166" fontId="34" fillId="25" borderId="48" xfId="48" quotePrefix="1" applyNumberFormat="1" applyFont="1" applyFill="1" applyBorder="1" applyAlignment="1">
      <alignment horizontal="center" vertical="center" wrapText="1"/>
    </xf>
    <xf numFmtId="166" fontId="34" fillId="25" borderId="49" xfId="48" quotePrefix="1" applyNumberFormat="1" applyFont="1" applyFill="1" applyBorder="1" applyAlignment="1">
      <alignment horizontal="center" vertical="center" wrapText="1"/>
    </xf>
    <xf numFmtId="166" fontId="34" fillId="25" borderId="50" xfId="48" quotePrefix="1" applyNumberFormat="1" applyFont="1" applyFill="1" applyBorder="1" applyAlignment="1">
      <alignment horizontal="center" vertical="center" wrapText="1"/>
    </xf>
    <xf numFmtId="9" fontId="34" fillId="26" borderId="49" xfId="37" quotePrefix="1" applyNumberFormat="1" applyFont="1" applyFill="1" applyBorder="1" applyAlignment="1">
      <alignment horizontal="center" vertical="center" wrapText="1"/>
    </xf>
    <xf numFmtId="166" fontId="34" fillId="24" borderId="49" xfId="48" quotePrefix="1" applyNumberFormat="1" applyFont="1" applyFill="1" applyBorder="1" applyAlignment="1">
      <alignment horizontal="center" vertical="center" wrapText="1"/>
    </xf>
    <xf numFmtId="0" fontId="34" fillId="0" borderId="49" xfId="37" applyFont="1" applyFill="1" applyBorder="1" applyAlignment="1">
      <alignment horizontal="center" vertical="center" wrapText="1"/>
    </xf>
    <xf numFmtId="9" fontId="34" fillId="26" borderId="49" xfId="37" applyNumberFormat="1" applyFont="1" applyFill="1" applyBorder="1" applyAlignment="1">
      <alignment horizontal="center" vertical="center" wrapText="1"/>
    </xf>
    <xf numFmtId="0" fontId="34" fillId="0" borderId="49" xfId="37" applyFont="1" applyFill="1" applyBorder="1" applyAlignment="1">
      <alignment horizontal="center" vertical="center"/>
    </xf>
    <xf numFmtId="166" fontId="34" fillId="26" borderId="49" xfId="48" quotePrefix="1" applyNumberFormat="1" applyFont="1" applyFill="1" applyBorder="1" applyAlignment="1">
      <alignment horizontal="center" vertical="center" wrapText="1"/>
    </xf>
    <xf numFmtId="166" fontId="34" fillId="26" borderId="48" xfId="48" quotePrefix="1" applyNumberFormat="1" applyFont="1" applyFill="1" applyBorder="1" applyAlignment="1">
      <alignment horizontal="center" vertical="center" wrapText="1"/>
    </xf>
    <xf numFmtId="166" fontId="34" fillId="26" borderId="50" xfId="48" quotePrefix="1" applyNumberFormat="1" applyFont="1" applyFill="1" applyBorder="1" applyAlignment="1">
      <alignment horizontal="center" vertical="center" wrapText="1"/>
    </xf>
    <xf numFmtId="166" fontId="38" fillId="0" borderId="49" xfId="48" quotePrefix="1" applyNumberFormat="1" applyFont="1" applyBorder="1" applyAlignment="1">
      <alignment horizontal="center" vertical="center"/>
    </xf>
    <xf numFmtId="0" fontId="34" fillId="0" borderId="49" xfId="37" applyFont="1" applyBorder="1" applyAlignment="1">
      <alignment horizontal="center" vertical="center"/>
    </xf>
    <xf numFmtId="166" fontId="38" fillId="24" borderId="49" xfId="48" quotePrefix="1" applyNumberFormat="1" applyFont="1" applyFill="1" applyBorder="1" applyAlignment="1">
      <alignment horizontal="center" vertical="center"/>
    </xf>
    <xf numFmtId="166" fontId="38" fillId="24" borderId="48" xfId="48" quotePrefix="1" applyNumberFormat="1" applyFont="1" applyFill="1" applyBorder="1" applyAlignment="1">
      <alignment horizontal="center" vertical="center"/>
    </xf>
    <xf numFmtId="166" fontId="38" fillId="26" borderId="49" xfId="48" quotePrefix="1" applyNumberFormat="1" applyFont="1" applyFill="1" applyBorder="1" applyAlignment="1">
      <alignment horizontal="center" vertical="center"/>
    </xf>
    <xf numFmtId="166" fontId="38" fillId="25" borderId="49" xfId="48" quotePrefix="1" applyNumberFormat="1" applyFont="1" applyFill="1" applyBorder="1" applyAlignment="1">
      <alignment horizontal="center" vertical="center"/>
    </xf>
    <xf numFmtId="0" fontId="35" fillId="0" borderId="49" xfId="37" applyFont="1" applyBorder="1" applyAlignment="1">
      <alignment horizontal="center" vertical="center"/>
    </xf>
    <xf numFmtId="0" fontId="32" fillId="0" borderId="49" xfId="37" applyFont="1" applyBorder="1"/>
    <xf numFmtId="0" fontId="32" fillId="0" borderId="49" xfId="37" applyFont="1" applyBorder="1" applyAlignment="1">
      <alignment horizontal="center"/>
    </xf>
    <xf numFmtId="0" fontId="39" fillId="0" borderId="49" xfId="37" applyFont="1" applyBorder="1" applyAlignment="1">
      <alignment horizontal="center"/>
    </xf>
    <xf numFmtId="166" fontId="32" fillId="24" borderId="48" xfId="48" applyNumberFormat="1" applyFont="1" applyFill="1" applyBorder="1" applyAlignment="1">
      <alignment horizontal="center"/>
    </xf>
    <xf numFmtId="9" fontId="32" fillId="25" borderId="49" xfId="37" applyNumberFormat="1" applyFont="1" applyFill="1" applyBorder="1" applyAlignment="1">
      <alignment horizontal="center"/>
    </xf>
    <xf numFmtId="0" fontId="44" fillId="25" borderId="43" xfId="0" applyFont="1" applyFill="1" applyBorder="1" applyAlignment="1">
      <alignment vertical="center" wrapText="1"/>
    </xf>
    <xf numFmtId="0" fontId="3" fillId="0" borderId="32" xfId="0" applyFont="1" applyBorder="1"/>
    <xf numFmtId="0" fontId="38" fillId="0" borderId="51" xfId="37" applyNumberFormat="1" applyFont="1" applyFill="1" applyBorder="1" applyAlignment="1">
      <alignment horizontal="center" vertical="center" wrapText="1"/>
    </xf>
    <xf numFmtId="0" fontId="34" fillId="0" borderId="13" xfId="0" applyFont="1" applyFill="1" applyBorder="1" applyAlignment="1">
      <alignment horizontal="center"/>
    </xf>
    <xf numFmtId="0" fontId="34" fillId="0" borderId="52" xfId="0" applyFont="1" applyFill="1" applyBorder="1" applyAlignment="1">
      <alignment horizontal="center"/>
    </xf>
    <xf numFmtId="9" fontId="39" fillId="25" borderId="49" xfId="37" applyNumberFormat="1" applyFont="1" applyFill="1" applyBorder="1" applyAlignment="1">
      <alignment horizontal="center"/>
    </xf>
    <xf numFmtId="166" fontId="39" fillId="25" borderId="50" xfId="48" applyNumberFormat="1" applyFont="1" applyFill="1" applyBorder="1" applyAlignment="1">
      <alignment horizontal="center"/>
    </xf>
    <xf numFmtId="0" fontId="38" fillId="0" borderId="54" xfId="37" applyNumberFormat="1" applyFont="1" applyFill="1" applyBorder="1" applyAlignment="1">
      <alignment horizontal="center" vertical="center" wrapText="1"/>
    </xf>
    <xf numFmtId="0" fontId="34" fillId="0" borderId="55" xfId="0" applyFont="1" applyFill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8" fillId="0" borderId="28" xfId="37" applyNumberFormat="1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/>
    </xf>
    <xf numFmtId="0" fontId="34" fillId="0" borderId="31" xfId="0" applyFont="1" applyFill="1" applyBorder="1" applyAlignment="1">
      <alignment horizontal="center"/>
    </xf>
    <xf numFmtId="9" fontId="39" fillId="25" borderId="48" xfId="37" applyNumberFormat="1" applyFont="1" applyFill="1" applyBorder="1" applyAlignment="1">
      <alignment horizontal="center"/>
    </xf>
    <xf numFmtId="0" fontId="37" fillId="18" borderId="27" xfId="37" applyFont="1" applyFill="1" applyBorder="1" applyAlignment="1">
      <alignment horizontal="center" vertical="center" wrapText="1"/>
    </xf>
    <xf numFmtId="0" fontId="38" fillId="0" borderId="28" xfId="37" applyFont="1" applyFill="1" applyBorder="1" applyAlignment="1">
      <alignment horizontal="center" vertical="center" wrapText="1"/>
    </xf>
    <xf numFmtId="3" fontId="38" fillId="0" borderId="11" xfId="37" applyNumberFormat="1" applyFont="1" applyFill="1" applyBorder="1" applyAlignment="1">
      <alignment horizontal="distributed"/>
    </xf>
    <xf numFmtId="3" fontId="38" fillId="0" borderId="31" xfId="37" applyNumberFormat="1" applyFont="1" applyFill="1" applyBorder="1" applyAlignment="1" applyProtection="1">
      <alignment horizontal="distributed"/>
      <protection locked="0"/>
    </xf>
    <xf numFmtId="3" fontId="38" fillId="0" borderId="31" xfId="37" applyNumberFormat="1" applyFont="1" applyFill="1" applyBorder="1" applyAlignment="1">
      <alignment horizontal="distributed"/>
    </xf>
    <xf numFmtId="9" fontId="32" fillId="25" borderId="48" xfId="37" applyNumberFormat="1" applyFont="1" applyFill="1" applyBorder="1" applyAlignment="1">
      <alignment horizontal="center"/>
    </xf>
    <xf numFmtId="0" fontId="34" fillId="0" borderId="11" xfId="37" quotePrefix="1" applyFont="1" applyFill="1" applyBorder="1" applyAlignment="1">
      <alignment horizontal="center" vertical="center" wrapText="1"/>
    </xf>
    <xf numFmtId="0" fontId="34" fillId="0" borderId="31" xfId="37" quotePrefix="1" applyFont="1" applyFill="1" applyBorder="1" applyAlignment="1">
      <alignment horizontal="center" vertical="center" wrapText="1"/>
    </xf>
    <xf numFmtId="0" fontId="34" fillId="24" borderId="13" xfId="37" quotePrefix="1" applyFont="1" applyFill="1" applyBorder="1" applyAlignment="1">
      <alignment horizontal="center" vertical="center" wrapText="1"/>
    </xf>
    <xf numFmtId="0" fontId="34" fillId="24" borderId="52" xfId="37" quotePrefix="1" applyFont="1" applyFill="1" applyBorder="1" applyAlignment="1">
      <alignment horizontal="center" vertical="center" wrapText="1"/>
    </xf>
    <xf numFmtId="0" fontId="34" fillId="26" borderId="0" xfId="37" quotePrefix="1" applyFont="1" applyFill="1" applyBorder="1" applyAlignment="1">
      <alignment horizontal="center" vertical="center" wrapText="1"/>
    </xf>
    <xf numFmtId="0" fontId="34" fillId="26" borderId="0" xfId="37" applyFont="1" applyFill="1" applyBorder="1" applyAlignment="1">
      <alignment horizontal="center" vertical="center" wrapText="1"/>
    </xf>
    <xf numFmtId="0" fontId="34" fillId="26" borderId="0" xfId="37" applyFont="1" applyFill="1" applyBorder="1" applyAlignment="1">
      <alignment horizontal="center"/>
    </xf>
    <xf numFmtId="166" fontId="38" fillId="25" borderId="48" xfId="48" quotePrefix="1" applyNumberFormat="1" applyFont="1" applyFill="1" applyBorder="1" applyAlignment="1">
      <alignment horizontal="center" vertical="center"/>
    </xf>
    <xf numFmtId="166" fontId="38" fillId="25" borderId="50" xfId="48" quotePrefix="1" applyNumberFormat="1" applyFont="1" applyFill="1" applyBorder="1" applyAlignment="1">
      <alignment horizontal="center" vertical="center"/>
    </xf>
    <xf numFmtId="166" fontId="34" fillId="24" borderId="50" xfId="48" quotePrefix="1" applyNumberFormat="1" applyFont="1" applyFill="1" applyBorder="1" applyAlignment="1">
      <alignment horizontal="center" vertical="center" wrapText="1"/>
    </xf>
    <xf numFmtId="0" fontId="33" fillId="0" borderId="47" xfId="37" applyFont="1" applyBorder="1" applyAlignment="1">
      <alignment vertical="center" wrapText="1"/>
    </xf>
    <xf numFmtId="0" fontId="33" fillId="0" borderId="47" xfId="37" applyFont="1" applyBorder="1" applyAlignment="1">
      <alignment vertical="center"/>
    </xf>
    <xf numFmtId="164" fontId="34" fillId="0" borderId="29" xfId="37" quotePrefix="1" applyNumberFormat="1" applyFont="1" applyFill="1" applyBorder="1" applyAlignment="1">
      <alignment horizontal="center" vertical="center" wrapText="1"/>
    </xf>
    <xf numFmtId="9" fontId="34" fillId="25" borderId="49" xfId="37" applyNumberFormat="1" applyFont="1" applyFill="1" applyBorder="1" applyAlignment="1">
      <alignment horizontal="center" vertical="center"/>
    </xf>
    <xf numFmtId="166" fontId="38" fillId="26" borderId="48" xfId="48" quotePrefix="1" applyNumberFormat="1" applyFont="1" applyFill="1" applyBorder="1" applyAlignment="1">
      <alignment horizontal="center" vertical="center"/>
    </xf>
    <xf numFmtId="166" fontId="38" fillId="26" borderId="50" xfId="48" quotePrefix="1" applyNumberFormat="1" applyFont="1" applyFill="1" applyBorder="1" applyAlignment="1">
      <alignment horizontal="center" vertical="center"/>
    </xf>
    <xf numFmtId="0" fontId="35" fillId="28" borderId="0" xfId="37" applyFont="1" applyFill="1" applyBorder="1" applyAlignment="1">
      <alignment horizontal="center" vertical="center" wrapText="1"/>
    </xf>
    <xf numFmtId="3" fontId="38" fillId="0" borderId="57" xfId="37" applyNumberFormat="1" applyFont="1" applyFill="1" applyBorder="1" applyAlignment="1">
      <alignment horizontal="distributed"/>
    </xf>
    <xf numFmtId="0" fontId="34" fillId="0" borderId="12" xfId="0" applyFont="1" applyFill="1" applyBorder="1" applyAlignment="1">
      <alignment horizontal="center"/>
    </xf>
    <xf numFmtId="0" fontId="34" fillId="0" borderId="58" xfId="0" applyFont="1" applyFill="1" applyBorder="1" applyAlignment="1">
      <alignment horizontal="center"/>
    </xf>
    <xf numFmtId="0" fontId="38" fillId="0" borderId="45" xfId="37" applyNumberFormat="1" applyFont="1" applyFill="1" applyBorder="1" applyAlignment="1">
      <alignment horizontal="center" vertical="center" wrapText="1"/>
    </xf>
    <xf numFmtId="0" fontId="34" fillId="0" borderId="28" xfId="0" applyFont="1" applyFill="1" applyBorder="1" applyAlignment="1">
      <alignment horizontal="center"/>
    </xf>
    <xf numFmtId="0" fontId="37" fillId="18" borderId="59" xfId="37" applyFont="1" applyFill="1" applyBorder="1" applyAlignment="1">
      <alignment horizontal="center" vertical="center" wrapText="1"/>
    </xf>
    <xf numFmtId="3" fontId="38" fillId="0" borderId="12" xfId="37" applyNumberFormat="1" applyFont="1" applyFill="1" applyBorder="1" applyAlignment="1">
      <alignment horizontal="distributed"/>
    </xf>
    <xf numFmtId="0" fontId="34" fillId="24" borderId="0" xfId="37" quotePrefix="1" applyFont="1" applyFill="1" applyBorder="1" applyAlignment="1">
      <alignment horizontal="center" vertical="center" wrapText="1"/>
    </xf>
    <xf numFmtId="0" fontId="34" fillId="0" borderId="28" xfId="37" quotePrefix="1" applyFont="1" applyFill="1" applyBorder="1" applyAlignment="1">
      <alignment horizontal="center" vertical="center" wrapText="1"/>
    </xf>
    <xf numFmtId="0" fontId="32" fillId="0" borderId="32" xfId="37" quotePrefix="1" applyFont="1" applyFill="1" applyBorder="1" applyAlignment="1">
      <alignment horizontal="center" vertical="center" wrapText="1"/>
    </xf>
    <xf numFmtId="0" fontId="32" fillId="0" borderId="33" xfId="37" quotePrefix="1" applyFont="1" applyFill="1" applyBorder="1" applyAlignment="1">
      <alignment horizontal="center" vertical="center" wrapText="1"/>
    </xf>
    <xf numFmtId="0" fontId="32" fillId="0" borderId="34" xfId="37" quotePrefix="1" applyFont="1" applyFill="1" applyBorder="1" applyAlignment="1">
      <alignment horizontal="center" vertical="center" wrapText="1"/>
    </xf>
    <xf numFmtId="0" fontId="34" fillId="0" borderId="51" xfId="37" quotePrefix="1" applyFont="1" applyFill="1" applyBorder="1" applyAlignment="1">
      <alignment horizontal="center" vertical="center" wrapText="1"/>
    </xf>
    <xf numFmtId="0" fontId="34" fillId="0" borderId="13" xfId="37" quotePrefix="1" applyFont="1" applyFill="1" applyBorder="1" applyAlignment="1">
      <alignment horizontal="center" vertical="center" wrapText="1"/>
    </xf>
    <xf numFmtId="0" fontId="34" fillId="0" borderId="52" xfId="37" quotePrefix="1" applyFont="1" applyFill="1" applyBorder="1" applyAlignment="1">
      <alignment horizontal="center" vertical="center" wrapText="1"/>
    </xf>
    <xf numFmtId="0" fontId="34" fillId="0" borderId="37" xfId="37" quotePrefix="1" applyFont="1" applyBorder="1" applyAlignment="1">
      <alignment horizontal="center" vertical="center" wrapText="1"/>
    </xf>
    <xf numFmtId="0" fontId="34" fillId="0" borderId="29" xfId="37" quotePrefix="1" applyFont="1" applyFill="1" applyBorder="1" applyAlignment="1">
      <alignment horizontal="center" vertical="center" wrapText="1"/>
    </xf>
    <xf numFmtId="0" fontId="34" fillId="0" borderId="30" xfId="37" quotePrefix="1" applyFont="1" applyFill="1" applyBorder="1" applyAlignment="1">
      <alignment horizontal="center" vertical="center" wrapText="1"/>
    </xf>
    <xf numFmtId="165" fontId="43" fillId="19" borderId="0" xfId="37" applyNumberFormat="1" applyFont="1" applyFill="1" applyBorder="1" applyAlignment="1">
      <alignment horizontal="left" vertical="top" wrapText="1"/>
    </xf>
    <xf numFmtId="0" fontId="34" fillId="24" borderId="34" xfId="0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/>
    </xf>
    <xf numFmtId="0" fontId="34" fillId="24" borderId="13" xfId="0" applyFont="1" applyFill="1" applyBorder="1" applyAlignment="1">
      <alignment horizontal="center"/>
    </xf>
    <xf numFmtId="3" fontId="38" fillId="24" borderId="41" xfId="37" applyNumberFormat="1" applyFont="1" applyFill="1" applyBorder="1" applyAlignment="1">
      <alignment horizontal="distributed"/>
    </xf>
    <xf numFmtId="0" fontId="34" fillId="24" borderId="15" xfId="0" applyFont="1" applyFill="1" applyBorder="1" applyAlignment="1">
      <alignment horizontal="center"/>
    </xf>
    <xf numFmtId="0" fontId="34" fillId="24" borderId="52" xfId="0" applyFont="1" applyFill="1" applyBorder="1" applyAlignment="1">
      <alignment horizontal="center"/>
    </xf>
    <xf numFmtId="0" fontId="39" fillId="0" borderId="11" xfId="0" applyFont="1" applyFill="1" applyBorder="1"/>
    <xf numFmtId="0" fontId="39" fillId="0" borderId="33" xfId="0" applyFont="1" applyFill="1" applyBorder="1"/>
    <xf numFmtId="0" fontId="39" fillId="0" borderId="31" xfId="0" applyFont="1" applyFill="1" applyBorder="1"/>
    <xf numFmtId="0" fontId="39" fillId="0" borderId="34" xfId="0" applyFont="1" applyFill="1" applyBorder="1"/>
    <xf numFmtId="0" fontId="39" fillId="0" borderId="0" xfId="0" applyFont="1" applyFill="1" applyBorder="1"/>
    <xf numFmtId="0" fontId="39" fillId="0" borderId="28" xfId="0" applyFont="1" applyFill="1" applyBorder="1"/>
    <xf numFmtId="0" fontId="39" fillId="0" borderId="32" xfId="0" applyFont="1" applyFill="1" applyBorder="1"/>
    <xf numFmtId="0" fontId="38" fillId="0" borderId="60" xfId="37" applyNumberFormat="1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/>
    </xf>
    <xf numFmtId="0" fontId="39" fillId="0" borderId="29" xfId="0" applyFont="1" applyFill="1" applyBorder="1"/>
    <xf numFmtId="0" fontId="39" fillId="0" borderId="30" xfId="0" applyFont="1" applyFill="1" applyBorder="1"/>
    <xf numFmtId="0" fontId="39" fillId="0" borderId="27" xfId="0" applyFont="1" applyFill="1" applyBorder="1"/>
    <xf numFmtId="0" fontId="0" fillId="0" borderId="29" xfId="0" applyFill="1" applyBorder="1"/>
    <xf numFmtId="0" fontId="0" fillId="0" borderId="33" xfId="0" applyFill="1" applyBorder="1"/>
    <xf numFmtId="0" fontId="38" fillId="0" borderId="39" xfId="37" applyFont="1" applyFill="1" applyBorder="1" applyAlignment="1">
      <alignment horizontal="center" vertical="center" wrapText="1"/>
    </xf>
    <xf numFmtId="0" fontId="38" fillId="0" borderId="39" xfId="37" applyNumberFormat="1" applyFont="1" applyFill="1" applyBorder="1" applyAlignment="1">
      <alignment horizontal="center" vertical="center" wrapText="1"/>
    </xf>
    <xf numFmtId="0" fontId="34" fillId="0" borderId="28" xfId="37" quotePrefix="1" applyNumberFormat="1" applyFont="1" applyFill="1" applyBorder="1" applyAlignment="1">
      <alignment horizontal="center" vertical="center" wrapText="1"/>
    </xf>
    <xf numFmtId="3" fontId="34" fillId="0" borderId="29" xfId="37" quotePrefix="1" applyNumberFormat="1" applyFont="1" applyFill="1" applyBorder="1" applyAlignment="1">
      <alignment horizontal="center" vertical="center" wrapText="1"/>
    </xf>
    <xf numFmtId="3" fontId="38" fillId="0" borderId="29" xfId="37" quotePrefix="1" applyNumberFormat="1" applyFont="1" applyFill="1" applyBorder="1" applyAlignment="1">
      <alignment horizontal="center" vertical="center" wrapText="1"/>
    </xf>
    <xf numFmtId="3" fontId="38" fillId="0" borderId="44" xfId="37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7" fillId="30" borderId="44" xfId="37" applyFont="1" applyFill="1" applyBorder="1" applyAlignment="1">
      <alignment horizontal="center" vertical="center" wrapText="1"/>
    </xf>
    <xf numFmtId="0" fontId="37" fillId="30" borderId="45" xfId="37" quotePrefix="1" applyFont="1" applyFill="1" applyBorder="1" applyAlignment="1">
      <alignment horizontal="center" vertical="center" wrapText="1"/>
    </xf>
    <xf numFmtId="0" fontId="37" fillId="30" borderId="64" xfId="37" quotePrefix="1" applyFont="1" applyFill="1" applyBorder="1" applyAlignment="1">
      <alignment horizontal="center" vertical="center" wrapText="1"/>
    </xf>
    <xf numFmtId="0" fontId="40" fillId="30" borderId="60" xfId="37" applyNumberFormat="1" applyFont="1" applyFill="1" applyBorder="1" applyAlignment="1">
      <alignment horizontal="center" vertical="center" wrapText="1"/>
    </xf>
    <xf numFmtId="0" fontId="38" fillId="0" borderId="45" xfId="37" applyFont="1" applyFill="1" applyBorder="1" applyAlignment="1">
      <alignment horizontal="center" vertical="center" wrapText="1"/>
    </xf>
    <xf numFmtId="0" fontId="37" fillId="30" borderId="64" xfId="37" applyFont="1" applyFill="1" applyBorder="1" applyAlignment="1">
      <alignment horizontal="center" vertical="center" wrapText="1"/>
    </xf>
    <xf numFmtId="0" fontId="39" fillId="0" borderId="51" xfId="0" applyFont="1" applyBorder="1"/>
    <xf numFmtId="0" fontId="39" fillId="0" borderId="13" xfId="0" applyFont="1" applyFill="1" applyBorder="1"/>
    <xf numFmtId="0" fontId="39" fillId="0" borderId="13" xfId="0" applyFont="1" applyBorder="1"/>
    <xf numFmtId="0" fontId="39" fillId="0" borderId="52" xfId="0" applyFont="1" applyBorder="1"/>
    <xf numFmtId="3" fontId="38" fillId="0" borderId="14" xfId="37" applyNumberFormat="1" applyFont="1" applyFill="1" applyBorder="1" applyAlignment="1">
      <alignment horizontal="distributed"/>
    </xf>
    <xf numFmtId="0" fontId="37" fillId="30" borderId="66" xfId="37" quotePrefix="1" applyFont="1" applyFill="1" applyBorder="1" applyAlignment="1">
      <alignment horizontal="center" vertical="center" wrapText="1"/>
    </xf>
    <xf numFmtId="0" fontId="40" fillId="30" borderId="61" xfId="3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7" fillId="33" borderId="0" xfId="0" applyFont="1" applyFill="1"/>
    <xf numFmtId="0" fontId="47" fillId="33" borderId="0" xfId="0" applyFont="1" applyFill="1" applyAlignment="1">
      <alignment horizontal="center"/>
    </xf>
    <xf numFmtId="0" fontId="48" fillId="33" borderId="0" xfId="0" applyFont="1" applyFill="1" applyAlignment="1">
      <alignment horizontal="left"/>
    </xf>
    <xf numFmtId="0" fontId="49" fillId="33" borderId="0" xfId="0" applyFont="1" applyFill="1"/>
    <xf numFmtId="0" fontId="49" fillId="33" borderId="0" xfId="0" applyFont="1" applyFill="1" applyAlignment="1">
      <alignment horizontal="center"/>
    </xf>
    <xf numFmtId="0" fontId="50" fillId="33" borderId="0" xfId="0" applyFont="1" applyFill="1" applyAlignment="1">
      <alignment horizontal="left"/>
    </xf>
    <xf numFmtId="0" fontId="50" fillId="33" borderId="0" xfId="0" applyFont="1" applyFill="1" applyAlignment="1">
      <alignment wrapText="1"/>
    </xf>
    <xf numFmtId="43" fontId="50" fillId="33" borderId="0" xfId="49" applyFont="1" applyFill="1"/>
    <xf numFmtId="0" fontId="21" fillId="0" borderId="0" xfId="0" applyFont="1"/>
    <xf numFmtId="0" fontId="21" fillId="0" borderId="0" xfId="0" applyFont="1" applyAlignment="1">
      <alignment horizontal="left"/>
    </xf>
    <xf numFmtId="0" fontId="0" fillId="0" borderId="67" xfId="0" applyBorder="1"/>
    <xf numFmtId="0" fontId="0" fillId="34" borderId="11" xfId="0" applyFill="1" applyBorder="1"/>
    <xf numFmtId="0" fontId="0" fillId="34" borderId="31" xfId="0" applyFill="1" applyBorder="1"/>
    <xf numFmtId="0" fontId="3" fillId="0" borderId="69" xfId="0" applyFont="1" applyBorder="1"/>
    <xf numFmtId="0" fontId="3" fillId="0" borderId="70" xfId="0" applyFont="1" applyBorder="1"/>
    <xf numFmtId="0" fontId="0" fillId="34" borderId="29" xfId="0" applyFill="1" applyBorder="1" applyAlignment="1">
      <alignment horizontal="left"/>
    </xf>
    <xf numFmtId="0" fontId="0" fillId="34" borderId="33" xfId="0" applyFill="1" applyBorder="1"/>
    <xf numFmtId="0" fontId="0" fillId="34" borderId="30" xfId="0" applyFill="1" applyBorder="1" applyAlignment="1">
      <alignment horizontal="left"/>
    </xf>
    <xf numFmtId="0" fontId="0" fillId="34" borderId="34" xfId="0" applyFill="1" applyBorder="1"/>
    <xf numFmtId="0" fontId="34" fillId="0" borderId="20" xfId="0" applyFont="1" applyFill="1" applyBorder="1" applyAlignment="1">
      <alignment horizontal="center" vertical="center" wrapText="1"/>
    </xf>
    <xf numFmtId="0" fontId="34" fillId="0" borderId="68" xfId="0" applyFont="1" applyFill="1" applyBorder="1" applyAlignment="1">
      <alignment horizontal="center" vertical="center" wrapText="1"/>
    </xf>
    <xf numFmtId="0" fontId="21" fillId="21" borderId="59" xfId="0" applyFont="1" applyFill="1" applyBorder="1" applyAlignment="1">
      <alignment vertical="center"/>
    </xf>
    <xf numFmtId="0" fontId="21" fillId="21" borderId="27" xfId="0" applyFont="1" applyFill="1" applyBorder="1" applyAlignment="1">
      <alignment horizontal="left" vertical="center" wrapText="1"/>
    </xf>
    <xf numFmtId="0" fontId="21" fillId="21" borderId="28" xfId="0" applyFont="1" applyFill="1" applyBorder="1" applyAlignment="1">
      <alignment vertical="center"/>
    </xf>
    <xf numFmtId="0" fontId="21" fillId="21" borderId="32" xfId="0" applyFont="1" applyFill="1" applyBorder="1" applyAlignment="1">
      <alignment vertical="center" wrapText="1"/>
    </xf>
    <xf numFmtId="0" fontId="21" fillId="21" borderId="27" xfId="0" applyFont="1" applyFill="1" applyBorder="1" applyAlignment="1">
      <alignment vertical="center"/>
    </xf>
    <xf numFmtId="0" fontId="21" fillId="21" borderId="32" xfId="0" applyFont="1" applyFill="1" applyBorder="1" applyAlignment="1">
      <alignment vertical="center"/>
    </xf>
    <xf numFmtId="3" fontId="34" fillId="31" borderId="0" xfId="37" quotePrefix="1" applyNumberFormat="1" applyFont="1" applyFill="1" applyBorder="1" applyAlignment="1">
      <alignment horizontal="center" vertical="center" wrapText="1"/>
    </xf>
    <xf numFmtId="0" fontId="34" fillId="31" borderId="0" xfId="37" quotePrefix="1" applyNumberFormat="1" applyFont="1" applyFill="1" applyBorder="1" applyAlignment="1">
      <alignment horizontal="center" vertical="center" wrapText="1"/>
    </xf>
    <xf numFmtId="0" fontId="34" fillId="31" borderId="0" xfId="0" applyFont="1" applyFill="1" applyBorder="1" applyAlignment="1">
      <alignment horizontal="center"/>
    </xf>
    <xf numFmtId="0" fontId="34" fillId="31" borderId="0" xfId="37" quotePrefix="1" applyFont="1" applyFill="1" applyBorder="1" applyAlignment="1">
      <alignment horizontal="center" vertical="center" wrapText="1"/>
    </xf>
    <xf numFmtId="0" fontId="3" fillId="0" borderId="0" xfId="0" applyFont="1"/>
    <xf numFmtId="0" fontId="0" fillId="33" borderId="11" xfId="0" applyFill="1" applyBorder="1" applyAlignment="1">
      <alignment horizontal="center"/>
    </xf>
    <xf numFmtId="0" fontId="38" fillId="33" borderId="11" xfId="0" applyFont="1" applyFill="1" applyBorder="1" applyAlignment="1">
      <alignment horizontal="center"/>
    </xf>
    <xf numFmtId="3" fontId="38" fillId="31" borderId="21" xfId="37" applyNumberFormat="1" applyFont="1" applyFill="1" applyBorder="1" applyAlignment="1">
      <alignment horizontal="distributed"/>
    </xf>
    <xf numFmtId="0" fontId="38" fillId="0" borderId="0" xfId="0" applyFont="1" applyAlignment="1">
      <alignment horizontal="center"/>
    </xf>
    <xf numFmtId="3" fontId="38" fillId="31" borderId="16" xfId="37" quotePrefix="1" applyNumberFormat="1" applyFont="1" applyFill="1" applyBorder="1" applyAlignment="1">
      <alignment horizontal="center" vertical="center" wrapText="1"/>
    </xf>
    <xf numFmtId="3" fontId="34" fillId="31" borderId="16" xfId="37" quotePrefix="1" applyNumberFormat="1" applyFont="1" applyFill="1" applyBorder="1" applyAlignment="1">
      <alignment horizontal="center" vertical="center" wrapText="1"/>
    </xf>
    <xf numFmtId="0" fontId="0" fillId="0" borderId="71" xfId="0" applyBorder="1"/>
    <xf numFmtId="0" fontId="0" fillId="0" borderId="67" xfId="0" applyBorder="1" applyAlignment="1">
      <alignment horizontal="left"/>
    </xf>
    <xf numFmtId="0" fontId="0" fillId="0" borderId="72" xfId="0" applyBorder="1"/>
    <xf numFmtId="0" fontId="38" fillId="0" borderId="33" xfId="0" applyFont="1" applyBorder="1" applyAlignment="1">
      <alignment horizontal="center"/>
    </xf>
    <xf numFmtId="0" fontId="34" fillId="0" borderId="73" xfId="0" applyFont="1" applyFill="1" applyBorder="1" applyAlignment="1">
      <alignment horizontal="center" vertical="center" wrapText="1"/>
    </xf>
    <xf numFmtId="0" fontId="34" fillId="0" borderId="74" xfId="0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0" fillId="34" borderId="14" xfId="0" applyFill="1" applyBorder="1" applyAlignment="1">
      <alignment horizontal="left"/>
    </xf>
    <xf numFmtId="0" fontId="34" fillId="0" borderId="11" xfId="0" applyFont="1" applyFill="1" applyBorder="1" applyAlignment="1">
      <alignment horizontal="center" vertical="center" wrapText="1"/>
    </xf>
    <xf numFmtId="3" fontId="34" fillId="0" borderId="57" xfId="37" quotePrefix="1" applyNumberFormat="1" applyFont="1" applyFill="1" applyBorder="1" applyAlignment="1">
      <alignment horizontal="center" vertical="center" wrapText="1"/>
    </xf>
    <xf numFmtId="0" fontId="34" fillId="0" borderId="12" xfId="37" quotePrefix="1" applyFont="1" applyFill="1" applyBorder="1" applyAlignment="1">
      <alignment horizontal="center" vertical="center" wrapText="1"/>
    </xf>
    <xf numFmtId="0" fontId="34" fillId="0" borderId="4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/>
    </xf>
    <xf numFmtId="0" fontId="34" fillId="0" borderId="65" xfId="0" applyFont="1" applyFill="1" applyBorder="1" applyAlignment="1">
      <alignment horizontal="center"/>
    </xf>
    <xf numFmtId="3" fontId="38" fillId="0" borderId="19" xfId="37" applyNumberFormat="1" applyFont="1" applyFill="1" applyBorder="1" applyAlignment="1">
      <alignment horizontal="distributed"/>
    </xf>
    <xf numFmtId="3" fontId="52" fillId="35" borderId="0" xfId="37" applyNumberFormat="1" applyFont="1" applyFill="1" applyBorder="1" applyAlignment="1">
      <alignment horizontal="distributed"/>
    </xf>
    <xf numFmtId="3" fontId="38" fillId="35" borderId="29" xfId="37" applyNumberFormat="1" applyFont="1" applyFill="1" applyBorder="1" applyAlignment="1">
      <alignment horizontal="distributed"/>
    </xf>
    <xf numFmtId="3" fontId="38" fillId="35" borderId="30" xfId="37" applyNumberFormat="1" applyFont="1" applyFill="1" applyBorder="1" applyAlignment="1" applyProtection="1">
      <alignment horizontal="distributed"/>
      <protection locked="0"/>
    </xf>
    <xf numFmtId="0" fontId="3" fillId="35" borderId="0" xfId="0" applyFont="1" applyFill="1"/>
    <xf numFmtId="0" fontId="0" fillId="35" borderId="0" xfId="0" applyFill="1"/>
    <xf numFmtId="3" fontId="38" fillId="33" borderId="14" xfId="37" applyNumberFormat="1" applyFont="1" applyFill="1" applyBorder="1" applyAlignment="1">
      <alignment horizontal="distributed"/>
    </xf>
    <xf numFmtId="0" fontId="0" fillId="33" borderId="0" xfId="0" applyFill="1"/>
    <xf numFmtId="0" fontId="45" fillId="0" borderId="0" xfId="0" applyFont="1" applyAlignment="1"/>
    <xf numFmtId="0" fontId="0" fillId="36" borderId="29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3" fillId="36" borderId="33" xfId="0" applyFont="1" applyFill="1" applyBorder="1" applyAlignment="1">
      <alignment horizontal="center"/>
    </xf>
    <xf numFmtId="0" fontId="0" fillId="36" borderId="30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0" fillId="32" borderId="29" xfId="0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3" fillId="32" borderId="33" xfId="0" applyFont="1" applyFill="1" applyBorder="1" applyAlignment="1">
      <alignment horizontal="center"/>
    </xf>
    <xf numFmtId="0" fontId="23" fillId="19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2" fillId="19" borderId="0" xfId="0" applyFont="1" applyFill="1" applyBorder="1" applyAlignment="1">
      <alignment horizontal="center" vertical="center" wrapText="1"/>
    </xf>
    <xf numFmtId="0" fontId="25" fillId="19" borderId="0" xfId="0" applyFont="1" applyFill="1" applyBorder="1" applyAlignment="1">
      <alignment horizontal="right" vertical="center" wrapText="1"/>
    </xf>
    <xf numFmtId="0" fontId="34" fillId="0" borderId="35" xfId="37" quotePrefix="1" applyFont="1" applyBorder="1" applyAlignment="1">
      <alignment horizontal="center" vertical="center" wrapText="1"/>
    </xf>
    <xf numFmtId="0" fontId="34" fillId="0" borderId="36" xfId="37" quotePrefix="1" applyFont="1" applyBorder="1" applyAlignment="1">
      <alignment horizontal="center" vertical="center" wrapText="1"/>
    </xf>
    <xf numFmtId="0" fontId="34" fillId="0" borderId="37" xfId="37" quotePrefix="1" applyFont="1" applyBorder="1" applyAlignment="1">
      <alignment horizontal="center" vertical="center" wrapText="1"/>
    </xf>
    <xf numFmtId="0" fontId="32" fillId="0" borderId="35" xfId="37" applyFont="1" applyBorder="1" applyAlignment="1">
      <alignment horizontal="center"/>
    </xf>
    <xf numFmtId="0" fontId="32" fillId="0" borderId="36" xfId="37" applyFont="1" applyBorder="1" applyAlignment="1">
      <alignment horizontal="center"/>
    </xf>
    <xf numFmtId="0" fontId="32" fillId="0" borderId="37" xfId="37" applyFont="1" applyBorder="1" applyAlignment="1">
      <alignment horizontal="center"/>
    </xf>
    <xf numFmtId="0" fontId="34" fillId="26" borderId="29" xfId="37" quotePrefix="1" applyFont="1" applyFill="1" applyBorder="1" applyAlignment="1">
      <alignment horizontal="center" vertical="center" wrapText="1"/>
    </xf>
    <xf numFmtId="0" fontId="34" fillId="26" borderId="30" xfId="37" quotePrefix="1" applyFont="1" applyFill="1" applyBorder="1" applyAlignment="1">
      <alignment horizontal="center" vertical="center" wrapText="1"/>
    </xf>
    <xf numFmtId="0" fontId="35" fillId="27" borderId="24" xfId="37" applyFont="1" applyFill="1" applyBorder="1" applyAlignment="1">
      <alignment horizontal="center" vertical="center" wrapText="1"/>
    </xf>
    <xf numFmtId="0" fontId="35" fillId="27" borderId="25" xfId="37" applyFont="1" applyFill="1" applyBorder="1" applyAlignment="1">
      <alignment horizontal="center" vertical="center" wrapText="1"/>
    </xf>
    <xf numFmtId="0" fontId="35" fillId="27" borderId="26" xfId="37" applyFont="1" applyFill="1" applyBorder="1" applyAlignment="1">
      <alignment horizontal="center" vertical="center" wrapText="1"/>
    </xf>
    <xf numFmtId="0" fontId="33" fillId="0" borderId="0" xfId="37" applyFont="1" applyBorder="1" applyAlignment="1">
      <alignment horizontal="center" vertical="center" wrapText="1"/>
    </xf>
    <xf numFmtId="0" fontId="35" fillId="28" borderId="24" xfId="37" applyFont="1" applyFill="1" applyBorder="1" applyAlignment="1">
      <alignment horizontal="center" vertical="center" wrapText="1"/>
    </xf>
    <xf numFmtId="0" fontId="35" fillId="28" borderId="25" xfId="37" applyFont="1" applyFill="1" applyBorder="1" applyAlignment="1">
      <alignment horizontal="center" vertical="center" wrapText="1"/>
    </xf>
    <xf numFmtId="0" fontId="35" fillId="28" borderId="26" xfId="37" applyFont="1" applyFill="1" applyBorder="1" applyAlignment="1">
      <alignment horizontal="center" vertical="center" wrapText="1"/>
    </xf>
    <xf numFmtId="0" fontId="35" fillId="29" borderId="24" xfId="37" applyFont="1" applyFill="1" applyBorder="1" applyAlignment="1">
      <alignment horizontal="center" vertical="center" wrapText="1"/>
    </xf>
    <xf numFmtId="0" fontId="35" fillId="29" borderId="26" xfId="37" applyFont="1" applyFill="1" applyBorder="1" applyAlignment="1">
      <alignment horizontal="center" vertical="center" wrapText="1"/>
    </xf>
    <xf numFmtId="0" fontId="39" fillId="19" borderId="13" xfId="0" applyFont="1" applyFill="1" applyBorder="1" applyAlignment="1">
      <alignment horizontal="left" vertical="top" wrapText="1"/>
    </xf>
    <xf numFmtId="0" fontId="39" fillId="19" borderId="14" xfId="0" applyFont="1" applyFill="1" applyBorder="1" applyAlignment="1">
      <alignment horizontal="left" vertical="top" wrapText="1"/>
    </xf>
    <xf numFmtId="0" fontId="39" fillId="19" borderId="23" xfId="0" applyFont="1" applyFill="1" applyBorder="1" applyAlignment="1">
      <alignment horizontal="left" vertical="top" wrapText="1"/>
    </xf>
    <xf numFmtId="0" fontId="42" fillId="23" borderId="18" xfId="37" quotePrefix="1" applyFont="1" applyFill="1" applyBorder="1" applyAlignment="1">
      <alignment horizontal="center"/>
    </xf>
    <xf numFmtId="0" fontId="42" fillId="23" borderId="18" xfId="37" applyFont="1" applyFill="1" applyBorder="1" applyAlignment="1">
      <alignment horizontal="center"/>
    </xf>
    <xf numFmtId="0" fontId="42" fillId="23" borderId="11" xfId="37" quotePrefix="1" applyFont="1" applyFill="1" applyBorder="1" applyAlignment="1">
      <alignment horizontal="center"/>
    </xf>
    <xf numFmtId="0" fontId="40" fillId="22" borderId="11" xfId="37" applyFont="1" applyFill="1" applyBorder="1" applyAlignment="1">
      <alignment horizontal="center"/>
    </xf>
    <xf numFmtId="165" fontId="39" fillId="19" borderId="15" xfId="37" applyNumberFormat="1" applyFont="1" applyFill="1" applyBorder="1" applyAlignment="1">
      <alignment horizontal="left" vertical="top" wrapText="1"/>
    </xf>
    <xf numFmtId="165" fontId="39" fillId="19" borderId="19" xfId="37" applyNumberFormat="1" applyFont="1" applyFill="1" applyBorder="1" applyAlignment="1">
      <alignment horizontal="left" vertical="top" wrapText="1"/>
    </xf>
    <xf numFmtId="165" fontId="39" fillId="19" borderId="16" xfId="37" applyNumberFormat="1" applyFont="1" applyFill="1" applyBorder="1" applyAlignment="1">
      <alignment horizontal="left" vertical="top" wrapText="1"/>
    </xf>
    <xf numFmtId="165" fontId="39" fillId="19" borderId="20" xfId="37" applyNumberFormat="1" applyFont="1" applyFill="1" applyBorder="1" applyAlignment="1">
      <alignment horizontal="left" vertical="top" wrapText="1"/>
    </xf>
    <xf numFmtId="165" fontId="39" fillId="19" borderId="17" xfId="37" applyNumberFormat="1" applyFont="1" applyFill="1" applyBorder="1" applyAlignment="1">
      <alignment horizontal="left" vertical="top" wrapText="1"/>
    </xf>
    <xf numFmtId="165" fontId="39" fillId="19" borderId="21" xfId="37" applyNumberFormat="1" applyFont="1" applyFill="1" applyBorder="1" applyAlignment="1">
      <alignment horizontal="left" vertical="top" wrapText="1"/>
    </xf>
    <xf numFmtId="165" fontId="43" fillId="19" borderId="15" xfId="37" applyNumberFormat="1" applyFont="1" applyFill="1" applyBorder="1" applyAlignment="1">
      <alignment horizontal="left" vertical="top" wrapText="1"/>
    </xf>
    <xf numFmtId="165" fontId="43" fillId="19" borderId="22" xfId="37" applyNumberFormat="1" applyFont="1" applyFill="1" applyBorder="1" applyAlignment="1">
      <alignment horizontal="left" vertical="top" wrapText="1"/>
    </xf>
    <xf numFmtId="165" fontId="43" fillId="19" borderId="19" xfId="37" applyNumberFormat="1" applyFont="1" applyFill="1" applyBorder="1" applyAlignment="1">
      <alignment horizontal="left" vertical="top" wrapText="1"/>
    </xf>
    <xf numFmtId="165" fontId="43" fillId="19" borderId="16" xfId="37" applyNumberFormat="1" applyFont="1" applyFill="1" applyBorder="1" applyAlignment="1">
      <alignment horizontal="left" vertical="top" wrapText="1"/>
    </xf>
    <xf numFmtId="165" fontId="43" fillId="19" borderId="0" xfId="37" applyNumberFormat="1" applyFont="1" applyFill="1" applyBorder="1" applyAlignment="1">
      <alignment horizontal="left" vertical="top" wrapText="1"/>
    </xf>
    <xf numFmtId="165" fontId="43" fillId="19" borderId="20" xfId="37" applyNumberFormat="1" applyFont="1" applyFill="1" applyBorder="1" applyAlignment="1">
      <alignment horizontal="left" vertical="top" wrapText="1"/>
    </xf>
    <xf numFmtId="165" fontId="43" fillId="19" borderId="17" xfId="37" applyNumberFormat="1" applyFont="1" applyFill="1" applyBorder="1" applyAlignment="1">
      <alignment horizontal="left" vertical="top" wrapText="1"/>
    </xf>
    <xf numFmtId="165" fontId="43" fillId="19" borderId="18" xfId="37" applyNumberFormat="1" applyFont="1" applyFill="1" applyBorder="1" applyAlignment="1">
      <alignment horizontal="left" vertical="top" wrapText="1"/>
    </xf>
    <xf numFmtId="165" fontId="43" fillId="19" borderId="21" xfId="37" applyNumberFormat="1" applyFont="1" applyFill="1" applyBorder="1" applyAlignment="1">
      <alignment horizontal="left" vertical="top" wrapText="1"/>
    </xf>
    <xf numFmtId="0" fontId="40" fillId="20" borderId="10" xfId="37" applyFont="1" applyFill="1" applyBorder="1" applyAlignment="1">
      <alignment horizontal="center"/>
    </xf>
    <xf numFmtId="0" fontId="40" fillId="20" borderId="11" xfId="37" applyFont="1" applyFill="1" applyBorder="1" applyAlignment="1">
      <alignment horizontal="center"/>
    </xf>
    <xf numFmtId="0" fontId="34" fillId="0" borderId="35" xfId="37" quotePrefix="1" applyFont="1" applyFill="1" applyBorder="1" applyAlignment="1">
      <alignment horizontal="center" vertical="center" wrapText="1"/>
    </xf>
    <xf numFmtId="0" fontId="34" fillId="0" borderId="36" xfId="37" quotePrefix="1" applyFont="1" applyFill="1" applyBorder="1" applyAlignment="1">
      <alignment horizontal="center" vertical="center" wrapText="1"/>
    </xf>
    <xf numFmtId="0" fontId="34" fillId="0" borderId="37" xfId="37" quotePrefix="1" applyFont="1" applyFill="1" applyBorder="1" applyAlignment="1">
      <alignment horizontal="center" vertical="center" wrapText="1"/>
    </xf>
    <xf numFmtId="0" fontId="35" fillId="0" borderId="35" xfId="37" quotePrefix="1" applyFont="1" applyBorder="1" applyAlignment="1">
      <alignment horizontal="center" vertical="center" wrapText="1"/>
    </xf>
    <xf numFmtId="0" fontId="35" fillId="0" borderId="36" xfId="37" quotePrefix="1" applyFont="1" applyBorder="1" applyAlignment="1">
      <alignment horizontal="center" vertical="center" wrapText="1"/>
    </xf>
    <xf numFmtId="0" fontId="35" fillId="0" borderId="37" xfId="37" quotePrefix="1" applyFont="1" applyBorder="1" applyAlignment="1">
      <alignment horizontal="center" vertical="center" wrapText="1"/>
    </xf>
    <xf numFmtId="0" fontId="35" fillId="0" borderId="35" xfId="37" quotePrefix="1" applyFont="1" applyBorder="1" applyAlignment="1">
      <alignment horizontal="center" vertical="center"/>
    </xf>
    <xf numFmtId="0" fontId="35" fillId="0" borderId="36" xfId="37" quotePrefix="1" applyFont="1" applyBorder="1" applyAlignment="1">
      <alignment horizontal="center" vertical="center"/>
    </xf>
    <xf numFmtId="0" fontId="35" fillId="0" borderId="37" xfId="37" quotePrefix="1" applyFont="1" applyBorder="1" applyAlignment="1">
      <alignment horizontal="center" vertical="center"/>
    </xf>
    <xf numFmtId="0" fontId="34" fillId="0" borderId="35" xfId="37" applyFont="1" applyBorder="1" applyAlignment="1">
      <alignment horizontal="center" vertical="center"/>
    </xf>
    <xf numFmtId="0" fontId="34" fillId="0" borderId="36" xfId="37" applyFont="1" applyBorder="1" applyAlignment="1">
      <alignment horizontal="center" vertical="center"/>
    </xf>
    <xf numFmtId="0" fontId="34" fillId="0" borderId="37" xfId="37" applyFont="1" applyBorder="1" applyAlignment="1">
      <alignment horizontal="center" vertical="center"/>
    </xf>
    <xf numFmtId="0" fontId="34" fillId="0" borderId="29" xfId="37" quotePrefix="1" applyFont="1" applyFill="1" applyBorder="1" applyAlignment="1">
      <alignment horizontal="center" vertical="center" wrapText="1"/>
    </xf>
    <xf numFmtId="0" fontId="34" fillId="0" borderId="30" xfId="37" quotePrefix="1" applyFont="1" applyFill="1" applyBorder="1" applyAlignment="1">
      <alignment horizontal="center" vertical="center" wrapText="1"/>
    </xf>
    <xf numFmtId="0" fontId="34" fillId="0" borderId="29" xfId="37" applyFont="1" applyBorder="1" applyAlignment="1">
      <alignment horizontal="center" vertical="center"/>
    </xf>
    <xf numFmtId="0" fontId="34" fillId="0" borderId="30" xfId="37" applyFont="1" applyBorder="1" applyAlignment="1">
      <alignment horizontal="center" vertical="center"/>
    </xf>
    <xf numFmtId="0" fontId="34" fillId="0" borderId="35" xfId="37" quotePrefix="1" applyFont="1" applyBorder="1" applyAlignment="1">
      <alignment horizontal="center" vertical="center"/>
    </xf>
    <xf numFmtId="0" fontId="34" fillId="0" borderId="36" xfId="37" quotePrefix="1" applyFont="1" applyBorder="1" applyAlignment="1">
      <alignment horizontal="center" vertical="center"/>
    </xf>
    <xf numFmtId="0" fontId="34" fillId="0" borderId="37" xfId="37" quotePrefix="1" applyFont="1" applyBorder="1" applyAlignment="1">
      <alignment horizontal="center" vertical="center"/>
    </xf>
    <xf numFmtId="0" fontId="35" fillId="27" borderId="53" xfId="37" applyFont="1" applyFill="1" applyBorder="1" applyAlignment="1">
      <alignment horizontal="center" vertical="center" wrapText="1"/>
    </xf>
    <xf numFmtId="0" fontId="35" fillId="27" borderId="47" xfId="37" applyFont="1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/>
    </xf>
    <xf numFmtId="0" fontId="35" fillId="28" borderId="47" xfId="37" applyFont="1" applyFill="1" applyBorder="1" applyAlignment="1">
      <alignment horizontal="center" vertical="center" wrapText="1"/>
    </xf>
    <xf numFmtId="0" fontId="35" fillId="28" borderId="75" xfId="37" applyFont="1" applyFill="1" applyBorder="1" applyAlignment="1">
      <alignment horizontal="center" vertical="center" wrapText="1"/>
    </xf>
    <xf numFmtId="0" fontId="35" fillId="27" borderId="68" xfId="37" applyFont="1" applyFill="1" applyBorder="1" applyAlignment="1">
      <alignment horizontal="center" vertical="center" wrapText="1"/>
    </xf>
    <xf numFmtId="0" fontId="34" fillId="0" borderId="39" xfId="0" applyFont="1" applyFill="1" applyBorder="1" applyAlignment="1">
      <alignment horizontal="center" vertical="center" wrapText="1"/>
    </xf>
    <xf numFmtId="0" fontId="34" fillId="0" borderId="62" xfId="0" applyFont="1" applyFill="1" applyBorder="1" applyAlignment="1">
      <alignment horizontal="center" vertical="center" wrapText="1"/>
    </xf>
    <xf numFmtId="0" fontId="34" fillId="0" borderId="63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35" fillId="0" borderId="35" xfId="37" quotePrefix="1" applyFont="1" applyFill="1" applyBorder="1" applyAlignment="1">
      <alignment horizontal="center" vertical="center" wrapText="1"/>
    </xf>
    <xf numFmtId="0" fontId="35" fillId="0" borderId="36" xfId="37" quotePrefix="1" applyFont="1" applyFill="1" applyBorder="1" applyAlignment="1">
      <alignment horizontal="center" vertical="center" wrapText="1"/>
    </xf>
    <xf numFmtId="0" fontId="35" fillId="0" borderId="37" xfId="37" quotePrefix="1" applyFont="1" applyFill="1" applyBorder="1" applyAlignment="1">
      <alignment horizontal="center" vertical="center" wrapText="1"/>
    </xf>
    <xf numFmtId="0" fontId="21" fillId="32" borderId="25" xfId="0" applyFont="1" applyFill="1" applyBorder="1" applyAlignment="1">
      <alignment horizontal="center" vertical="center"/>
    </xf>
    <xf numFmtId="0" fontId="51" fillId="36" borderId="47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0" borderId="0" xfId="0" applyFill="1"/>
    <xf numFmtId="0" fontId="0" fillId="20" borderId="67" xfId="0" applyFill="1" applyBorder="1"/>
    <xf numFmtId="0" fontId="38" fillId="20" borderId="66" xfId="0" applyFont="1" applyFill="1" applyBorder="1" applyAlignment="1">
      <alignment horizontal="center"/>
    </xf>
    <xf numFmtId="3" fontId="52" fillId="35" borderId="47" xfId="37" applyNumberFormat="1" applyFont="1" applyFill="1" applyBorder="1" applyAlignment="1" applyProtection="1">
      <alignment horizontal="distributed"/>
      <protection locked="0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9" builtinId="3"/>
    <cellStyle name="Currency" xfId="47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3" xfId="44"/>
    <cellStyle name="Normal 4" xfId="45"/>
    <cellStyle name="Normal_01 AGILITY_MSF 2014 Rates Form - Road Transport Tender Final" xfId="37"/>
    <cellStyle name="Note" xfId="38" builtinId="10" customBuiltin="1"/>
    <cellStyle name="Output" xfId="39" builtinId="21" customBuiltin="1"/>
    <cellStyle name="Percent" xfId="48" builtinId="5"/>
    <cellStyle name="Percent 2" xfId="46"/>
    <cellStyle name="Title" xfId="40" builtinId="15" customBuiltin="1"/>
    <cellStyle name="Total" xfId="41" builtinId="25" customBuiltin="1"/>
    <cellStyle name="Warning Text" xfId="42" builtinId="11" customBuiltin="1"/>
  </cellStyles>
  <dxfs count="91">
    <dxf>
      <fill>
        <patternFill>
          <bgColor theme="8" tint="0.39994506668294322"/>
        </patternFill>
      </fill>
    </dxf>
    <dxf>
      <fill>
        <patternFill>
          <bgColor rgb="FF66FF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C99"/>
        </patternFill>
      </fill>
    </dxf>
    <dxf>
      <fill>
        <patternFill>
          <bgColor theme="8" tint="0.39994506668294322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C99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FFF99"/>
      <color rgb="FF00FF00"/>
      <color rgb="FFFF00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95250</xdr:rowOff>
    </xdr:from>
    <xdr:to>
      <xdr:col>1</xdr:col>
      <xdr:colOff>247649</xdr:colOff>
      <xdr:row>1</xdr:row>
      <xdr:rowOff>9525</xdr:rowOff>
    </xdr:to>
    <xdr:pic>
      <xdr:nvPicPr>
        <xdr:cNvPr id="2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95250"/>
          <a:ext cx="657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workbookViewId="0">
      <selection sqref="A1:J1"/>
    </sheetView>
  </sheetViews>
  <sheetFormatPr defaultColWidth="0" defaultRowHeight="11.25" customHeight="1" zeroHeight="1" x14ac:dyDescent="0.25"/>
  <cols>
    <col min="1" max="1" width="7.453125" style="1" customWidth="1"/>
    <col min="2" max="9" width="9.1796875" style="1" customWidth="1"/>
    <col min="10" max="10" width="38.453125" style="1" customWidth="1"/>
    <col min="11" max="16384" width="9.1796875" style="1" hidden="1"/>
  </cols>
  <sheetData>
    <row r="1" spans="1:10" ht="30" customHeight="1" x14ac:dyDescent="0.25">
      <c r="A1" s="375" t="s">
        <v>31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ht="12.5" x14ac:dyDescent="0.25">
      <c r="A2" s="376" t="s">
        <v>58</v>
      </c>
      <c r="B2" s="376"/>
      <c r="C2" s="376"/>
      <c r="D2" s="376"/>
      <c r="E2" s="376"/>
      <c r="F2" s="376"/>
      <c r="G2" s="376"/>
      <c r="H2" s="376"/>
      <c r="I2" s="376"/>
      <c r="J2" s="376"/>
    </row>
    <row r="3" spans="1:10" ht="11.25" customHeight="1" x14ac:dyDescent="0.25">
      <c r="A3" s="2"/>
    </row>
    <row r="4" spans="1:10" ht="15.75" customHeight="1" x14ac:dyDescent="0.25">
      <c r="A4" s="373" t="s">
        <v>28</v>
      </c>
      <c r="B4" s="373"/>
      <c r="C4" s="373"/>
      <c r="D4" s="373"/>
      <c r="E4" s="373"/>
      <c r="F4" s="373"/>
      <c r="G4" s="373"/>
      <c r="H4" s="373"/>
      <c r="I4" s="373"/>
      <c r="J4" s="373"/>
    </row>
    <row r="5" spans="1:10" ht="11.25" customHeight="1" x14ac:dyDescent="0.25">
      <c r="A5" s="2"/>
    </row>
    <row r="6" spans="1:10" ht="11.25" customHeight="1" x14ac:dyDescent="0.25">
      <c r="A6" s="374" t="s">
        <v>27</v>
      </c>
      <c r="B6" s="374"/>
      <c r="C6" s="374"/>
      <c r="D6" s="374"/>
      <c r="E6" s="374"/>
      <c r="F6" s="374"/>
      <c r="G6" s="374"/>
      <c r="H6" s="374"/>
      <c r="I6" s="374"/>
      <c r="J6" s="374"/>
    </row>
    <row r="7" spans="1:10" ht="11.25" customHeight="1" x14ac:dyDescent="0.25">
      <c r="A7" s="3"/>
    </row>
    <row r="8" spans="1:10" ht="15.75" customHeight="1" x14ac:dyDescent="0.25">
      <c r="A8" s="373" t="s">
        <v>29</v>
      </c>
      <c r="B8" s="373"/>
      <c r="C8" s="373"/>
      <c r="D8" s="373"/>
      <c r="E8" s="373"/>
      <c r="F8" s="373"/>
      <c r="G8" s="373"/>
      <c r="H8" s="373"/>
      <c r="I8" s="373"/>
      <c r="J8" s="373"/>
    </row>
    <row r="9" spans="1:10" ht="12.5" x14ac:dyDescent="0.25">
      <c r="A9" s="3" t="s">
        <v>30</v>
      </c>
    </row>
    <row r="10" spans="1:10" ht="11.25" customHeight="1" x14ac:dyDescent="0.25">
      <c r="A10" s="3"/>
    </row>
    <row r="11" spans="1:10" ht="11.25" customHeight="1" x14ac:dyDescent="0.3">
      <c r="A11" s="6" t="s">
        <v>24</v>
      </c>
      <c r="B11" s="6" t="s">
        <v>26</v>
      </c>
    </row>
    <row r="12" spans="1:10" ht="11.25" customHeight="1" x14ac:dyDescent="0.3">
      <c r="A12" s="7" t="s">
        <v>25</v>
      </c>
      <c r="B12" s="7" t="s">
        <v>59</v>
      </c>
    </row>
    <row r="13" spans="1:10" ht="11.25" customHeight="1" x14ac:dyDescent="0.25"/>
    <row r="14" spans="1:10" ht="11.25" customHeight="1" x14ac:dyDescent="0.25">
      <c r="A14" s="5" t="s">
        <v>32</v>
      </c>
      <c r="B14" s="4" t="s">
        <v>60</v>
      </c>
      <c r="E14" s="4" t="s">
        <v>43</v>
      </c>
    </row>
    <row r="15" spans="1:10" ht="11.25" customHeight="1" x14ac:dyDescent="0.25">
      <c r="A15" s="5" t="s">
        <v>32</v>
      </c>
      <c r="B15" s="4" t="s">
        <v>61</v>
      </c>
      <c r="E15" s="4" t="s">
        <v>44</v>
      </c>
    </row>
    <row r="16" spans="1:10" ht="11.25" customHeight="1" x14ac:dyDescent="0.25"/>
    <row r="17" spans="1:10" ht="15" customHeight="1" x14ac:dyDescent="0.25">
      <c r="A17" s="373" t="s">
        <v>41</v>
      </c>
      <c r="B17" s="373"/>
      <c r="C17" s="373"/>
      <c r="D17" s="373"/>
      <c r="E17" s="373"/>
      <c r="F17" s="373"/>
      <c r="G17" s="373"/>
      <c r="H17" s="373"/>
      <c r="I17" s="373"/>
      <c r="J17" s="373"/>
    </row>
    <row r="18" spans="1:10" ht="11.25" customHeight="1" x14ac:dyDescent="0.25"/>
    <row r="19" spans="1:10" ht="11.25" customHeight="1" x14ac:dyDescent="0.25">
      <c r="A19" s="4" t="s">
        <v>45</v>
      </c>
    </row>
    <row r="20" spans="1:10" ht="11.25" customHeight="1" x14ac:dyDescent="0.25">
      <c r="A20" s="4" t="s">
        <v>46</v>
      </c>
    </row>
    <row r="21" spans="1:10" ht="11.25" customHeight="1" x14ac:dyDescent="0.3">
      <c r="A21" s="4" t="s">
        <v>86</v>
      </c>
    </row>
    <row r="22" spans="1:10" ht="11.25" customHeight="1" x14ac:dyDescent="0.25">
      <c r="A22" s="10" t="s">
        <v>87</v>
      </c>
      <c r="B22" s="9"/>
      <c r="C22" s="9"/>
      <c r="D22" s="9"/>
      <c r="E22" s="9"/>
      <c r="F22" s="9"/>
      <c r="G22" s="9"/>
      <c r="H22" s="9"/>
      <c r="I22" s="9"/>
      <c r="J22" s="9"/>
    </row>
    <row r="23" spans="1:10" ht="30.75" customHeight="1" x14ac:dyDescent="0.25">
      <c r="A23" s="11" t="s">
        <v>55</v>
      </c>
      <c r="B23" s="9"/>
      <c r="C23" s="9"/>
      <c r="D23" s="9"/>
      <c r="E23" s="9"/>
      <c r="F23" s="9"/>
      <c r="G23" s="9"/>
      <c r="H23" s="9"/>
      <c r="I23" s="9"/>
      <c r="J23" s="9"/>
    </row>
    <row r="24" spans="1:10" ht="11.25" customHeight="1" x14ac:dyDescent="0.25">
      <c r="A24" s="4"/>
    </row>
    <row r="25" spans="1:10" ht="11.25" customHeight="1" x14ac:dyDescent="0.25">
      <c r="A25" s="4" t="s">
        <v>42</v>
      </c>
    </row>
    <row r="26" spans="1:10" ht="11.25" customHeight="1" x14ac:dyDescent="0.25"/>
    <row r="27" spans="1:10" ht="11.25" customHeight="1" x14ac:dyDescent="0.25">
      <c r="A27" s="8" t="s">
        <v>51</v>
      </c>
    </row>
    <row r="28" spans="1:10" ht="11.25" customHeight="1" x14ac:dyDescent="0.25">
      <c r="A28" s="8" t="s">
        <v>50</v>
      </c>
    </row>
    <row r="29" spans="1:10" ht="11.25" customHeight="1" x14ac:dyDescent="0.25">
      <c r="A29" s="8" t="s">
        <v>47</v>
      </c>
    </row>
    <row r="30" spans="1:10" ht="11.25" customHeight="1" x14ac:dyDescent="0.25">
      <c r="A30" s="8" t="s">
        <v>48</v>
      </c>
    </row>
    <row r="31" spans="1:10" ht="11.25" customHeight="1" x14ac:dyDescent="0.25">
      <c r="A31" s="8" t="s">
        <v>49</v>
      </c>
    </row>
    <row r="32" spans="1:10" ht="11.25" customHeight="1" x14ac:dyDescent="0.25">
      <c r="A32" s="8" t="s">
        <v>52</v>
      </c>
    </row>
    <row r="33" ht="11.25" customHeight="1" x14ac:dyDescent="0.25"/>
  </sheetData>
  <mergeCells count="6">
    <mergeCell ref="A17:J17"/>
    <mergeCell ref="A6:J6"/>
    <mergeCell ref="A4:J4"/>
    <mergeCell ref="A1:J1"/>
    <mergeCell ref="A8:J8"/>
    <mergeCell ref="A2:J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showGridLines="0" zoomScale="85" zoomScaleNormal="85" workbookViewId="0">
      <pane xSplit="10" ySplit="2" topLeftCell="K26" activePane="bottomRight" state="frozen"/>
      <selection activeCell="B1" sqref="B1"/>
      <selection pane="topRight" activeCell="K1" sqref="K1"/>
      <selection pane="bottomLeft" activeCell="B3" sqref="B3"/>
      <selection pane="bottomRight" activeCell="P26" sqref="P26"/>
    </sheetView>
  </sheetViews>
  <sheetFormatPr defaultColWidth="18.54296875" defaultRowHeight="13" x14ac:dyDescent="0.3"/>
  <cols>
    <col min="1" max="1" width="9.26953125" style="29" bestFit="1" customWidth="1"/>
    <col min="2" max="2" width="12.7265625" style="29" bestFit="1" customWidth="1"/>
    <col min="3" max="3" width="14.26953125" style="29" customWidth="1"/>
    <col min="4" max="4" width="13.26953125" style="29" customWidth="1"/>
    <col min="5" max="5" width="12.453125" style="62" customWidth="1"/>
    <col min="6" max="6" width="12.54296875" style="69" hidden="1" customWidth="1"/>
    <col min="7" max="8" width="14.1796875" style="65" hidden="1" customWidth="1"/>
    <col min="9" max="9" width="2.54296875" style="65" hidden="1" customWidth="1"/>
    <col min="10" max="10" width="10.26953125" style="56" hidden="1" customWidth="1"/>
    <col min="11" max="11" width="16.1796875" style="29" customWidth="1"/>
    <col min="12" max="12" width="17" style="56" customWidth="1"/>
    <col min="13" max="13" width="7.26953125" style="56" customWidth="1"/>
    <col min="14" max="14" width="12.81640625" style="56" customWidth="1"/>
    <col min="15" max="15" width="3.26953125" style="56" customWidth="1"/>
    <col min="16" max="16" width="11.81640625" style="56" customWidth="1"/>
    <col min="17" max="17" width="3.7265625" style="57" hidden="1" customWidth="1"/>
    <col min="18" max="18" width="20.7265625" style="29" hidden="1" customWidth="1"/>
    <col min="19" max="19" width="14.1796875" style="29" hidden="1" customWidth="1"/>
    <col min="20" max="20" width="4.81640625" style="29" hidden="1" customWidth="1"/>
    <col min="21" max="22" width="18.54296875" style="29" hidden="1" customWidth="1"/>
    <col min="23" max="23" width="12.7265625" style="29" hidden="1" customWidth="1"/>
    <col min="24" max="24" width="3.26953125" style="29" hidden="1" customWidth="1"/>
    <col min="25" max="25" width="15.7265625" style="29" customWidth="1"/>
    <col min="26" max="26" width="11" style="29" customWidth="1"/>
    <col min="27" max="27" width="11.7265625" style="29" customWidth="1"/>
    <col min="28" max="28" width="2.453125" style="29" customWidth="1"/>
    <col min="29" max="29" width="18.1796875" style="29" customWidth="1"/>
    <col min="30" max="30" width="9.7265625" style="29" customWidth="1"/>
    <col min="31" max="32" width="11.7265625" style="29" customWidth="1"/>
    <col min="33" max="33" width="3.453125" style="29" customWidth="1"/>
    <col min="34" max="34" width="11.54296875" style="29" customWidth="1"/>
    <col min="35" max="45" width="18.54296875" style="29" customWidth="1"/>
    <col min="46" max="16384" width="18.54296875" style="29"/>
  </cols>
  <sheetData>
    <row r="1" spans="1:34" s="15" customFormat="1" ht="39" customHeight="1" thickBot="1" x14ac:dyDescent="0.3">
      <c r="A1" s="388" t="s">
        <v>98</v>
      </c>
      <c r="B1" s="388"/>
      <c r="C1" s="388"/>
      <c r="D1" s="388"/>
      <c r="E1" s="16"/>
      <c r="F1" s="389" t="s">
        <v>108</v>
      </c>
      <c r="G1" s="390"/>
      <c r="H1" s="391"/>
      <c r="I1" s="17"/>
      <c r="J1" s="18"/>
      <c r="K1" s="389" t="s">
        <v>109</v>
      </c>
      <c r="L1" s="390"/>
      <c r="M1" s="390"/>
      <c r="N1" s="391"/>
      <c r="O1" s="19"/>
      <c r="Q1" s="20"/>
      <c r="R1" s="392" t="s">
        <v>105</v>
      </c>
      <c r="S1" s="393"/>
      <c r="T1" s="17"/>
      <c r="U1" s="18"/>
      <c r="V1" s="392" t="s">
        <v>106</v>
      </c>
      <c r="W1" s="393"/>
      <c r="X1" s="74"/>
      <c r="Z1" s="385" t="s">
        <v>107</v>
      </c>
      <c r="AA1" s="387"/>
      <c r="AB1" s="17"/>
      <c r="AC1" s="75">
        <v>200</v>
      </c>
      <c r="AD1" s="385" t="s">
        <v>110</v>
      </c>
      <c r="AE1" s="386"/>
      <c r="AF1" s="387"/>
    </row>
    <row r="2" spans="1:34" s="15" customFormat="1" ht="39.5" thickBot="1" x14ac:dyDescent="0.3">
      <c r="A2" s="21" t="s">
        <v>0</v>
      </c>
      <c r="B2" s="22" t="s">
        <v>1</v>
      </c>
      <c r="C2" s="22" t="s">
        <v>2</v>
      </c>
      <c r="D2" s="23" t="s">
        <v>3</v>
      </c>
      <c r="E2" s="24" t="s">
        <v>4</v>
      </c>
      <c r="F2" s="147" t="s">
        <v>96</v>
      </c>
      <c r="G2" s="246" t="s">
        <v>97</v>
      </c>
      <c r="H2" s="148" t="s">
        <v>134</v>
      </c>
      <c r="I2" s="27"/>
      <c r="J2" s="28" t="s">
        <v>4</v>
      </c>
      <c r="K2" s="147" t="s">
        <v>96</v>
      </c>
      <c r="L2" s="246" t="s">
        <v>97</v>
      </c>
      <c r="M2" s="275" t="s">
        <v>140</v>
      </c>
      <c r="N2" s="148" t="s">
        <v>134</v>
      </c>
      <c r="O2" s="27"/>
      <c r="P2" s="206" t="s">
        <v>130</v>
      </c>
      <c r="Q2" s="27"/>
      <c r="R2" s="25" t="s">
        <v>96</v>
      </c>
      <c r="S2" s="26" t="s">
        <v>97</v>
      </c>
      <c r="T2" s="27"/>
      <c r="U2" s="28" t="s">
        <v>4</v>
      </c>
      <c r="V2" s="25" t="s">
        <v>96</v>
      </c>
      <c r="W2" s="26" t="s">
        <v>97</v>
      </c>
      <c r="X2" s="27"/>
      <c r="Y2" s="24" t="s">
        <v>4</v>
      </c>
      <c r="Z2" s="25" t="s">
        <v>96</v>
      </c>
      <c r="AA2" s="26" t="s">
        <v>97</v>
      </c>
      <c r="AB2" s="27"/>
      <c r="AC2" s="28" t="s">
        <v>4</v>
      </c>
      <c r="AD2" s="25" t="s">
        <v>132</v>
      </c>
      <c r="AE2" s="208" t="s">
        <v>97</v>
      </c>
      <c r="AF2" s="26" t="s">
        <v>134</v>
      </c>
      <c r="AH2" s="206" t="s">
        <v>130</v>
      </c>
    </row>
    <row r="3" spans="1:34" ht="12" customHeight="1" x14ac:dyDescent="0.3">
      <c r="A3" s="30" t="s">
        <v>91</v>
      </c>
      <c r="B3" s="31" t="s">
        <v>7</v>
      </c>
      <c r="C3" s="31" t="s">
        <v>70</v>
      </c>
      <c r="D3" s="32" t="s">
        <v>71</v>
      </c>
      <c r="E3" s="377" t="s">
        <v>78</v>
      </c>
      <c r="F3" s="243">
        <v>5000</v>
      </c>
      <c r="G3" s="244">
        <v>8</v>
      </c>
      <c r="H3" s="245">
        <v>200</v>
      </c>
      <c r="I3" s="35"/>
      <c r="J3" s="377" t="s">
        <v>102</v>
      </c>
      <c r="K3" s="243">
        <v>3800</v>
      </c>
      <c r="L3" s="244">
        <v>8</v>
      </c>
      <c r="M3" s="276">
        <v>1</v>
      </c>
      <c r="N3" s="245">
        <v>185</v>
      </c>
      <c r="O3" s="35"/>
      <c r="P3" s="169">
        <f>(K3-F3)/F3</f>
        <v>-0.24</v>
      </c>
      <c r="Q3" s="37"/>
      <c r="R3" s="33"/>
      <c r="S3" s="34"/>
      <c r="T3" s="35"/>
      <c r="U3" s="377" t="s">
        <v>102</v>
      </c>
      <c r="V3" s="33"/>
      <c r="W3" s="34"/>
      <c r="X3" s="35"/>
      <c r="Y3" s="377" t="s">
        <v>111</v>
      </c>
      <c r="Z3" s="68">
        <v>5700</v>
      </c>
      <c r="AA3" s="34">
        <v>4</v>
      </c>
      <c r="AB3" s="35"/>
      <c r="AC3" s="377" t="s">
        <v>139</v>
      </c>
      <c r="AD3" s="33">
        <f>(4800)+AC1</f>
        <v>5000</v>
      </c>
      <c r="AE3" s="209">
        <v>7</v>
      </c>
      <c r="AF3" s="34">
        <v>200</v>
      </c>
      <c r="AH3" s="173">
        <f>(AD3-5250)/5250</f>
        <v>-4.7619047619047616E-2</v>
      </c>
    </row>
    <row r="4" spans="1:34" ht="12" customHeight="1" x14ac:dyDescent="0.3">
      <c r="A4" s="39" t="s">
        <v>91</v>
      </c>
      <c r="B4" s="268" t="s">
        <v>7</v>
      </c>
      <c r="C4" s="268" t="s">
        <v>21</v>
      </c>
      <c r="D4" s="269" t="s">
        <v>23</v>
      </c>
      <c r="E4" s="378"/>
      <c r="F4" s="33">
        <v>4500</v>
      </c>
      <c r="G4" s="217">
        <v>7</v>
      </c>
      <c r="H4" s="34">
        <v>200</v>
      </c>
      <c r="I4" s="35"/>
      <c r="J4" s="378"/>
      <c r="K4" s="33">
        <v>4000</v>
      </c>
      <c r="L4" s="217">
        <v>7</v>
      </c>
      <c r="M4" s="209">
        <v>1</v>
      </c>
      <c r="N4" s="34">
        <v>185</v>
      </c>
      <c r="O4" s="35"/>
      <c r="P4" s="171">
        <f>(K4-F4)/F4</f>
        <v>-0.1111111111111111</v>
      </c>
      <c r="Q4" s="37"/>
      <c r="R4" s="33"/>
      <c r="S4" s="34"/>
      <c r="T4" s="35"/>
      <c r="U4" s="378"/>
      <c r="V4" s="33"/>
      <c r="W4" s="34"/>
      <c r="X4" s="35"/>
      <c r="Y4" s="378"/>
      <c r="Z4" s="68">
        <v>5450</v>
      </c>
      <c r="AA4" s="34" t="s">
        <v>82</v>
      </c>
      <c r="AB4" s="35"/>
      <c r="AC4" s="378"/>
      <c r="AD4" s="33">
        <f>4900+AC1</f>
        <v>5100</v>
      </c>
      <c r="AE4" s="209">
        <v>6</v>
      </c>
      <c r="AF4" s="34">
        <v>200</v>
      </c>
      <c r="AH4" s="175">
        <f>(AD4-5250)/5250</f>
        <v>-2.8571428571428571E-2</v>
      </c>
    </row>
    <row r="5" spans="1:34" x14ac:dyDescent="0.3">
      <c r="A5" s="39" t="s">
        <v>91</v>
      </c>
      <c r="B5" s="268" t="s">
        <v>7</v>
      </c>
      <c r="C5" s="268" t="s">
        <v>21</v>
      </c>
      <c r="D5" s="269" t="s">
        <v>72</v>
      </c>
      <c r="E5" s="378"/>
      <c r="F5" s="33">
        <v>8100</v>
      </c>
      <c r="G5" s="217">
        <v>14</v>
      </c>
      <c r="H5" s="34">
        <v>200</v>
      </c>
      <c r="I5" s="35"/>
      <c r="J5" s="378"/>
      <c r="K5" s="33">
        <v>6900</v>
      </c>
      <c r="L5" s="217">
        <v>14</v>
      </c>
      <c r="M5" s="209">
        <v>1</v>
      </c>
      <c r="N5" s="34">
        <v>185</v>
      </c>
      <c r="O5" s="35"/>
      <c r="P5" s="171">
        <f>(K5-F5)/F5</f>
        <v>-0.14814814814814814</v>
      </c>
      <c r="Q5" s="37"/>
      <c r="R5" s="33"/>
      <c r="S5" s="34"/>
      <c r="T5" s="35"/>
      <c r="U5" s="378"/>
      <c r="V5" s="33"/>
      <c r="W5" s="34"/>
      <c r="X5" s="35"/>
      <c r="Y5" s="378"/>
      <c r="Z5" s="33" t="s">
        <v>95</v>
      </c>
      <c r="AA5" s="34" t="s">
        <v>95</v>
      </c>
      <c r="AB5" s="35"/>
      <c r="AC5" s="378"/>
      <c r="AD5" s="33" t="s">
        <v>95</v>
      </c>
      <c r="AE5" s="209" t="s">
        <v>95</v>
      </c>
      <c r="AF5" s="34"/>
      <c r="AH5" s="202"/>
    </row>
    <row r="6" spans="1:34" ht="12" customHeight="1" x14ac:dyDescent="0.3">
      <c r="A6" s="277" t="s">
        <v>91</v>
      </c>
      <c r="B6" s="268" t="s">
        <v>7</v>
      </c>
      <c r="C6" s="268" t="s">
        <v>21</v>
      </c>
      <c r="D6" s="269" t="s">
        <v>22</v>
      </c>
      <c r="E6" s="378"/>
      <c r="F6" s="33">
        <v>4400</v>
      </c>
      <c r="G6" s="217">
        <v>7</v>
      </c>
      <c r="H6" s="34">
        <v>200</v>
      </c>
      <c r="I6" s="35"/>
      <c r="J6" s="378"/>
      <c r="K6" s="33">
        <v>4100</v>
      </c>
      <c r="L6" s="217">
        <v>7</v>
      </c>
      <c r="M6" s="209">
        <v>1</v>
      </c>
      <c r="N6" s="34">
        <v>185</v>
      </c>
      <c r="O6" s="35"/>
      <c r="P6" s="171">
        <f>(K6-F6)/F6</f>
        <v>-6.8181818181818177E-2</v>
      </c>
      <c r="Q6" s="37"/>
      <c r="R6" s="33"/>
      <c r="S6" s="34"/>
      <c r="T6" s="35"/>
      <c r="U6" s="378"/>
      <c r="V6" s="33"/>
      <c r="W6" s="34"/>
      <c r="X6" s="35"/>
      <c r="Y6" s="378"/>
      <c r="Z6" s="68">
        <v>4950</v>
      </c>
      <c r="AA6" s="34" t="s">
        <v>82</v>
      </c>
      <c r="AB6" s="35"/>
      <c r="AC6" s="378"/>
      <c r="AD6" s="33">
        <f>4500+AC1</f>
        <v>4700</v>
      </c>
      <c r="AE6" s="209">
        <v>5</v>
      </c>
      <c r="AF6" s="34">
        <v>200</v>
      </c>
      <c r="AH6" s="175">
        <f>(AD6-4750)/4750</f>
        <v>-1.0526315789473684E-2</v>
      </c>
    </row>
    <row r="7" spans="1:34" ht="12" customHeight="1" x14ac:dyDescent="0.3">
      <c r="A7" s="277" t="s">
        <v>91</v>
      </c>
      <c r="B7" s="268" t="s">
        <v>7</v>
      </c>
      <c r="C7" s="268" t="s">
        <v>21</v>
      </c>
      <c r="D7" s="269" t="s">
        <v>92</v>
      </c>
      <c r="E7" s="378"/>
      <c r="F7" s="33"/>
      <c r="G7" s="217"/>
      <c r="H7" s="34"/>
      <c r="I7" s="35"/>
      <c r="J7" s="378"/>
      <c r="K7" s="33">
        <v>3500</v>
      </c>
      <c r="L7" s="217">
        <v>5</v>
      </c>
      <c r="M7" s="209">
        <v>1</v>
      </c>
      <c r="N7" s="34">
        <v>185</v>
      </c>
      <c r="O7" s="35"/>
      <c r="P7" s="170"/>
      <c r="Q7" s="37"/>
      <c r="R7" s="33"/>
      <c r="S7" s="34"/>
      <c r="T7" s="35"/>
      <c r="U7" s="378"/>
      <c r="V7" s="33"/>
      <c r="W7" s="34"/>
      <c r="X7" s="35"/>
      <c r="Y7" s="378"/>
      <c r="Z7" s="33"/>
      <c r="AA7" s="34"/>
      <c r="AB7" s="35"/>
      <c r="AC7" s="378"/>
      <c r="AD7" s="33">
        <f>4500+AC1</f>
        <v>4700</v>
      </c>
      <c r="AE7" s="209">
        <v>5</v>
      </c>
      <c r="AF7" s="34">
        <v>200</v>
      </c>
      <c r="AH7" s="202"/>
    </row>
    <row r="8" spans="1:34" s="42" customFormat="1" ht="12" customHeight="1" x14ac:dyDescent="0.3">
      <c r="A8" s="277" t="s">
        <v>91</v>
      </c>
      <c r="B8" s="268" t="s">
        <v>7</v>
      </c>
      <c r="C8" s="268" t="s">
        <v>93</v>
      </c>
      <c r="D8" s="269" t="s">
        <v>94</v>
      </c>
      <c r="E8" s="378"/>
      <c r="F8" s="33"/>
      <c r="G8" s="217"/>
      <c r="H8" s="34"/>
      <c r="I8" s="35"/>
      <c r="J8" s="378"/>
      <c r="K8" s="33">
        <v>6000</v>
      </c>
      <c r="L8" s="217">
        <v>6</v>
      </c>
      <c r="M8" s="209">
        <v>1</v>
      </c>
      <c r="N8" s="34">
        <v>185</v>
      </c>
      <c r="O8" s="35"/>
      <c r="P8" s="170"/>
      <c r="Q8" s="37"/>
      <c r="R8" s="33"/>
      <c r="S8" s="34"/>
      <c r="T8" s="35"/>
      <c r="U8" s="378"/>
      <c r="V8" s="33"/>
      <c r="W8" s="34"/>
      <c r="X8" s="35"/>
      <c r="Y8" s="378"/>
      <c r="Z8" s="33"/>
      <c r="AA8" s="34"/>
      <c r="AB8" s="35"/>
      <c r="AC8" s="378"/>
      <c r="AD8" s="33">
        <f>9500+AC1</f>
        <v>9700</v>
      </c>
      <c r="AE8" s="209">
        <v>8</v>
      </c>
      <c r="AF8" s="34">
        <v>200</v>
      </c>
      <c r="AH8" s="203"/>
    </row>
    <row r="9" spans="1:34" s="42" customFormat="1" ht="12" customHeight="1" x14ac:dyDescent="0.3">
      <c r="A9" s="277" t="s">
        <v>91</v>
      </c>
      <c r="B9" s="268" t="s">
        <v>7</v>
      </c>
      <c r="C9" s="268" t="s">
        <v>19</v>
      </c>
      <c r="D9" s="269" t="s">
        <v>20</v>
      </c>
      <c r="E9" s="378"/>
      <c r="F9" s="33">
        <v>1700</v>
      </c>
      <c r="G9" s="217">
        <v>2</v>
      </c>
      <c r="H9" s="34">
        <v>200</v>
      </c>
      <c r="I9" s="35"/>
      <c r="J9" s="378"/>
      <c r="K9" s="33">
        <v>1490</v>
      </c>
      <c r="L9" s="217">
        <v>3</v>
      </c>
      <c r="M9" s="209">
        <v>1</v>
      </c>
      <c r="N9" s="34">
        <v>185</v>
      </c>
      <c r="O9" s="35"/>
      <c r="P9" s="171">
        <f>(K9-F9)/F9</f>
        <v>-0.12352941176470589</v>
      </c>
      <c r="Q9" s="37"/>
      <c r="R9" s="33"/>
      <c r="S9" s="34"/>
      <c r="T9" s="35"/>
      <c r="U9" s="378"/>
      <c r="V9" s="33"/>
      <c r="W9" s="34"/>
      <c r="X9" s="35"/>
      <c r="Y9" s="378"/>
      <c r="Z9" s="68">
        <v>1850</v>
      </c>
      <c r="AA9" s="34">
        <v>2</v>
      </c>
      <c r="AB9" s="35"/>
      <c r="AC9" s="378"/>
      <c r="AD9" s="33">
        <f>1650+AC1</f>
        <v>1850</v>
      </c>
      <c r="AE9" s="209">
        <v>2</v>
      </c>
      <c r="AF9" s="34">
        <v>200</v>
      </c>
      <c r="AH9" s="211">
        <f>(AD9-1950)/AD9</f>
        <v>-5.4054054054054057E-2</v>
      </c>
    </row>
    <row r="10" spans="1:34" s="42" customFormat="1" ht="12" customHeight="1" x14ac:dyDescent="0.3">
      <c r="A10" s="277" t="s">
        <v>91</v>
      </c>
      <c r="B10" s="268" t="s">
        <v>7</v>
      </c>
      <c r="C10" s="268" t="s">
        <v>17</v>
      </c>
      <c r="D10" s="269" t="s">
        <v>18</v>
      </c>
      <c r="E10" s="378"/>
      <c r="F10" s="33">
        <v>3500</v>
      </c>
      <c r="G10" s="217">
        <v>7</v>
      </c>
      <c r="H10" s="34">
        <v>200</v>
      </c>
      <c r="I10" s="35"/>
      <c r="J10" s="378"/>
      <c r="K10" s="33">
        <v>3000</v>
      </c>
      <c r="L10" s="217">
        <v>7</v>
      </c>
      <c r="M10" s="209">
        <v>1</v>
      </c>
      <c r="N10" s="34">
        <v>185</v>
      </c>
      <c r="O10" s="35"/>
      <c r="P10" s="171">
        <f>(K10-F10)/F10</f>
        <v>-0.14285714285714285</v>
      </c>
      <c r="Q10" s="37"/>
      <c r="R10" s="33"/>
      <c r="S10" s="34"/>
      <c r="T10" s="35"/>
      <c r="U10" s="378"/>
      <c r="V10" s="33"/>
      <c r="W10" s="34"/>
      <c r="X10" s="35"/>
      <c r="Y10" s="378"/>
      <c r="Z10" s="33">
        <v>3750</v>
      </c>
      <c r="AA10" s="34">
        <v>4</v>
      </c>
      <c r="AB10" s="35"/>
      <c r="AC10" s="378"/>
      <c r="AD10" s="33">
        <f>3400+AC1</f>
        <v>3600</v>
      </c>
      <c r="AE10" s="209">
        <v>5</v>
      </c>
      <c r="AF10" s="34">
        <v>200</v>
      </c>
      <c r="AH10" s="211">
        <f>(AD10-Z10)/AD10</f>
        <v>-4.1666666666666664E-2</v>
      </c>
    </row>
    <row r="11" spans="1:34" s="42" customFormat="1" ht="12" customHeight="1" thickBot="1" x14ac:dyDescent="0.35">
      <c r="A11" s="278" t="s">
        <v>91</v>
      </c>
      <c r="B11" s="270" t="s">
        <v>5</v>
      </c>
      <c r="C11" s="270" t="s">
        <v>17</v>
      </c>
      <c r="D11" s="271" t="s">
        <v>18</v>
      </c>
      <c r="E11" s="379"/>
      <c r="F11" s="46">
        <v>3500</v>
      </c>
      <c r="G11" s="218">
        <v>8</v>
      </c>
      <c r="H11" s="47">
        <v>200</v>
      </c>
      <c r="I11" s="35"/>
      <c r="J11" s="379"/>
      <c r="K11" s="46">
        <v>3300</v>
      </c>
      <c r="L11" s="218">
        <v>8</v>
      </c>
      <c r="M11" s="210">
        <v>1</v>
      </c>
      <c r="N11" s="47">
        <v>185</v>
      </c>
      <c r="O11" s="35"/>
      <c r="P11" s="172">
        <f>(K11-F11)/F11</f>
        <v>-5.7142857142857141E-2</v>
      </c>
      <c r="Q11" s="37"/>
      <c r="R11" s="46"/>
      <c r="S11" s="47"/>
      <c r="T11" s="35"/>
      <c r="U11" s="379"/>
      <c r="V11" s="46"/>
      <c r="W11" s="47"/>
      <c r="X11" s="35"/>
      <c r="Y11" s="379"/>
      <c r="Z11" s="46">
        <v>3300</v>
      </c>
      <c r="AA11" s="47">
        <v>5</v>
      </c>
      <c r="AB11" s="35"/>
      <c r="AC11" s="379"/>
      <c r="AD11" s="46">
        <f>3050+AC1</f>
        <v>3250</v>
      </c>
      <c r="AE11" s="210">
        <v>7</v>
      </c>
      <c r="AF11" s="47">
        <v>200</v>
      </c>
      <c r="AH11" s="212">
        <f>(AD11-Z11)/AD11</f>
        <v>-1.5384615384615385E-2</v>
      </c>
    </row>
    <row r="12" spans="1:34" s="42" customFormat="1" ht="12" customHeight="1" thickBot="1" x14ac:dyDescent="0.35">
      <c r="A12" s="272"/>
      <c r="B12" s="272"/>
      <c r="C12" s="272"/>
      <c r="D12" s="272"/>
      <c r="E12" s="49"/>
      <c r="F12" s="50"/>
      <c r="G12" s="35"/>
      <c r="H12" s="35"/>
      <c r="I12" s="35"/>
      <c r="J12" s="49"/>
      <c r="K12" s="50"/>
      <c r="L12" s="35"/>
      <c r="M12" s="35"/>
      <c r="N12" s="35"/>
      <c r="O12" s="35"/>
      <c r="P12" s="36"/>
      <c r="Q12" s="37"/>
      <c r="R12" s="50"/>
      <c r="S12" s="35"/>
      <c r="T12" s="35"/>
      <c r="U12" s="49"/>
      <c r="V12" s="50"/>
      <c r="W12" s="35"/>
      <c r="X12" s="35"/>
      <c r="Z12" s="50"/>
      <c r="AA12" s="35"/>
      <c r="AB12" s="35"/>
      <c r="AC12" s="49"/>
      <c r="AD12" s="50"/>
      <c r="AE12" s="35"/>
      <c r="AF12" s="35"/>
    </row>
    <row r="13" spans="1:34" s="51" customFormat="1" ht="39.5" hidden="1" thickBot="1" x14ac:dyDescent="0.35">
      <c r="A13" s="88"/>
      <c r="B13" s="88"/>
      <c r="C13" s="88"/>
      <c r="D13" s="88"/>
      <c r="E13" s="53"/>
      <c r="F13" s="147" t="s">
        <v>96</v>
      </c>
      <c r="G13" s="246" t="s">
        <v>97</v>
      </c>
      <c r="H13" s="148" t="s">
        <v>134</v>
      </c>
      <c r="I13" s="27"/>
      <c r="J13" s="28" t="s">
        <v>4</v>
      </c>
      <c r="K13" s="147" t="s">
        <v>96</v>
      </c>
      <c r="L13" s="246" t="s">
        <v>97</v>
      </c>
      <c r="M13" s="275" t="s">
        <v>140</v>
      </c>
      <c r="N13" s="148" t="s">
        <v>134</v>
      </c>
      <c r="O13" s="38"/>
      <c r="P13" s="38"/>
      <c r="Q13" s="54"/>
      <c r="R13" s="25" t="s">
        <v>96</v>
      </c>
      <c r="S13" s="26" t="s">
        <v>97</v>
      </c>
      <c r="T13" s="27"/>
      <c r="U13" s="28" t="s">
        <v>4</v>
      </c>
      <c r="V13" s="25" t="s">
        <v>96</v>
      </c>
      <c r="W13" s="26" t="s">
        <v>97</v>
      </c>
      <c r="X13" s="27"/>
      <c r="Y13" s="24" t="s">
        <v>4</v>
      </c>
      <c r="Z13" s="25" t="s">
        <v>96</v>
      </c>
      <c r="AA13" s="26" t="s">
        <v>97</v>
      </c>
      <c r="AB13" s="27"/>
      <c r="AC13" s="28" t="s">
        <v>4</v>
      </c>
      <c r="AD13" s="25" t="s">
        <v>96</v>
      </c>
      <c r="AE13" s="216" t="s">
        <v>97</v>
      </c>
      <c r="AF13" s="213" t="s">
        <v>134</v>
      </c>
      <c r="AH13" s="206" t="s">
        <v>130</v>
      </c>
    </row>
    <row r="14" spans="1:34" ht="12.75" hidden="1" customHeight="1" x14ac:dyDescent="0.3">
      <c r="A14" s="279" t="s">
        <v>91</v>
      </c>
      <c r="B14" s="273" t="s">
        <v>7</v>
      </c>
      <c r="C14" s="273" t="s">
        <v>70</v>
      </c>
      <c r="D14" s="274" t="s">
        <v>71</v>
      </c>
      <c r="E14" s="377" t="s">
        <v>99</v>
      </c>
      <c r="F14" s="243"/>
      <c r="G14" s="244"/>
      <c r="H14" s="245"/>
      <c r="I14" s="29"/>
      <c r="J14" s="377" t="s">
        <v>99</v>
      </c>
      <c r="K14" s="243">
        <v>3800</v>
      </c>
      <c r="L14" s="244">
        <v>8</v>
      </c>
      <c r="M14" s="276">
        <v>1</v>
      </c>
      <c r="N14" s="245">
        <v>185</v>
      </c>
      <c r="R14" s="33"/>
      <c r="S14" s="34"/>
      <c r="U14" s="55"/>
      <c r="V14" s="33"/>
      <c r="W14" s="34"/>
      <c r="X14" s="35"/>
      <c r="Y14" s="377" t="s">
        <v>111</v>
      </c>
      <c r="Z14" s="33">
        <v>5550</v>
      </c>
      <c r="AA14" s="71"/>
      <c r="AC14" s="377" t="s">
        <v>133</v>
      </c>
      <c r="AD14" s="33">
        <f>5200+AC1</f>
        <v>5400</v>
      </c>
      <c r="AE14" s="217">
        <v>7</v>
      </c>
      <c r="AF14" s="214">
        <v>200</v>
      </c>
      <c r="AH14" s="219">
        <f>(AD14-Z14)/AD14</f>
        <v>-2.7777777777777776E-2</v>
      </c>
    </row>
    <row r="15" spans="1:34" hidden="1" x14ac:dyDescent="0.3">
      <c r="A15" s="277" t="s">
        <v>91</v>
      </c>
      <c r="B15" s="268" t="s">
        <v>7</v>
      </c>
      <c r="C15" s="268" t="s">
        <v>21</v>
      </c>
      <c r="D15" s="269" t="s">
        <v>23</v>
      </c>
      <c r="E15" s="378"/>
      <c r="F15" s="33"/>
      <c r="G15" s="217"/>
      <c r="H15" s="34"/>
      <c r="I15" s="35"/>
      <c r="J15" s="378"/>
      <c r="K15" s="33">
        <v>4000</v>
      </c>
      <c r="L15" s="217">
        <v>7</v>
      </c>
      <c r="M15" s="209">
        <v>1</v>
      </c>
      <c r="N15" s="34">
        <v>185</v>
      </c>
      <c r="R15" s="33"/>
      <c r="S15" s="34"/>
      <c r="T15" s="35"/>
      <c r="U15" s="378"/>
      <c r="V15" s="33"/>
      <c r="W15" s="34"/>
      <c r="X15" s="35"/>
      <c r="Y15" s="378"/>
      <c r="Z15" s="68">
        <v>6050</v>
      </c>
      <c r="AA15" s="34" t="s">
        <v>82</v>
      </c>
      <c r="AB15" s="35"/>
      <c r="AC15" s="378"/>
      <c r="AD15" s="33">
        <f>5500+AC1</f>
        <v>5700</v>
      </c>
      <c r="AE15" s="217">
        <v>6</v>
      </c>
      <c r="AF15" s="214">
        <v>200</v>
      </c>
      <c r="AH15" s="211">
        <f>(AD15-5850)/AD15</f>
        <v>-2.6315789473684209E-2</v>
      </c>
    </row>
    <row r="16" spans="1:34" hidden="1" x14ac:dyDescent="0.3">
      <c r="A16" s="277" t="s">
        <v>91</v>
      </c>
      <c r="B16" s="268" t="s">
        <v>7</v>
      </c>
      <c r="C16" s="268" t="s">
        <v>21</v>
      </c>
      <c r="D16" s="269" t="s">
        <v>72</v>
      </c>
      <c r="E16" s="378"/>
      <c r="F16" s="33"/>
      <c r="G16" s="217"/>
      <c r="H16" s="34"/>
      <c r="I16" s="35"/>
      <c r="J16" s="378"/>
      <c r="K16" s="33">
        <v>6900</v>
      </c>
      <c r="L16" s="217">
        <v>14</v>
      </c>
      <c r="M16" s="209">
        <v>1</v>
      </c>
      <c r="N16" s="34">
        <v>185</v>
      </c>
      <c r="R16" s="33"/>
      <c r="S16" s="34"/>
      <c r="T16" s="35"/>
      <c r="U16" s="378"/>
      <c r="V16" s="33"/>
      <c r="W16" s="34"/>
      <c r="X16" s="35"/>
      <c r="Y16" s="378"/>
      <c r="Z16" s="33" t="s">
        <v>95</v>
      </c>
      <c r="AA16" s="34" t="s">
        <v>95</v>
      </c>
      <c r="AB16" s="35"/>
      <c r="AC16" s="378"/>
      <c r="AD16" s="33" t="s">
        <v>95</v>
      </c>
      <c r="AE16" s="217" t="s">
        <v>95</v>
      </c>
      <c r="AF16" s="214"/>
      <c r="AH16" s="201"/>
    </row>
    <row r="17" spans="1:34" hidden="1" x14ac:dyDescent="0.3">
      <c r="A17" s="277" t="s">
        <v>91</v>
      </c>
      <c r="B17" s="268" t="s">
        <v>7</v>
      </c>
      <c r="C17" s="268" t="s">
        <v>21</v>
      </c>
      <c r="D17" s="269" t="s">
        <v>22</v>
      </c>
      <c r="E17" s="378"/>
      <c r="F17" s="33"/>
      <c r="G17" s="217"/>
      <c r="H17" s="34"/>
      <c r="I17" s="35"/>
      <c r="J17" s="378"/>
      <c r="K17" s="33">
        <v>4100</v>
      </c>
      <c r="L17" s="217">
        <v>7</v>
      </c>
      <c r="M17" s="209">
        <v>1</v>
      </c>
      <c r="N17" s="34">
        <v>185</v>
      </c>
      <c r="R17" s="33"/>
      <c r="S17" s="34"/>
      <c r="T17" s="35"/>
      <c r="U17" s="378"/>
      <c r="V17" s="33"/>
      <c r="W17" s="34"/>
      <c r="X17" s="35"/>
      <c r="Y17" s="378"/>
      <c r="Z17" s="68">
        <v>6550</v>
      </c>
      <c r="AA17" s="71"/>
      <c r="AB17" s="35"/>
      <c r="AC17" s="378"/>
      <c r="AD17" s="33">
        <f>6000+AC1</f>
        <v>6200</v>
      </c>
      <c r="AE17" s="217">
        <v>5</v>
      </c>
      <c r="AF17" s="214">
        <v>200</v>
      </c>
      <c r="AH17" s="175">
        <f>(AD17-6350)/6350</f>
        <v>-2.3622047244094488E-2</v>
      </c>
    </row>
    <row r="18" spans="1:34" hidden="1" x14ac:dyDescent="0.3">
      <c r="A18" s="277" t="s">
        <v>91</v>
      </c>
      <c r="B18" s="268" t="s">
        <v>7</v>
      </c>
      <c r="C18" s="268" t="s">
        <v>21</v>
      </c>
      <c r="D18" s="269" t="s">
        <v>92</v>
      </c>
      <c r="E18" s="378"/>
      <c r="F18" s="33"/>
      <c r="G18" s="217"/>
      <c r="H18" s="34"/>
      <c r="I18" s="35"/>
      <c r="J18" s="378"/>
      <c r="K18" s="33">
        <v>3500</v>
      </c>
      <c r="L18" s="217">
        <v>5</v>
      </c>
      <c r="M18" s="209">
        <v>1</v>
      </c>
      <c r="N18" s="34">
        <v>185</v>
      </c>
      <c r="R18" s="33"/>
      <c r="S18" s="34"/>
      <c r="T18" s="35"/>
      <c r="U18" s="378"/>
      <c r="V18" s="33"/>
      <c r="W18" s="34"/>
      <c r="X18" s="35"/>
      <c r="Y18" s="378"/>
      <c r="Z18" s="33"/>
      <c r="AA18" s="34"/>
      <c r="AB18" s="35"/>
      <c r="AC18" s="378"/>
      <c r="AD18" s="33">
        <f>6000+AC1</f>
        <v>6200</v>
      </c>
      <c r="AE18" s="217">
        <v>5</v>
      </c>
      <c r="AF18" s="214">
        <v>200</v>
      </c>
      <c r="AH18" s="202"/>
    </row>
    <row r="19" spans="1:34" hidden="1" x14ac:dyDescent="0.3">
      <c r="A19" s="277" t="s">
        <v>91</v>
      </c>
      <c r="B19" s="268" t="s">
        <v>7</v>
      </c>
      <c r="C19" s="268" t="s">
        <v>93</v>
      </c>
      <c r="D19" s="269" t="s">
        <v>94</v>
      </c>
      <c r="E19" s="378"/>
      <c r="F19" s="33"/>
      <c r="G19" s="217"/>
      <c r="H19" s="34"/>
      <c r="I19" s="35"/>
      <c r="J19" s="378"/>
      <c r="K19" s="33">
        <v>6000</v>
      </c>
      <c r="L19" s="217">
        <v>6</v>
      </c>
      <c r="M19" s="209">
        <v>1</v>
      </c>
      <c r="N19" s="34">
        <v>185</v>
      </c>
      <c r="R19" s="33"/>
      <c r="S19" s="34"/>
      <c r="T19" s="35"/>
      <c r="U19" s="378"/>
      <c r="V19" s="33"/>
      <c r="W19" s="34"/>
      <c r="X19" s="35"/>
      <c r="Y19" s="378"/>
      <c r="Z19" s="33"/>
      <c r="AA19" s="34"/>
      <c r="AB19" s="35"/>
      <c r="AC19" s="378"/>
      <c r="AD19" s="33">
        <f>12000+AC1</f>
        <v>12200</v>
      </c>
      <c r="AE19" s="217">
        <v>8</v>
      </c>
      <c r="AF19" s="214">
        <v>200</v>
      </c>
      <c r="AH19" s="202"/>
    </row>
    <row r="20" spans="1:34" hidden="1" x14ac:dyDescent="0.3">
      <c r="A20" s="277" t="s">
        <v>91</v>
      </c>
      <c r="B20" s="268" t="s">
        <v>7</v>
      </c>
      <c r="C20" s="268" t="s">
        <v>19</v>
      </c>
      <c r="D20" s="269" t="s">
        <v>20</v>
      </c>
      <c r="E20" s="378"/>
      <c r="F20" s="33"/>
      <c r="G20" s="217"/>
      <c r="H20" s="34"/>
      <c r="I20" s="35"/>
      <c r="J20" s="378"/>
      <c r="K20" s="33">
        <v>1490</v>
      </c>
      <c r="L20" s="217">
        <v>3</v>
      </c>
      <c r="M20" s="209">
        <v>1</v>
      </c>
      <c r="N20" s="34">
        <v>185</v>
      </c>
      <c r="R20" s="33"/>
      <c r="S20" s="34"/>
      <c r="T20" s="35"/>
      <c r="U20" s="378"/>
      <c r="V20" s="33"/>
      <c r="W20" s="34"/>
      <c r="X20" s="35"/>
      <c r="Y20" s="378"/>
      <c r="Z20" s="68">
        <v>1850</v>
      </c>
      <c r="AA20" s="34">
        <v>2</v>
      </c>
      <c r="AB20" s="35"/>
      <c r="AC20" s="378"/>
      <c r="AD20" s="33">
        <f>1700+AC1</f>
        <v>1900</v>
      </c>
      <c r="AE20" s="217">
        <v>2</v>
      </c>
      <c r="AF20" s="214">
        <v>200</v>
      </c>
      <c r="AH20" s="175">
        <f>(AD20-1950)/1950</f>
        <v>-2.564102564102564E-2</v>
      </c>
    </row>
    <row r="21" spans="1:34" hidden="1" x14ac:dyDescent="0.3">
      <c r="A21" s="277" t="s">
        <v>91</v>
      </c>
      <c r="B21" s="268" t="s">
        <v>7</v>
      </c>
      <c r="C21" s="268" t="s">
        <v>17</v>
      </c>
      <c r="D21" s="269" t="s">
        <v>18</v>
      </c>
      <c r="E21" s="378"/>
      <c r="F21" s="33"/>
      <c r="G21" s="217"/>
      <c r="H21" s="34"/>
      <c r="I21" s="35"/>
      <c r="J21" s="378"/>
      <c r="K21" s="33">
        <v>3000</v>
      </c>
      <c r="L21" s="217">
        <v>7</v>
      </c>
      <c r="M21" s="209">
        <v>1</v>
      </c>
      <c r="N21" s="34">
        <v>185</v>
      </c>
      <c r="R21" s="58"/>
      <c r="S21" s="59"/>
      <c r="T21" s="35"/>
      <c r="U21" s="378"/>
      <c r="V21" s="33"/>
      <c r="W21" s="34"/>
      <c r="X21" s="35"/>
      <c r="Y21" s="378"/>
      <c r="Z21" s="58">
        <v>5100</v>
      </c>
      <c r="AA21" s="59">
        <v>4</v>
      </c>
      <c r="AB21" s="35"/>
      <c r="AC21" s="378"/>
      <c r="AD21" s="33">
        <f>4800+AC1</f>
        <v>5000</v>
      </c>
      <c r="AE21" s="217">
        <v>5</v>
      </c>
      <c r="AF21" s="214">
        <v>200</v>
      </c>
      <c r="AH21" s="175">
        <f>(AD21-Z21)/Z21</f>
        <v>-1.9607843137254902E-2</v>
      </c>
    </row>
    <row r="22" spans="1:34" ht="13.5" hidden="1" thickBot="1" x14ac:dyDescent="0.35">
      <c r="A22" s="278" t="s">
        <v>91</v>
      </c>
      <c r="B22" s="270" t="s">
        <v>5</v>
      </c>
      <c r="C22" s="270" t="s">
        <v>17</v>
      </c>
      <c r="D22" s="271" t="s">
        <v>18</v>
      </c>
      <c r="E22" s="379"/>
      <c r="F22" s="46"/>
      <c r="G22" s="218"/>
      <c r="H22" s="47"/>
      <c r="I22" s="35"/>
      <c r="J22" s="379"/>
      <c r="K22" s="46">
        <v>3300</v>
      </c>
      <c r="L22" s="218">
        <v>8</v>
      </c>
      <c r="M22" s="210">
        <v>1</v>
      </c>
      <c r="N22" s="47">
        <v>185</v>
      </c>
      <c r="R22" s="60"/>
      <c r="S22" s="47"/>
      <c r="T22" s="35"/>
      <c r="U22" s="379"/>
      <c r="V22" s="46"/>
      <c r="W22" s="47"/>
      <c r="X22" s="35"/>
      <c r="Y22" s="379"/>
      <c r="Z22" s="60">
        <v>5700</v>
      </c>
      <c r="AA22" s="47">
        <v>5</v>
      </c>
      <c r="AB22" s="35"/>
      <c r="AC22" s="379"/>
      <c r="AD22" s="46">
        <f>5400+AC1</f>
        <v>5600</v>
      </c>
      <c r="AE22" s="218">
        <v>7</v>
      </c>
      <c r="AF22" s="215">
        <v>200</v>
      </c>
      <c r="AH22" s="176">
        <f>(AD22-Z22)/Z22</f>
        <v>-1.7543859649122806E-2</v>
      </c>
    </row>
    <row r="23" spans="1:34" ht="39.5" thickBot="1" x14ac:dyDescent="0.35">
      <c r="A23" s="21" t="s">
        <v>0</v>
      </c>
      <c r="B23" s="22" t="s">
        <v>1</v>
      </c>
      <c r="C23" s="22" t="s">
        <v>2</v>
      </c>
      <c r="D23" s="23" t="s">
        <v>3</v>
      </c>
      <c r="E23" s="24" t="s">
        <v>4</v>
      </c>
      <c r="F23" s="147" t="s">
        <v>96</v>
      </c>
      <c r="G23" s="246" t="s">
        <v>97</v>
      </c>
      <c r="H23" s="148" t="s">
        <v>134</v>
      </c>
      <c r="J23" s="28" t="s">
        <v>4</v>
      </c>
      <c r="K23" s="147" t="s">
        <v>96</v>
      </c>
      <c r="L23" s="246" t="s">
        <v>97</v>
      </c>
      <c r="M23" s="275" t="s">
        <v>140</v>
      </c>
      <c r="N23" s="148" t="s">
        <v>134</v>
      </c>
      <c r="R23" s="63" t="s">
        <v>96</v>
      </c>
      <c r="S23" s="64" t="s">
        <v>97</v>
      </c>
      <c r="T23" s="65"/>
      <c r="U23" s="28" t="s">
        <v>4</v>
      </c>
      <c r="V23" s="25" t="s">
        <v>96</v>
      </c>
      <c r="W23" s="26" t="s">
        <v>97</v>
      </c>
      <c r="X23" s="27"/>
      <c r="Y23" s="24" t="s">
        <v>4</v>
      </c>
      <c r="Z23" s="63" t="s">
        <v>96</v>
      </c>
      <c r="AA23" s="64" t="s">
        <v>97</v>
      </c>
      <c r="AB23" s="65"/>
      <c r="AC23" s="220" t="s">
        <v>4</v>
      </c>
      <c r="AD23" s="221" t="s">
        <v>96</v>
      </c>
      <c r="AE23" s="216" t="s">
        <v>97</v>
      </c>
      <c r="AF23" s="26" t="s">
        <v>134</v>
      </c>
      <c r="AH23" s="206" t="s">
        <v>130</v>
      </c>
    </row>
    <row r="24" spans="1:34" x14ac:dyDescent="0.3">
      <c r="A24" s="279" t="s">
        <v>91</v>
      </c>
      <c r="B24" s="273" t="s">
        <v>7</v>
      </c>
      <c r="C24" s="273" t="s">
        <v>70</v>
      </c>
      <c r="D24" s="274" t="s">
        <v>71</v>
      </c>
      <c r="E24" s="377" t="s">
        <v>12</v>
      </c>
      <c r="F24" s="243">
        <v>5000</v>
      </c>
      <c r="G24" s="244">
        <v>8</v>
      </c>
      <c r="H24" s="245">
        <v>200</v>
      </c>
      <c r="I24" s="29"/>
      <c r="J24" s="377" t="s">
        <v>137</v>
      </c>
      <c r="K24" s="243">
        <v>4750</v>
      </c>
      <c r="L24" s="244">
        <v>8</v>
      </c>
      <c r="M24" s="276">
        <v>1</v>
      </c>
      <c r="N24" s="245">
        <v>200</v>
      </c>
      <c r="R24" s="66"/>
      <c r="S24" s="67"/>
      <c r="U24" s="377" t="s">
        <v>12</v>
      </c>
      <c r="V24" s="33"/>
      <c r="W24" s="34"/>
      <c r="X24" s="35"/>
      <c r="Y24" s="377" t="s">
        <v>112</v>
      </c>
      <c r="Z24" s="33">
        <v>5250</v>
      </c>
      <c r="AA24" s="34">
        <v>4</v>
      </c>
      <c r="AC24" s="383" t="s">
        <v>115</v>
      </c>
      <c r="AD24" s="222">
        <f>5200+AC1</f>
        <v>5400</v>
      </c>
      <c r="AE24" s="217">
        <v>7</v>
      </c>
      <c r="AF24" s="34">
        <v>200</v>
      </c>
      <c r="AH24" s="204">
        <f>(AD24-Z24)/Z24</f>
        <v>2.8571428571428571E-2</v>
      </c>
    </row>
    <row r="25" spans="1:34" x14ac:dyDescent="0.3">
      <c r="A25" s="277" t="s">
        <v>91</v>
      </c>
      <c r="B25" s="268" t="s">
        <v>7</v>
      </c>
      <c r="C25" s="268" t="s">
        <v>21</v>
      </c>
      <c r="D25" s="269" t="s">
        <v>23</v>
      </c>
      <c r="E25" s="378"/>
      <c r="F25" s="68">
        <v>4400</v>
      </c>
      <c r="G25" s="217">
        <v>7</v>
      </c>
      <c r="H25" s="34">
        <v>200</v>
      </c>
      <c r="J25" s="378"/>
      <c r="K25" s="33">
        <v>5000</v>
      </c>
      <c r="L25" s="217">
        <v>7</v>
      </c>
      <c r="M25" s="209">
        <v>1</v>
      </c>
      <c r="N25" s="245">
        <v>200</v>
      </c>
      <c r="R25" s="68"/>
      <c r="S25" s="34"/>
      <c r="T25" s="65"/>
      <c r="U25" s="378"/>
      <c r="V25" s="33"/>
      <c r="W25" s="34"/>
      <c r="X25" s="35"/>
      <c r="Y25" s="378"/>
      <c r="Z25" s="68">
        <v>5450</v>
      </c>
      <c r="AA25" s="71"/>
      <c r="AB25" s="65"/>
      <c r="AC25" s="383"/>
      <c r="AD25" s="222">
        <f>5500+AC1</f>
        <v>5700</v>
      </c>
      <c r="AE25" s="217">
        <v>6</v>
      </c>
      <c r="AF25" s="34">
        <v>200</v>
      </c>
      <c r="AH25" s="178">
        <f>(AD25-5250)/5250</f>
        <v>8.5714285714285715E-2</v>
      </c>
    </row>
    <row r="26" spans="1:34" x14ac:dyDescent="0.3">
      <c r="A26" s="277" t="s">
        <v>91</v>
      </c>
      <c r="B26" s="268" t="s">
        <v>7</v>
      </c>
      <c r="C26" s="268" t="s">
        <v>21</v>
      </c>
      <c r="D26" s="269" t="s">
        <v>72</v>
      </c>
      <c r="E26" s="378"/>
      <c r="F26" s="33">
        <v>7800</v>
      </c>
      <c r="G26" s="217">
        <v>14</v>
      </c>
      <c r="H26" s="34">
        <v>200</v>
      </c>
      <c r="J26" s="378"/>
      <c r="K26" s="33">
        <v>8500</v>
      </c>
      <c r="L26" s="217">
        <v>14</v>
      </c>
      <c r="M26" s="209">
        <v>1</v>
      </c>
      <c r="N26" s="245">
        <v>200</v>
      </c>
      <c r="R26" s="33"/>
      <c r="S26" s="34"/>
      <c r="T26" s="65"/>
      <c r="U26" s="378"/>
      <c r="V26" s="33"/>
      <c r="W26" s="34"/>
      <c r="X26" s="35"/>
      <c r="Y26" s="378"/>
      <c r="Z26" s="33" t="s">
        <v>95</v>
      </c>
      <c r="AA26" s="34" t="s">
        <v>95</v>
      </c>
      <c r="AB26" s="65"/>
      <c r="AC26" s="383"/>
      <c r="AD26" s="222" t="s">
        <v>95</v>
      </c>
      <c r="AE26" s="217" t="s">
        <v>95</v>
      </c>
      <c r="AF26" s="34"/>
      <c r="AH26" s="201"/>
    </row>
    <row r="27" spans="1:34" x14ac:dyDescent="0.3">
      <c r="A27" s="277" t="s">
        <v>91</v>
      </c>
      <c r="B27" s="268" t="s">
        <v>7</v>
      </c>
      <c r="C27" s="268" t="s">
        <v>21</v>
      </c>
      <c r="D27" s="269" t="s">
        <v>22</v>
      </c>
      <c r="E27" s="378"/>
      <c r="F27" s="33">
        <v>4400</v>
      </c>
      <c r="G27" s="217">
        <v>7</v>
      </c>
      <c r="H27" s="34">
        <v>200</v>
      </c>
      <c r="J27" s="378"/>
      <c r="K27" s="33">
        <v>5200</v>
      </c>
      <c r="L27" s="217">
        <v>7</v>
      </c>
      <c r="M27" s="209">
        <v>1</v>
      </c>
      <c r="N27" s="245">
        <v>200</v>
      </c>
      <c r="R27" s="33"/>
      <c r="S27" s="34"/>
      <c r="T27" s="65"/>
      <c r="U27" s="378"/>
      <c r="V27" s="33"/>
      <c r="W27" s="34"/>
      <c r="X27" s="35"/>
      <c r="Y27" s="378"/>
      <c r="Z27" s="68">
        <v>4950</v>
      </c>
      <c r="AA27" s="34" t="s">
        <v>82</v>
      </c>
      <c r="AB27" s="65"/>
      <c r="AC27" s="383"/>
      <c r="AD27" s="222">
        <f>6000+AC1</f>
        <v>6200</v>
      </c>
      <c r="AE27" s="217">
        <v>5</v>
      </c>
      <c r="AF27" s="34">
        <v>200</v>
      </c>
      <c r="AH27" s="178">
        <f>(AD27-4750)/4750</f>
        <v>0.30526315789473685</v>
      </c>
    </row>
    <row r="28" spans="1:34" x14ac:dyDescent="0.3">
      <c r="A28" s="277" t="s">
        <v>91</v>
      </c>
      <c r="B28" s="268" t="s">
        <v>7</v>
      </c>
      <c r="C28" s="268" t="s">
        <v>21</v>
      </c>
      <c r="D28" s="269" t="s">
        <v>92</v>
      </c>
      <c r="E28" s="378"/>
      <c r="F28" s="33"/>
      <c r="G28" s="217"/>
      <c r="H28" s="34"/>
      <c r="J28" s="378"/>
      <c r="K28" s="33">
        <v>4300</v>
      </c>
      <c r="L28" s="217">
        <v>5</v>
      </c>
      <c r="M28" s="209">
        <v>1</v>
      </c>
      <c r="N28" s="245">
        <v>200</v>
      </c>
      <c r="R28" s="33"/>
      <c r="S28" s="34"/>
      <c r="T28" s="65"/>
      <c r="U28" s="378"/>
      <c r="V28" s="33"/>
      <c r="W28" s="34"/>
      <c r="X28" s="35"/>
      <c r="Y28" s="378"/>
      <c r="Z28" s="33"/>
      <c r="AA28" s="34"/>
      <c r="AB28" s="65"/>
      <c r="AC28" s="383"/>
      <c r="AD28" s="222">
        <f>6000+AC1</f>
        <v>6200</v>
      </c>
      <c r="AE28" s="217">
        <v>5</v>
      </c>
      <c r="AF28" s="34">
        <v>200</v>
      </c>
      <c r="AH28" s="201"/>
    </row>
    <row r="29" spans="1:34" x14ac:dyDescent="0.3">
      <c r="A29" s="277" t="s">
        <v>91</v>
      </c>
      <c r="B29" s="268" t="s">
        <v>7</v>
      </c>
      <c r="C29" s="268" t="s">
        <v>93</v>
      </c>
      <c r="D29" s="269" t="s">
        <v>94</v>
      </c>
      <c r="E29" s="378"/>
      <c r="F29" s="33"/>
      <c r="G29" s="217"/>
      <c r="H29" s="34"/>
      <c r="J29" s="378"/>
      <c r="K29" s="33">
        <v>7500</v>
      </c>
      <c r="L29" s="217">
        <v>6</v>
      </c>
      <c r="M29" s="209">
        <v>1</v>
      </c>
      <c r="N29" s="245">
        <v>200</v>
      </c>
      <c r="R29" s="33"/>
      <c r="S29" s="34"/>
      <c r="T29" s="65"/>
      <c r="U29" s="378"/>
      <c r="V29" s="33"/>
      <c r="W29" s="34"/>
      <c r="X29" s="35"/>
      <c r="Y29" s="378"/>
      <c r="Z29" s="33"/>
      <c r="AA29" s="34"/>
      <c r="AB29" s="65"/>
      <c r="AC29" s="383"/>
      <c r="AD29" s="222">
        <f>12000+AC1</f>
        <v>12200</v>
      </c>
      <c r="AE29" s="217">
        <v>8</v>
      </c>
      <c r="AF29" s="34">
        <v>200</v>
      </c>
      <c r="AH29" s="201"/>
    </row>
    <row r="30" spans="1:34" x14ac:dyDescent="0.3">
      <c r="A30" s="277" t="s">
        <v>91</v>
      </c>
      <c r="B30" s="268" t="s">
        <v>7</v>
      </c>
      <c r="C30" s="268" t="s">
        <v>19</v>
      </c>
      <c r="D30" s="269" t="s">
        <v>20</v>
      </c>
      <c r="E30" s="378"/>
      <c r="F30" s="33">
        <v>1700</v>
      </c>
      <c r="G30" s="217">
        <v>2</v>
      </c>
      <c r="H30" s="34">
        <v>200</v>
      </c>
      <c r="J30" s="378"/>
      <c r="K30" s="33">
        <v>1800</v>
      </c>
      <c r="L30" s="217">
        <v>3</v>
      </c>
      <c r="M30" s="209">
        <v>1</v>
      </c>
      <c r="N30" s="245">
        <v>200</v>
      </c>
      <c r="R30" s="33"/>
      <c r="S30" s="34"/>
      <c r="T30" s="65"/>
      <c r="U30" s="378"/>
      <c r="V30" s="33"/>
      <c r="W30" s="34"/>
      <c r="X30" s="35"/>
      <c r="Y30" s="378"/>
      <c r="Z30" s="68">
        <v>1850</v>
      </c>
      <c r="AA30" s="34">
        <v>2</v>
      </c>
      <c r="AB30" s="65"/>
      <c r="AC30" s="383"/>
      <c r="AD30" s="222">
        <f>1700+AC1</f>
        <v>1900</v>
      </c>
      <c r="AE30" s="217">
        <v>2</v>
      </c>
      <c r="AF30" s="34">
        <v>200</v>
      </c>
      <c r="AH30" s="178">
        <f>(AD30-1950)/1950</f>
        <v>-2.564102564102564E-2</v>
      </c>
    </row>
    <row r="31" spans="1:34" x14ac:dyDescent="0.3">
      <c r="A31" s="277" t="s">
        <v>91</v>
      </c>
      <c r="B31" s="268" t="s">
        <v>7</v>
      </c>
      <c r="C31" s="268" t="s">
        <v>17</v>
      </c>
      <c r="D31" s="269" t="s">
        <v>18</v>
      </c>
      <c r="E31" s="378"/>
      <c r="F31" s="33">
        <v>4000</v>
      </c>
      <c r="G31" s="217">
        <v>7</v>
      </c>
      <c r="H31" s="34">
        <v>200</v>
      </c>
      <c r="J31" s="378"/>
      <c r="K31" s="33">
        <v>3600</v>
      </c>
      <c r="L31" s="217">
        <v>7</v>
      </c>
      <c r="M31" s="209">
        <v>1</v>
      </c>
      <c r="N31" s="245">
        <v>200</v>
      </c>
      <c r="R31" s="58"/>
      <c r="S31" s="59"/>
      <c r="T31" s="65"/>
      <c r="U31" s="378"/>
      <c r="V31" s="58"/>
      <c r="W31" s="59"/>
      <c r="X31" s="35"/>
      <c r="Y31" s="378"/>
      <c r="Z31" s="33">
        <v>3750</v>
      </c>
      <c r="AA31" s="34">
        <v>4</v>
      </c>
      <c r="AB31" s="65"/>
      <c r="AC31" s="383"/>
      <c r="AD31" s="222">
        <f>4800+AC1</f>
        <v>5000</v>
      </c>
      <c r="AE31" s="217">
        <v>5</v>
      </c>
      <c r="AF31" s="34">
        <v>200</v>
      </c>
      <c r="AH31" s="178">
        <f>(AD31-Z31)/Z31</f>
        <v>0.33333333333333331</v>
      </c>
    </row>
    <row r="32" spans="1:34" ht="13.5" thickBot="1" x14ac:dyDescent="0.35">
      <c r="A32" s="278" t="s">
        <v>91</v>
      </c>
      <c r="B32" s="270" t="s">
        <v>5</v>
      </c>
      <c r="C32" s="270" t="s">
        <v>17</v>
      </c>
      <c r="D32" s="271" t="s">
        <v>18</v>
      </c>
      <c r="E32" s="379"/>
      <c r="F32" s="60">
        <v>4000</v>
      </c>
      <c r="G32" s="218">
        <v>8</v>
      </c>
      <c r="H32" s="47">
        <v>200</v>
      </c>
      <c r="J32" s="379"/>
      <c r="K32" s="60">
        <v>4000</v>
      </c>
      <c r="L32" s="218">
        <v>8</v>
      </c>
      <c r="M32" s="210">
        <v>1</v>
      </c>
      <c r="N32" s="47">
        <v>200</v>
      </c>
      <c r="R32" s="60"/>
      <c r="S32" s="47"/>
      <c r="T32" s="65"/>
      <c r="U32" s="379"/>
      <c r="V32" s="60"/>
      <c r="W32" s="47"/>
      <c r="X32" s="35"/>
      <c r="Y32" s="379"/>
      <c r="Z32" s="46">
        <v>3300</v>
      </c>
      <c r="AA32" s="47">
        <v>5</v>
      </c>
      <c r="AB32" s="65"/>
      <c r="AC32" s="384"/>
      <c r="AD32" s="223">
        <f>5400+AC1</f>
        <v>5600</v>
      </c>
      <c r="AE32" s="218">
        <v>7</v>
      </c>
      <c r="AF32" s="47">
        <v>200</v>
      </c>
      <c r="AH32" s="180">
        <f>(AD32-Z32)/Z32</f>
        <v>0.69696969696969702</v>
      </c>
    </row>
    <row r="33" spans="1:34" ht="13.5" thickBot="1" x14ac:dyDescent="0.35">
      <c r="A33" s="272"/>
      <c r="B33" s="272"/>
      <c r="C33" s="272"/>
      <c r="D33" s="272"/>
      <c r="E33" s="49"/>
      <c r="F33" s="61"/>
      <c r="G33" s="35"/>
      <c r="H33" s="35"/>
      <c r="J33" s="52"/>
      <c r="K33" s="61"/>
      <c r="L33" s="35"/>
      <c r="M33" s="35"/>
      <c r="N33" s="35"/>
      <c r="R33" s="61"/>
      <c r="S33" s="35"/>
      <c r="T33" s="65"/>
      <c r="U33" s="52"/>
      <c r="V33" s="61"/>
      <c r="W33" s="35"/>
      <c r="X33" s="35"/>
      <c r="Z33" s="61"/>
      <c r="AA33" s="35"/>
      <c r="AB33" s="65"/>
      <c r="AC33" s="52"/>
      <c r="AD33" s="61"/>
      <c r="AE33" s="35"/>
      <c r="AF33" s="35"/>
    </row>
    <row r="34" spans="1:34" ht="39.5" thickBot="1" x14ac:dyDescent="0.35">
      <c r="A34" s="21" t="s">
        <v>0</v>
      </c>
      <c r="B34" s="22" t="s">
        <v>1</v>
      </c>
      <c r="C34" s="22" t="s">
        <v>2</v>
      </c>
      <c r="D34" s="23" t="s">
        <v>3</v>
      </c>
      <c r="E34" s="24" t="s">
        <v>4</v>
      </c>
      <c r="F34" s="147" t="s">
        <v>96</v>
      </c>
      <c r="G34" s="246" t="s">
        <v>97</v>
      </c>
      <c r="H34" s="148" t="s">
        <v>134</v>
      </c>
      <c r="J34" s="28" t="s">
        <v>4</v>
      </c>
      <c r="K34" s="147" t="s">
        <v>96</v>
      </c>
      <c r="L34" s="246" t="s">
        <v>97</v>
      </c>
      <c r="M34" s="275" t="s">
        <v>140</v>
      </c>
      <c r="N34" s="148" t="s">
        <v>134</v>
      </c>
      <c r="P34" s="206" t="s">
        <v>130</v>
      </c>
      <c r="R34" s="63" t="s">
        <v>96</v>
      </c>
      <c r="S34" s="64" t="s">
        <v>97</v>
      </c>
      <c r="T34" s="65"/>
      <c r="U34" s="28" t="s">
        <v>4</v>
      </c>
      <c r="V34" s="25" t="s">
        <v>96</v>
      </c>
      <c r="W34" s="26" t="s">
        <v>97</v>
      </c>
      <c r="X34" s="27"/>
      <c r="Y34" s="24" t="s">
        <v>4</v>
      </c>
      <c r="Z34" s="63" t="s">
        <v>96</v>
      </c>
      <c r="AA34" s="64" t="s">
        <v>97</v>
      </c>
      <c r="AB34" s="65"/>
      <c r="AC34" s="28" t="s">
        <v>4</v>
      </c>
      <c r="AD34" s="25" t="s">
        <v>96</v>
      </c>
      <c r="AE34" s="216" t="s">
        <v>97</v>
      </c>
      <c r="AF34" s="213" t="s">
        <v>134</v>
      </c>
      <c r="AH34" s="206" t="s">
        <v>130</v>
      </c>
    </row>
    <row r="35" spans="1:34" ht="12.75" customHeight="1" x14ac:dyDescent="0.3">
      <c r="A35" s="279" t="s">
        <v>91</v>
      </c>
      <c r="B35" s="273" t="s">
        <v>7</v>
      </c>
      <c r="C35" s="273" t="s">
        <v>70</v>
      </c>
      <c r="D35" s="274" t="s">
        <v>71</v>
      </c>
      <c r="E35" s="377" t="s">
        <v>13</v>
      </c>
      <c r="F35" s="66">
        <v>5500</v>
      </c>
      <c r="G35" s="247">
        <v>8</v>
      </c>
      <c r="H35" s="67">
        <v>200</v>
      </c>
      <c r="I35" s="29"/>
      <c r="J35" s="378" t="s">
        <v>103</v>
      </c>
      <c r="K35" s="243">
        <v>4950</v>
      </c>
      <c r="L35" s="244">
        <v>8</v>
      </c>
      <c r="M35" s="276">
        <v>1</v>
      </c>
      <c r="N35" s="245">
        <v>200</v>
      </c>
      <c r="P35" s="173">
        <f>(K35-F35)/F35</f>
        <v>-0.1</v>
      </c>
      <c r="R35" s="66"/>
      <c r="S35" s="67"/>
      <c r="U35" s="378" t="s">
        <v>103</v>
      </c>
      <c r="V35" s="33"/>
      <c r="W35" s="34"/>
      <c r="X35" s="35"/>
      <c r="Y35" s="377" t="s">
        <v>113</v>
      </c>
      <c r="Z35" s="73">
        <v>5450</v>
      </c>
      <c r="AA35" s="72"/>
      <c r="AC35" s="378" t="s">
        <v>116</v>
      </c>
      <c r="AD35" s="33">
        <f>5200+AC1</f>
        <v>5400</v>
      </c>
      <c r="AE35" s="217">
        <v>7</v>
      </c>
      <c r="AF35" s="214">
        <v>200</v>
      </c>
      <c r="AH35" s="225">
        <f>(AD35-5550)/AD35</f>
        <v>-2.7777777777777776E-2</v>
      </c>
    </row>
    <row r="36" spans="1:34" x14ac:dyDescent="0.3">
      <c r="A36" s="277" t="s">
        <v>91</v>
      </c>
      <c r="B36" s="268" t="s">
        <v>7</v>
      </c>
      <c r="C36" s="268" t="s">
        <v>21</v>
      </c>
      <c r="D36" s="269" t="s">
        <v>23</v>
      </c>
      <c r="E36" s="378"/>
      <c r="F36" s="33">
        <v>5700</v>
      </c>
      <c r="G36" s="217">
        <v>7</v>
      </c>
      <c r="H36" s="34">
        <v>200</v>
      </c>
      <c r="J36" s="378"/>
      <c r="K36" s="33">
        <v>4950</v>
      </c>
      <c r="L36" s="217">
        <v>7</v>
      </c>
      <c r="M36" s="209">
        <v>1</v>
      </c>
      <c r="N36" s="34">
        <v>200</v>
      </c>
      <c r="P36" s="175">
        <f t="shared" ref="P36:P43" si="0">(K36-F36)/F36</f>
        <v>-0.13157894736842105</v>
      </c>
      <c r="R36" s="33"/>
      <c r="S36" s="34"/>
      <c r="T36" s="65"/>
      <c r="U36" s="378"/>
      <c r="V36" s="33"/>
      <c r="W36" s="34"/>
      <c r="X36" s="35"/>
      <c r="Y36" s="378"/>
      <c r="Z36" s="68">
        <v>6050</v>
      </c>
      <c r="AA36" s="34" t="s">
        <v>82</v>
      </c>
      <c r="AB36" s="65"/>
      <c r="AC36" s="378"/>
      <c r="AD36" s="33">
        <f>5500+AC1</f>
        <v>5700</v>
      </c>
      <c r="AE36" s="217">
        <v>6</v>
      </c>
      <c r="AF36" s="214">
        <v>200</v>
      </c>
      <c r="AH36" s="205">
        <f>(AD36-5850)/AD36</f>
        <v>-2.6315789473684209E-2</v>
      </c>
    </row>
    <row r="37" spans="1:34" x14ac:dyDescent="0.3">
      <c r="A37" s="277" t="s">
        <v>91</v>
      </c>
      <c r="B37" s="268" t="s">
        <v>7</v>
      </c>
      <c r="C37" s="268" t="s">
        <v>21</v>
      </c>
      <c r="D37" s="269" t="s">
        <v>72</v>
      </c>
      <c r="E37" s="378"/>
      <c r="F37" s="33">
        <v>9500</v>
      </c>
      <c r="G37" s="217">
        <v>14</v>
      </c>
      <c r="H37" s="34">
        <v>200</v>
      </c>
      <c r="J37" s="378"/>
      <c r="K37" s="33">
        <v>8500</v>
      </c>
      <c r="L37" s="217">
        <v>14</v>
      </c>
      <c r="M37" s="209">
        <v>1</v>
      </c>
      <c r="N37" s="34">
        <v>200</v>
      </c>
      <c r="P37" s="175">
        <f t="shared" si="0"/>
        <v>-0.10526315789473684</v>
      </c>
      <c r="R37" s="33"/>
      <c r="S37" s="34"/>
      <c r="T37" s="65"/>
      <c r="U37" s="378"/>
      <c r="V37" s="33"/>
      <c r="W37" s="34"/>
      <c r="X37" s="35"/>
      <c r="Y37" s="378"/>
      <c r="Z37" s="33" t="s">
        <v>95</v>
      </c>
      <c r="AA37" s="34" t="s">
        <v>95</v>
      </c>
      <c r="AB37" s="65"/>
      <c r="AC37" s="378"/>
      <c r="AD37" s="33" t="s">
        <v>95</v>
      </c>
      <c r="AE37" s="217" t="s">
        <v>95</v>
      </c>
      <c r="AF37" s="214"/>
      <c r="AH37" s="202"/>
    </row>
    <row r="38" spans="1:34" x14ac:dyDescent="0.3">
      <c r="A38" s="277" t="s">
        <v>91</v>
      </c>
      <c r="B38" s="268" t="s">
        <v>7</v>
      </c>
      <c r="C38" s="268" t="s">
        <v>21</v>
      </c>
      <c r="D38" s="269" t="s">
        <v>22</v>
      </c>
      <c r="E38" s="378"/>
      <c r="F38" s="33">
        <v>6700</v>
      </c>
      <c r="G38" s="217">
        <v>7</v>
      </c>
      <c r="H38" s="34">
        <v>200</v>
      </c>
      <c r="J38" s="378"/>
      <c r="K38" s="33">
        <v>4980</v>
      </c>
      <c r="L38" s="217">
        <v>7</v>
      </c>
      <c r="M38" s="209">
        <v>1</v>
      </c>
      <c r="N38" s="34">
        <v>200</v>
      </c>
      <c r="P38" s="175">
        <f t="shared" si="0"/>
        <v>-0.25671641791044775</v>
      </c>
      <c r="R38" s="33"/>
      <c r="S38" s="34"/>
      <c r="T38" s="65"/>
      <c r="U38" s="378"/>
      <c r="V38" s="33"/>
      <c r="W38" s="34"/>
      <c r="X38" s="35"/>
      <c r="Y38" s="378"/>
      <c r="Z38" s="68">
        <v>6550</v>
      </c>
      <c r="AA38" s="71"/>
      <c r="AB38" s="65"/>
      <c r="AC38" s="378"/>
      <c r="AD38" s="33">
        <f>6000+AC1</f>
        <v>6200</v>
      </c>
      <c r="AE38" s="217">
        <v>5</v>
      </c>
      <c r="AF38" s="214">
        <v>200</v>
      </c>
      <c r="AH38" s="205">
        <f>(AD38-6350)/6350</f>
        <v>-2.3622047244094488E-2</v>
      </c>
    </row>
    <row r="39" spans="1:34" x14ac:dyDescent="0.3">
      <c r="A39" s="277" t="s">
        <v>91</v>
      </c>
      <c r="B39" s="268" t="s">
        <v>7</v>
      </c>
      <c r="C39" s="268" t="s">
        <v>21</v>
      </c>
      <c r="D39" s="269" t="s">
        <v>92</v>
      </c>
      <c r="E39" s="378"/>
      <c r="F39" s="33"/>
      <c r="G39" s="217"/>
      <c r="H39" s="34"/>
      <c r="J39" s="378"/>
      <c r="K39" s="33">
        <v>4500</v>
      </c>
      <c r="L39" s="217">
        <v>5</v>
      </c>
      <c r="M39" s="209">
        <v>1</v>
      </c>
      <c r="N39" s="34">
        <v>200</v>
      </c>
      <c r="P39" s="174"/>
      <c r="R39" s="33"/>
      <c r="S39" s="34"/>
      <c r="T39" s="65"/>
      <c r="U39" s="378"/>
      <c r="V39" s="33"/>
      <c r="W39" s="34"/>
      <c r="X39" s="35"/>
      <c r="Y39" s="378"/>
      <c r="Z39" s="33"/>
      <c r="AA39" s="34"/>
      <c r="AB39" s="65"/>
      <c r="AC39" s="378"/>
      <c r="AD39" s="33">
        <f>6000+AC1</f>
        <v>6200</v>
      </c>
      <c r="AE39" s="217">
        <v>5</v>
      </c>
      <c r="AF39" s="214">
        <v>200</v>
      </c>
      <c r="AH39" s="202"/>
    </row>
    <row r="40" spans="1:34" x14ac:dyDescent="0.3">
      <c r="A40" s="277" t="s">
        <v>91</v>
      </c>
      <c r="B40" s="268" t="s">
        <v>7</v>
      </c>
      <c r="C40" s="268" t="s">
        <v>93</v>
      </c>
      <c r="D40" s="269" t="s">
        <v>94</v>
      </c>
      <c r="E40" s="378"/>
      <c r="F40" s="33"/>
      <c r="G40" s="217"/>
      <c r="H40" s="34"/>
      <c r="J40" s="378"/>
      <c r="K40" s="33">
        <v>8500</v>
      </c>
      <c r="L40" s="217">
        <v>6</v>
      </c>
      <c r="M40" s="209">
        <v>1</v>
      </c>
      <c r="N40" s="34">
        <v>200</v>
      </c>
      <c r="P40" s="174"/>
      <c r="R40" s="33"/>
      <c r="S40" s="34"/>
      <c r="T40" s="65"/>
      <c r="U40" s="378"/>
      <c r="V40" s="33"/>
      <c r="W40" s="34"/>
      <c r="X40" s="35"/>
      <c r="Y40" s="378"/>
      <c r="Z40" s="33"/>
      <c r="AA40" s="34"/>
      <c r="AB40" s="65"/>
      <c r="AC40" s="378"/>
      <c r="AD40" s="33">
        <f>12000+AC1</f>
        <v>12200</v>
      </c>
      <c r="AE40" s="217">
        <v>8</v>
      </c>
      <c r="AF40" s="214">
        <v>200</v>
      </c>
      <c r="AH40" s="202"/>
    </row>
    <row r="41" spans="1:34" x14ac:dyDescent="0.3">
      <c r="A41" s="277" t="s">
        <v>91</v>
      </c>
      <c r="B41" s="268" t="s">
        <v>7</v>
      </c>
      <c r="C41" s="268" t="s">
        <v>19</v>
      </c>
      <c r="D41" s="269" t="s">
        <v>20</v>
      </c>
      <c r="E41" s="378"/>
      <c r="F41" s="33">
        <v>1800</v>
      </c>
      <c r="G41" s="217">
        <v>2</v>
      </c>
      <c r="H41" s="34">
        <v>200</v>
      </c>
      <c r="J41" s="378"/>
      <c r="K41" s="33">
        <v>1750</v>
      </c>
      <c r="L41" s="217">
        <v>3</v>
      </c>
      <c r="M41" s="209">
        <v>1</v>
      </c>
      <c r="N41" s="34">
        <v>200</v>
      </c>
      <c r="P41" s="175">
        <f t="shared" si="0"/>
        <v>-2.7777777777777776E-2</v>
      </c>
      <c r="R41" s="33"/>
      <c r="S41" s="34"/>
      <c r="T41" s="65"/>
      <c r="U41" s="378"/>
      <c r="V41" s="33"/>
      <c r="W41" s="34"/>
      <c r="X41" s="35"/>
      <c r="Y41" s="378"/>
      <c r="Z41" s="68">
        <v>1850</v>
      </c>
      <c r="AA41" s="34">
        <v>2</v>
      </c>
      <c r="AB41" s="65"/>
      <c r="AC41" s="378"/>
      <c r="AD41" s="33">
        <f>1700+AC1</f>
        <v>1900</v>
      </c>
      <c r="AE41" s="217">
        <v>2</v>
      </c>
      <c r="AF41" s="214">
        <v>200</v>
      </c>
      <c r="AH41" s="205">
        <f>(AD41-1950)/1950</f>
        <v>-2.564102564102564E-2</v>
      </c>
    </row>
    <row r="42" spans="1:34" x14ac:dyDescent="0.3">
      <c r="A42" s="277" t="s">
        <v>91</v>
      </c>
      <c r="B42" s="268" t="s">
        <v>7</v>
      </c>
      <c r="C42" s="268" t="s">
        <v>17</v>
      </c>
      <c r="D42" s="269" t="s">
        <v>18</v>
      </c>
      <c r="E42" s="378"/>
      <c r="F42" s="68">
        <v>5200</v>
      </c>
      <c r="G42" s="217">
        <v>7</v>
      </c>
      <c r="H42" s="34">
        <v>200</v>
      </c>
      <c r="J42" s="378"/>
      <c r="K42" s="33">
        <v>4980</v>
      </c>
      <c r="L42" s="217">
        <v>7</v>
      </c>
      <c r="M42" s="209">
        <v>1</v>
      </c>
      <c r="N42" s="34">
        <v>200</v>
      </c>
      <c r="P42" s="175">
        <f t="shared" si="0"/>
        <v>-4.230769230769231E-2</v>
      </c>
      <c r="R42" s="70"/>
      <c r="S42" s="59"/>
      <c r="T42" s="65"/>
      <c r="U42" s="378"/>
      <c r="V42" s="58"/>
      <c r="W42" s="59"/>
      <c r="X42" s="35"/>
      <c r="Y42" s="378"/>
      <c r="Z42" s="58">
        <v>5100</v>
      </c>
      <c r="AA42" s="59">
        <v>4</v>
      </c>
      <c r="AB42" s="65"/>
      <c r="AC42" s="378"/>
      <c r="AD42" s="58">
        <f>4800+AC1</f>
        <v>5000</v>
      </c>
      <c r="AE42" s="263">
        <v>5</v>
      </c>
      <c r="AF42" s="214">
        <v>200</v>
      </c>
      <c r="AH42" s="205">
        <f>(AD42-Z42)/Z42</f>
        <v>-1.9607843137254902E-2</v>
      </c>
    </row>
    <row r="43" spans="1:34" ht="13.5" thickBot="1" x14ac:dyDescent="0.35">
      <c r="A43" s="278" t="s">
        <v>91</v>
      </c>
      <c r="B43" s="270" t="s">
        <v>5</v>
      </c>
      <c r="C43" s="270" t="s">
        <v>17</v>
      </c>
      <c r="D43" s="271" t="s">
        <v>18</v>
      </c>
      <c r="E43" s="379"/>
      <c r="F43" s="60">
        <v>5850</v>
      </c>
      <c r="G43" s="218">
        <v>8</v>
      </c>
      <c r="H43" s="47">
        <v>200</v>
      </c>
      <c r="J43" s="258"/>
      <c r="K43" s="60">
        <v>5180</v>
      </c>
      <c r="L43" s="218">
        <v>8</v>
      </c>
      <c r="M43" s="210">
        <v>1</v>
      </c>
      <c r="N43" s="47">
        <v>200</v>
      </c>
      <c r="P43" s="176">
        <f t="shared" si="0"/>
        <v>-0.11452991452991453</v>
      </c>
      <c r="R43" s="60"/>
      <c r="S43" s="47"/>
      <c r="T43" s="65"/>
      <c r="U43" s="258"/>
      <c r="V43" s="60"/>
      <c r="W43" s="47"/>
      <c r="X43" s="35"/>
      <c r="Y43" s="379"/>
      <c r="Z43" s="60">
        <v>5700</v>
      </c>
      <c r="AA43" s="47">
        <v>5</v>
      </c>
      <c r="AB43" s="65"/>
      <c r="AC43" s="258"/>
      <c r="AD43" s="60">
        <f>5400+AC1</f>
        <v>5600</v>
      </c>
      <c r="AE43" s="218">
        <v>7</v>
      </c>
      <c r="AF43" s="215">
        <v>200</v>
      </c>
      <c r="AH43" s="176">
        <f>(AD43-Z43)/Z43</f>
        <v>-1.7543859649122806E-2</v>
      </c>
    </row>
    <row r="44" spans="1:34" ht="13.5" thickBot="1" x14ac:dyDescent="0.35">
      <c r="A44" s="69"/>
      <c r="B44" s="69"/>
      <c r="C44" s="69"/>
      <c r="D44" s="69"/>
      <c r="R44" s="69"/>
      <c r="S44" s="65"/>
      <c r="T44" s="65"/>
      <c r="U44" s="56"/>
      <c r="W44" s="56"/>
      <c r="X44" s="56"/>
      <c r="Z44" s="69"/>
      <c r="AA44" s="65"/>
      <c r="AB44" s="65"/>
      <c r="AC44" s="56"/>
      <c r="AE44" s="56"/>
      <c r="AF44" s="56"/>
    </row>
    <row r="45" spans="1:34" ht="39.5" thickBot="1" x14ac:dyDescent="0.35">
      <c r="A45" s="21" t="s">
        <v>0</v>
      </c>
      <c r="B45" s="22" t="s">
        <v>1</v>
      </c>
      <c r="C45" s="22" t="s">
        <v>2</v>
      </c>
      <c r="D45" s="23" t="s">
        <v>3</v>
      </c>
      <c r="E45" s="24" t="s">
        <v>4</v>
      </c>
      <c r="F45" s="147" t="s">
        <v>96</v>
      </c>
      <c r="G45" s="246" t="s">
        <v>97</v>
      </c>
      <c r="H45" s="148" t="s">
        <v>134</v>
      </c>
      <c r="J45" s="28" t="s">
        <v>4</v>
      </c>
      <c r="K45" s="147" t="s">
        <v>96</v>
      </c>
      <c r="L45" s="246" t="s">
        <v>97</v>
      </c>
      <c r="M45" s="275" t="s">
        <v>140</v>
      </c>
      <c r="N45" s="148" t="s">
        <v>134</v>
      </c>
      <c r="P45" s="206" t="s">
        <v>130</v>
      </c>
      <c r="R45" s="63" t="s">
        <v>96</v>
      </c>
      <c r="S45" s="64" t="s">
        <v>97</v>
      </c>
      <c r="T45" s="65"/>
      <c r="U45" s="28" t="s">
        <v>4</v>
      </c>
      <c r="V45" s="25" t="s">
        <v>96</v>
      </c>
      <c r="W45" s="26" t="s">
        <v>97</v>
      </c>
      <c r="X45" s="27"/>
      <c r="Y45" s="24" t="s">
        <v>4</v>
      </c>
      <c r="Z45" s="63" t="s">
        <v>96</v>
      </c>
      <c r="AA45" s="64" t="s">
        <v>97</v>
      </c>
      <c r="AB45" s="65"/>
      <c r="AC45" s="28" t="s">
        <v>4</v>
      </c>
      <c r="AD45" s="25" t="s">
        <v>96</v>
      </c>
      <c r="AE45" s="216" t="s">
        <v>97</v>
      </c>
      <c r="AF45" s="213" t="s">
        <v>134</v>
      </c>
      <c r="AH45" s="206" t="s">
        <v>130</v>
      </c>
    </row>
    <row r="46" spans="1:34" ht="12.75" customHeight="1" x14ac:dyDescent="0.3">
      <c r="A46" s="279" t="s">
        <v>91</v>
      </c>
      <c r="B46" s="273" t="s">
        <v>7</v>
      </c>
      <c r="C46" s="273" t="s">
        <v>70</v>
      </c>
      <c r="D46" s="274" t="s">
        <v>71</v>
      </c>
      <c r="E46" s="377" t="s">
        <v>114</v>
      </c>
      <c r="F46" s="66">
        <v>4700</v>
      </c>
      <c r="G46" s="247">
        <v>8</v>
      </c>
      <c r="H46" s="67">
        <v>200</v>
      </c>
      <c r="I46" s="29"/>
      <c r="J46" s="377" t="s">
        <v>104</v>
      </c>
      <c r="K46" s="243">
        <v>3200</v>
      </c>
      <c r="L46" s="244">
        <v>6</v>
      </c>
      <c r="M46" s="276">
        <v>1</v>
      </c>
      <c r="N46" s="245">
        <v>185</v>
      </c>
      <c r="P46" s="175">
        <f>(K46-F46)/F46</f>
        <v>-0.31914893617021278</v>
      </c>
      <c r="R46" s="66"/>
      <c r="S46" s="67"/>
      <c r="U46" s="377" t="s">
        <v>104</v>
      </c>
      <c r="V46" s="33"/>
      <c r="W46" s="34"/>
      <c r="X46" s="35"/>
      <c r="Y46" s="377" t="s">
        <v>114</v>
      </c>
      <c r="Z46" s="73">
        <v>4750</v>
      </c>
      <c r="AA46" s="72"/>
      <c r="AC46" s="377" t="s">
        <v>117</v>
      </c>
      <c r="AD46" s="33">
        <f>4500+AC1</f>
        <v>4700</v>
      </c>
      <c r="AE46" s="217">
        <v>7</v>
      </c>
      <c r="AF46" s="214">
        <v>150</v>
      </c>
      <c r="AH46" s="173">
        <f>(AD46-4850)/4850</f>
        <v>-3.0927835051546393E-2</v>
      </c>
    </row>
    <row r="47" spans="1:34" x14ac:dyDescent="0.3">
      <c r="A47" s="277" t="s">
        <v>91</v>
      </c>
      <c r="B47" s="268" t="s">
        <v>7</v>
      </c>
      <c r="C47" s="268" t="s">
        <v>21</v>
      </c>
      <c r="D47" s="269" t="s">
        <v>23</v>
      </c>
      <c r="E47" s="378"/>
      <c r="F47" s="33">
        <v>4000</v>
      </c>
      <c r="G47" s="217">
        <v>7</v>
      </c>
      <c r="H47" s="34">
        <v>200</v>
      </c>
      <c r="J47" s="378"/>
      <c r="K47" s="33">
        <v>3500</v>
      </c>
      <c r="L47" s="217">
        <v>6</v>
      </c>
      <c r="M47" s="209">
        <v>1</v>
      </c>
      <c r="N47" s="34">
        <v>185</v>
      </c>
      <c r="P47" s="175">
        <f t="shared" ref="P47:P54" si="1">(K47-F47)/F47</f>
        <v>-0.125</v>
      </c>
      <c r="R47" s="33"/>
      <c r="S47" s="34"/>
      <c r="T47" s="65"/>
      <c r="U47" s="378"/>
      <c r="V47" s="33"/>
      <c r="W47" s="34"/>
      <c r="X47" s="35"/>
      <c r="Y47" s="378"/>
      <c r="Z47" s="68">
        <v>4450</v>
      </c>
      <c r="AA47" s="34" t="s">
        <v>82</v>
      </c>
      <c r="AB47" s="65"/>
      <c r="AC47" s="378"/>
      <c r="AD47" s="33">
        <f>4000+AC1</f>
        <v>4200</v>
      </c>
      <c r="AE47" s="217">
        <v>6</v>
      </c>
      <c r="AF47" s="214">
        <v>150</v>
      </c>
      <c r="AH47" s="175">
        <f>(AD47-4250)/4250</f>
        <v>-1.1764705882352941E-2</v>
      </c>
    </row>
    <row r="48" spans="1:34" x14ac:dyDescent="0.3">
      <c r="A48" s="277" t="s">
        <v>91</v>
      </c>
      <c r="B48" s="268" t="s">
        <v>7</v>
      </c>
      <c r="C48" s="268" t="s">
        <v>21</v>
      </c>
      <c r="D48" s="269" t="s">
        <v>72</v>
      </c>
      <c r="E48" s="378"/>
      <c r="F48" s="33">
        <v>7500</v>
      </c>
      <c r="G48" s="217">
        <v>14</v>
      </c>
      <c r="H48" s="34">
        <v>200</v>
      </c>
      <c r="J48" s="378"/>
      <c r="K48" s="33">
        <v>5900</v>
      </c>
      <c r="L48" s="217">
        <v>12</v>
      </c>
      <c r="M48" s="209">
        <v>1</v>
      </c>
      <c r="N48" s="34">
        <v>185</v>
      </c>
      <c r="P48" s="175">
        <f t="shared" si="1"/>
        <v>-0.21333333333333335</v>
      </c>
      <c r="R48" s="33"/>
      <c r="S48" s="34"/>
      <c r="T48" s="65"/>
      <c r="U48" s="378"/>
      <c r="V48" s="33"/>
      <c r="W48" s="34"/>
      <c r="X48" s="35"/>
      <c r="Y48" s="378"/>
      <c r="Z48" s="33" t="s">
        <v>95</v>
      </c>
      <c r="AA48" s="34" t="s">
        <v>95</v>
      </c>
      <c r="AB48" s="65"/>
      <c r="AC48" s="378"/>
      <c r="AD48" s="33"/>
      <c r="AE48" s="217"/>
      <c r="AF48" s="214"/>
      <c r="AH48" s="174"/>
    </row>
    <row r="49" spans="1:34" x14ac:dyDescent="0.3">
      <c r="A49" s="277" t="s">
        <v>91</v>
      </c>
      <c r="B49" s="268" t="s">
        <v>7</v>
      </c>
      <c r="C49" s="268" t="s">
        <v>21</v>
      </c>
      <c r="D49" s="269" t="s">
        <v>22</v>
      </c>
      <c r="E49" s="378"/>
      <c r="F49" s="33">
        <v>4050</v>
      </c>
      <c r="G49" s="217">
        <v>7</v>
      </c>
      <c r="H49" s="34">
        <v>200</v>
      </c>
      <c r="J49" s="378"/>
      <c r="K49" s="33">
        <v>3700</v>
      </c>
      <c r="L49" s="217">
        <v>7</v>
      </c>
      <c r="M49" s="209">
        <v>1</v>
      </c>
      <c r="N49" s="34">
        <v>185</v>
      </c>
      <c r="P49" s="175">
        <f t="shared" si="1"/>
        <v>-8.6419753086419748E-2</v>
      </c>
      <c r="R49" s="33"/>
      <c r="S49" s="34"/>
      <c r="T49" s="65"/>
      <c r="U49" s="378"/>
      <c r="V49" s="33"/>
      <c r="W49" s="34"/>
      <c r="X49" s="35"/>
      <c r="Y49" s="378"/>
      <c r="Z49" s="68">
        <v>4250</v>
      </c>
      <c r="AA49" s="71"/>
      <c r="AB49" s="65"/>
      <c r="AC49" s="378"/>
      <c r="AD49" s="33">
        <f>4000+AC1</f>
        <v>4200</v>
      </c>
      <c r="AE49" s="217">
        <v>5</v>
      </c>
      <c r="AF49" s="214">
        <v>150</v>
      </c>
      <c r="AH49" s="178">
        <f>(AD49-4050)/4050</f>
        <v>3.7037037037037035E-2</v>
      </c>
    </row>
    <row r="50" spans="1:34" x14ac:dyDescent="0.3">
      <c r="A50" s="277" t="s">
        <v>91</v>
      </c>
      <c r="B50" s="268" t="s">
        <v>7</v>
      </c>
      <c r="C50" s="268" t="s">
        <v>21</v>
      </c>
      <c r="D50" s="269" t="s">
        <v>92</v>
      </c>
      <c r="E50" s="378"/>
      <c r="F50" s="33"/>
      <c r="G50" s="217"/>
      <c r="H50" s="34"/>
      <c r="J50" s="378"/>
      <c r="K50" s="33">
        <v>3980</v>
      </c>
      <c r="L50" s="217">
        <v>5</v>
      </c>
      <c r="M50" s="209">
        <v>1</v>
      </c>
      <c r="N50" s="34">
        <v>185</v>
      </c>
      <c r="P50" s="177"/>
      <c r="R50" s="33"/>
      <c r="S50" s="34"/>
      <c r="T50" s="65"/>
      <c r="U50" s="378"/>
      <c r="V50" s="33"/>
      <c r="W50" s="34"/>
      <c r="X50" s="35"/>
      <c r="Y50" s="378"/>
      <c r="Z50" s="33"/>
      <c r="AA50" s="34"/>
      <c r="AB50" s="65"/>
      <c r="AC50" s="378"/>
      <c r="AD50" s="33">
        <f>4000+AC1</f>
        <v>4200</v>
      </c>
      <c r="AE50" s="217">
        <v>5</v>
      </c>
      <c r="AF50" s="214">
        <v>150</v>
      </c>
      <c r="AH50" s="174"/>
    </row>
    <row r="51" spans="1:34" x14ac:dyDescent="0.3">
      <c r="A51" s="277" t="s">
        <v>91</v>
      </c>
      <c r="B51" s="268" t="s">
        <v>7</v>
      </c>
      <c r="C51" s="268" t="s">
        <v>93</v>
      </c>
      <c r="D51" s="269" t="s">
        <v>94</v>
      </c>
      <c r="E51" s="378"/>
      <c r="F51" s="33"/>
      <c r="G51" s="217"/>
      <c r="H51" s="34"/>
      <c r="J51" s="378"/>
      <c r="K51" s="33">
        <v>5000</v>
      </c>
      <c r="L51" s="217">
        <v>5</v>
      </c>
      <c r="M51" s="209">
        <v>1</v>
      </c>
      <c r="N51" s="34">
        <v>185</v>
      </c>
      <c r="P51" s="177"/>
      <c r="R51" s="33"/>
      <c r="S51" s="34"/>
      <c r="T51" s="65"/>
      <c r="U51" s="378"/>
      <c r="V51" s="33"/>
      <c r="W51" s="34"/>
      <c r="X51" s="35"/>
      <c r="Y51" s="378"/>
      <c r="Z51" s="33"/>
      <c r="AA51" s="34"/>
      <c r="AB51" s="65"/>
      <c r="AC51" s="378"/>
      <c r="AD51" s="33">
        <f>9000+AC1</f>
        <v>9200</v>
      </c>
      <c r="AE51" s="217">
        <v>8</v>
      </c>
      <c r="AF51" s="214">
        <v>150</v>
      </c>
      <c r="AH51" s="174"/>
    </row>
    <row r="52" spans="1:34" x14ac:dyDescent="0.3">
      <c r="A52" s="277" t="s">
        <v>91</v>
      </c>
      <c r="B52" s="268" t="s">
        <v>7</v>
      </c>
      <c r="C52" s="268" t="s">
        <v>19</v>
      </c>
      <c r="D52" s="269" t="s">
        <v>20</v>
      </c>
      <c r="E52" s="378"/>
      <c r="F52" s="33">
        <v>1100</v>
      </c>
      <c r="G52" s="217">
        <v>2</v>
      </c>
      <c r="H52" s="34">
        <v>200</v>
      </c>
      <c r="J52" s="378"/>
      <c r="K52" s="33">
        <v>1200</v>
      </c>
      <c r="L52" s="217">
        <v>2</v>
      </c>
      <c r="M52" s="209">
        <v>1</v>
      </c>
      <c r="N52" s="34">
        <v>185</v>
      </c>
      <c r="P52" s="178">
        <f t="shared" si="1"/>
        <v>9.0909090909090912E-2</v>
      </c>
      <c r="R52" s="33"/>
      <c r="S52" s="34"/>
      <c r="T52" s="65"/>
      <c r="U52" s="378"/>
      <c r="V52" s="33"/>
      <c r="W52" s="34"/>
      <c r="X52" s="35"/>
      <c r="Y52" s="378"/>
      <c r="Z52" s="68">
        <v>1250</v>
      </c>
      <c r="AA52" s="34">
        <v>2</v>
      </c>
      <c r="AB52" s="65"/>
      <c r="AC52" s="378"/>
      <c r="AD52" s="33">
        <f>1100+AC1</f>
        <v>1300</v>
      </c>
      <c r="AE52" s="217">
        <v>2</v>
      </c>
      <c r="AF52" s="214">
        <v>150</v>
      </c>
      <c r="AH52" s="175">
        <f>(AD52-1350)/1350</f>
        <v>-3.7037037037037035E-2</v>
      </c>
    </row>
    <row r="53" spans="1:34" x14ac:dyDescent="0.3">
      <c r="A53" s="277" t="s">
        <v>91</v>
      </c>
      <c r="B53" s="268" t="s">
        <v>7</v>
      </c>
      <c r="C53" s="268" t="s">
        <v>17</v>
      </c>
      <c r="D53" s="269" t="s">
        <v>18</v>
      </c>
      <c r="E53" s="378"/>
      <c r="F53" s="33">
        <v>2400</v>
      </c>
      <c r="G53" s="217">
        <v>7</v>
      </c>
      <c r="H53" s="34">
        <v>200</v>
      </c>
      <c r="J53" s="378"/>
      <c r="K53" s="33">
        <v>2400</v>
      </c>
      <c r="L53" s="217">
        <v>5</v>
      </c>
      <c r="M53" s="209">
        <v>1</v>
      </c>
      <c r="N53" s="34">
        <v>185</v>
      </c>
      <c r="P53" s="179">
        <f t="shared" si="1"/>
        <v>0</v>
      </c>
      <c r="R53" s="58"/>
      <c r="S53" s="59"/>
      <c r="T53" s="65"/>
      <c r="U53" s="378"/>
      <c r="V53" s="58"/>
      <c r="W53" s="59"/>
      <c r="X53" s="35"/>
      <c r="Y53" s="378"/>
      <c r="Z53" s="58">
        <v>2550</v>
      </c>
      <c r="AA53" s="59">
        <v>4</v>
      </c>
      <c r="AB53" s="65"/>
      <c r="AC53" s="378"/>
      <c r="AD53" s="58">
        <f>2300+AC1</f>
        <v>2500</v>
      </c>
      <c r="AE53" s="263">
        <v>5</v>
      </c>
      <c r="AF53" s="214">
        <v>150</v>
      </c>
      <c r="AH53" s="175">
        <f>(AD53-Z53)/Z53</f>
        <v>-1.9607843137254902E-2</v>
      </c>
    </row>
    <row r="54" spans="1:34" ht="13.5" thickBot="1" x14ac:dyDescent="0.35">
      <c r="A54" s="278" t="s">
        <v>91</v>
      </c>
      <c r="B54" s="270" t="s">
        <v>5</v>
      </c>
      <c r="C54" s="270" t="s">
        <v>17</v>
      </c>
      <c r="D54" s="271" t="s">
        <v>18</v>
      </c>
      <c r="E54" s="379"/>
      <c r="F54" s="60">
        <v>2900</v>
      </c>
      <c r="G54" s="218">
        <v>8</v>
      </c>
      <c r="H54" s="47">
        <v>200</v>
      </c>
      <c r="J54" s="379"/>
      <c r="K54" s="60">
        <v>3000</v>
      </c>
      <c r="L54" s="218">
        <v>6</v>
      </c>
      <c r="M54" s="210">
        <v>1</v>
      </c>
      <c r="N54" s="47">
        <v>185</v>
      </c>
      <c r="P54" s="180">
        <f t="shared" si="1"/>
        <v>3.4482758620689655E-2</v>
      </c>
      <c r="R54" s="60"/>
      <c r="S54" s="47"/>
      <c r="T54" s="65"/>
      <c r="U54" s="379"/>
      <c r="V54" s="60"/>
      <c r="W54" s="47"/>
      <c r="X54" s="35"/>
      <c r="Y54" s="379"/>
      <c r="Z54" s="60">
        <v>3050</v>
      </c>
      <c r="AA54" s="47">
        <v>5</v>
      </c>
      <c r="AB54" s="65"/>
      <c r="AC54" s="379"/>
      <c r="AD54" s="60">
        <f>2800+AC1</f>
        <v>3000</v>
      </c>
      <c r="AE54" s="218">
        <v>7</v>
      </c>
      <c r="AF54" s="215">
        <v>150</v>
      </c>
      <c r="AH54" s="176">
        <f>(AD54-Z54)/Z54</f>
        <v>-1.6393442622950821E-2</v>
      </c>
    </row>
    <row r="55" spans="1:34" ht="13.5" thickBot="1" x14ac:dyDescent="0.35">
      <c r="A55" s="69"/>
      <c r="B55" s="69"/>
      <c r="C55" s="69"/>
      <c r="D55" s="69"/>
      <c r="R55" s="69"/>
      <c r="S55" s="65"/>
      <c r="T55" s="65"/>
      <c r="U55" s="56"/>
      <c r="W55" s="56"/>
      <c r="X55" s="56"/>
      <c r="Z55" s="69"/>
      <c r="AA55" s="65"/>
      <c r="AB55" s="65"/>
      <c r="AC55" s="56"/>
      <c r="AE55" s="56"/>
      <c r="AF55" s="56"/>
    </row>
    <row r="56" spans="1:34" ht="39.5" thickBot="1" x14ac:dyDescent="0.35">
      <c r="A56" s="21" t="s">
        <v>0</v>
      </c>
      <c r="B56" s="22" t="s">
        <v>1</v>
      </c>
      <c r="C56" s="22" t="s">
        <v>2</v>
      </c>
      <c r="D56" s="23" t="s">
        <v>3</v>
      </c>
      <c r="E56" s="24" t="s">
        <v>4</v>
      </c>
      <c r="F56" s="147" t="s">
        <v>96</v>
      </c>
      <c r="G56" s="246" t="s">
        <v>97</v>
      </c>
      <c r="H56" s="148" t="s">
        <v>134</v>
      </c>
      <c r="J56" s="248" t="s">
        <v>4</v>
      </c>
      <c r="K56" s="147" t="s">
        <v>96</v>
      </c>
      <c r="L56" s="246" t="s">
        <v>97</v>
      </c>
      <c r="M56" s="275" t="s">
        <v>140</v>
      </c>
      <c r="N56" s="148" t="s">
        <v>134</v>
      </c>
      <c r="P56" s="206" t="s">
        <v>130</v>
      </c>
      <c r="R56" s="63" t="s">
        <v>96</v>
      </c>
      <c r="S56" s="64" t="s">
        <v>97</v>
      </c>
      <c r="T56" s="65"/>
      <c r="U56" s="28" t="s">
        <v>4</v>
      </c>
      <c r="V56" s="25" t="s">
        <v>96</v>
      </c>
      <c r="W56" s="26" t="s">
        <v>97</v>
      </c>
      <c r="X56" s="27"/>
      <c r="Y56" s="24" t="s">
        <v>4</v>
      </c>
      <c r="Z56" s="63" t="s">
        <v>96</v>
      </c>
      <c r="AA56" s="64" t="s">
        <v>97</v>
      </c>
      <c r="AB56" s="65"/>
      <c r="AC56" s="28" t="s">
        <v>4</v>
      </c>
      <c r="AD56" s="25" t="s">
        <v>96</v>
      </c>
      <c r="AE56" s="208" t="s">
        <v>97</v>
      </c>
      <c r="AF56" s="26" t="s">
        <v>134</v>
      </c>
    </row>
    <row r="57" spans="1:34" ht="12.75" customHeight="1" x14ac:dyDescent="0.3">
      <c r="A57" s="279" t="s">
        <v>91</v>
      </c>
      <c r="B57" s="273" t="s">
        <v>7</v>
      </c>
      <c r="C57" s="273" t="s">
        <v>70</v>
      </c>
      <c r="D57" s="274" t="s">
        <v>71</v>
      </c>
      <c r="E57" s="377" t="s">
        <v>141</v>
      </c>
      <c r="F57" s="243">
        <v>4700</v>
      </c>
      <c r="G57" s="244"/>
      <c r="H57" s="245">
        <v>200</v>
      </c>
      <c r="I57" s="29"/>
      <c r="J57" s="377" t="s">
        <v>104</v>
      </c>
      <c r="K57" s="249">
        <v>4200</v>
      </c>
      <c r="L57" s="244">
        <v>6</v>
      </c>
      <c r="M57" s="276">
        <v>1</v>
      </c>
      <c r="N57" s="245">
        <v>200</v>
      </c>
      <c r="P57" s="173">
        <f>(K57-F57)/F57</f>
        <v>-0.10638297872340426</v>
      </c>
      <c r="R57" s="66"/>
      <c r="S57" s="67"/>
      <c r="U57" s="380"/>
      <c r="V57" s="33"/>
      <c r="W57" s="34"/>
      <c r="X57" s="35"/>
      <c r="Y57" s="377" t="s">
        <v>101</v>
      </c>
      <c r="Z57" s="66"/>
      <c r="AA57" s="67"/>
      <c r="AC57" s="380"/>
      <c r="AD57" s="76"/>
      <c r="AE57" s="264"/>
      <c r="AF57" s="167"/>
    </row>
    <row r="58" spans="1:34" x14ac:dyDescent="0.3">
      <c r="A58" s="277" t="s">
        <v>91</v>
      </c>
      <c r="B58" s="268" t="s">
        <v>7</v>
      </c>
      <c r="C58" s="268" t="s">
        <v>21</v>
      </c>
      <c r="D58" s="269" t="s">
        <v>23</v>
      </c>
      <c r="E58" s="378"/>
      <c r="F58" s="33">
        <v>4300</v>
      </c>
      <c r="G58" s="217">
        <v>7</v>
      </c>
      <c r="H58" s="34">
        <v>200</v>
      </c>
      <c r="J58" s="378"/>
      <c r="K58" s="222">
        <v>4000</v>
      </c>
      <c r="L58" s="217">
        <v>6</v>
      </c>
      <c r="M58" s="209">
        <v>1</v>
      </c>
      <c r="N58" s="34">
        <v>200</v>
      </c>
      <c r="P58" s="175">
        <f>(K58-F58)/F58</f>
        <v>-6.9767441860465115E-2</v>
      </c>
      <c r="R58" s="33"/>
      <c r="S58" s="34"/>
      <c r="T58" s="65"/>
      <c r="U58" s="381"/>
      <c r="V58" s="33"/>
      <c r="W58" s="34"/>
      <c r="X58" s="35"/>
      <c r="Y58" s="378"/>
      <c r="Z58" s="33"/>
      <c r="AA58" s="34"/>
      <c r="AB58" s="65"/>
      <c r="AC58" s="381"/>
      <c r="AD58" s="76"/>
      <c r="AE58" s="264"/>
      <c r="AF58" s="167"/>
    </row>
    <row r="59" spans="1:34" x14ac:dyDescent="0.3">
      <c r="A59" s="277" t="s">
        <v>91</v>
      </c>
      <c r="B59" s="268" t="s">
        <v>7</v>
      </c>
      <c r="C59" s="268" t="s">
        <v>21</v>
      </c>
      <c r="D59" s="269" t="s">
        <v>72</v>
      </c>
      <c r="E59" s="378"/>
      <c r="F59" s="33">
        <v>7400</v>
      </c>
      <c r="G59" s="217">
        <v>8</v>
      </c>
      <c r="H59" s="34">
        <v>200</v>
      </c>
      <c r="J59" s="378"/>
      <c r="K59" s="222">
        <v>6900</v>
      </c>
      <c r="L59" s="217">
        <v>12</v>
      </c>
      <c r="M59" s="209">
        <v>1</v>
      </c>
      <c r="N59" s="34">
        <v>200</v>
      </c>
      <c r="P59" s="175">
        <f>(K59-F59)/F59</f>
        <v>-6.7567567567567571E-2</v>
      </c>
      <c r="R59" s="33"/>
      <c r="S59" s="34"/>
      <c r="T59" s="65"/>
      <c r="U59" s="381"/>
      <c r="V59" s="33"/>
      <c r="W59" s="34"/>
      <c r="X59" s="35"/>
      <c r="Y59" s="378"/>
      <c r="Z59" s="33"/>
      <c r="AA59" s="34"/>
      <c r="AB59" s="65"/>
      <c r="AC59" s="381"/>
      <c r="AD59" s="76"/>
      <c r="AE59" s="264"/>
      <c r="AF59" s="167"/>
    </row>
    <row r="60" spans="1:34" x14ac:dyDescent="0.3">
      <c r="A60" s="277" t="s">
        <v>91</v>
      </c>
      <c r="B60" s="268" t="s">
        <v>7</v>
      </c>
      <c r="C60" s="268" t="s">
        <v>21</v>
      </c>
      <c r="D60" s="269" t="s">
        <v>22</v>
      </c>
      <c r="E60" s="378"/>
      <c r="F60" s="33">
        <v>4400</v>
      </c>
      <c r="G60" s="217">
        <v>7</v>
      </c>
      <c r="H60" s="34">
        <v>200</v>
      </c>
      <c r="J60" s="378"/>
      <c r="K60" s="222">
        <v>4200</v>
      </c>
      <c r="L60" s="217">
        <v>7</v>
      </c>
      <c r="M60" s="209">
        <v>1</v>
      </c>
      <c r="N60" s="34">
        <v>200</v>
      </c>
      <c r="P60" s="175">
        <f>(K60-F60)/F60</f>
        <v>-4.5454545454545456E-2</v>
      </c>
      <c r="R60" s="33"/>
      <c r="S60" s="34"/>
      <c r="T60" s="65"/>
      <c r="U60" s="381"/>
      <c r="V60" s="33"/>
      <c r="W60" s="34"/>
      <c r="X60" s="35"/>
      <c r="Y60" s="378"/>
      <c r="Z60" s="33"/>
      <c r="AA60" s="34"/>
      <c r="AB60" s="65"/>
      <c r="AC60" s="381"/>
      <c r="AD60" s="76"/>
      <c r="AE60" s="264"/>
      <c r="AF60" s="167"/>
    </row>
    <row r="61" spans="1:34" x14ac:dyDescent="0.3">
      <c r="A61" s="277" t="s">
        <v>91</v>
      </c>
      <c r="B61" s="268" t="s">
        <v>7</v>
      </c>
      <c r="C61" s="268" t="s">
        <v>21</v>
      </c>
      <c r="D61" s="269" t="s">
        <v>92</v>
      </c>
      <c r="E61" s="378"/>
      <c r="F61" s="33"/>
      <c r="G61" s="217"/>
      <c r="H61" s="34"/>
      <c r="J61" s="378"/>
      <c r="K61" s="222">
        <v>3300</v>
      </c>
      <c r="L61" s="217">
        <v>5</v>
      </c>
      <c r="M61" s="209">
        <v>1</v>
      </c>
      <c r="N61" s="34">
        <v>200</v>
      </c>
      <c r="P61" s="177"/>
      <c r="R61" s="33"/>
      <c r="S61" s="34"/>
      <c r="T61" s="65"/>
      <c r="U61" s="381"/>
      <c r="V61" s="33"/>
      <c r="W61" s="34"/>
      <c r="X61" s="35"/>
      <c r="Y61" s="378"/>
      <c r="Z61" s="33"/>
      <c r="AA61" s="34"/>
      <c r="AB61" s="65"/>
      <c r="AC61" s="381"/>
      <c r="AD61" s="76"/>
      <c r="AE61" s="264"/>
      <c r="AF61" s="167"/>
    </row>
    <row r="62" spans="1:34" x14ac:dyDescent="0.3">
      <c r="A62" s="277" t="s">
        <v>91</v>
      </c>
      <c r="B62" s="268" t="s">
        <v>7</v>
      </c>
      <c r="C62" s="268" t="s">
        <v>93</v>
      </c>
      <c r="D62" s="269" t="s">
        <v>94</v>
      </c>
      <c r="E62" s="378"/>
      <c r="F62" s="33"/>
      <c r="G62" s="217"/>
      <c r="H62" s="34"/>
      <c r="J62" s="378"/>
      <c r="K62" s="222">
        <v>6000</v>
      </c>
      <c r="L62" s="217">
        <v>5</v>
      </c>
      <c r="M62" s="209">
        <v>1</v>
      </c>
      <c r="N62" s="34">
        <v>200</v>
      </c>
      <c r="P62" s="177"/>
      <c r="R62" s="33"/>
      <c r="S62" s="34"/>
      <c r="T62" s="65"/>
      <c r="U62" s="381"/>
      <c r="V62" s="33"/>
      <c r="W62" s="34"/>
      <c r="X62" s="35"/>
      <c r="Y62" s="378"/>
      <c r="Z62" s="33"/>
      <c r="AA62" s="34"/>
      <c r="AB62" s="65"/>
      <c r="AC62" s="381"/>
      <c r="AD62" s="76"/>
      <c r="AE62" s="264"/>
      <c r="AF62" s="167"/>
    </row>
    <row r="63" spans="1:34" x14ac:dyDescent="0.3">
      <c r="A63" s="277" t="s">
        <v>91</v>
      </c>
      <c r="B63" s="268" t="s">
        <v>7</v>
      </c>
      <c r="C63" s="268" t="s">
        <v>19</v>
      </c>
      <c r="D63" s="269" t="s">
        <v>20</v>
      </c>
      <c r="E63" s="378"/>
      <c r="F63" s="33">
        <v>1600</v>
      </c>
      <c r="G63" s="217">
        <v>2</v>
      </c>
      <c r="H63" s="34">
        <v>200</v>
      </c>
      <c r="J63" s="378"/>
      <c r="K63" s="222">
        <v>1540</v>
      </c>
      <c r="L63" s="217">
        <v>2</v>
      </c>
      <c r="M63" s="209">
        <v>1</v>
      </c>
      <c r="N63" s="34">
        <v>200</v>
      </c>
      <c r="P63" s="175">
        <f>(K63-F63)/F63</f>
        <v>-3.7499999999999999E-2</v>
      </c>
      <c r="R63" s="33"/>
      <c r="S63" s="34"/>
      <c r="T63" s="65"/>
      <c r="U63" s="381"/>
      <c r="V63" s="33"/>
      <c r="W63" s="34"/>
      <c r="X63" s="35"/>
      <c r="Y63" s="378"/>
      <c r="Z63" s="33"/>
      <c r="AA63" s="34"/>
      <c r="AB63" s="65"/>
      <c r="AC63" s="381"/>
      <c r="AD63" s="76"/>
      <c r="AE63" s="264"/>
      <c r="AF63" s="167"/>
    </row>
    <row r="64" spans="1:34" x14ac:dyDescent="0.3">
      <c r="A64" s="39" t="s">
        <v>91</v>
      </c>
      <c r="B64" s="268" t="s">
        <v>7</v>
      </c>
      <c r="C64" s="268" t="s">
        <v>17</v>
      </c>
      <c r="D64" s="269" t="s">
        <v>18</v>
      </c>
      <c r="E64" s="378"/>
      <c r="F64" s="33">
        <v>3600</v>
      </c>
      <c r="G64" s="217">
        <v>7</v>
      </c>
      <c r="H64" s="34">
        <v>200</v>
      </c>
      <c r="J64" s="378"/>
      <c r="K64" s="222">
        <v>3300</v>
      </c>
      <c r="L64" s="217">
        <v>5</v>
      </c>
      <c r="M64" s="209">
        <v>1</v>
      </c>
      <c r="N64" s="34">
        <v>200</v>
      </c>
      <c r="P64" s="175">
        <f>(K64-F64)/F64</f>
        <v>-8.3333333333333329E-2</v>
      </c>
      <c r="R64" s="58"/>
      <c r="S64" s="59"/>
      <c r="T64" s="65"/>
      <c r="U64" s="381"/>
      <c r="V64" s="58"/>
      <c r="W64" s="59"/>
      <c r="X64" s="35"/>
      <c r="Y64" s="378"/>
      <c r="Z64" s="58"/>
      <c r="AA64" s="59"/>
      <c r="AB64" s="65"/>
      <c r="AC64" s="381"/>
      <c r="AD64" s="265"/>
      <c r="AE64" s="266"/>
      <c r="AF64" s="167"/>
    </row>
    <row r="65" spans="1:32" ht="13.5" thickBot="1" x14ac:dyDescent="0.35">
      <c r="A65" s="43" t="s">
        <v>91</v>
      </c>
      <c r="B65" s="270" t="s">
        <v>5</v>
      </c>
      <c r="C65" s="270" t="s">
        <v>17</v>
      </c>
      <c r="D65" s="271" t="s">
        <v>18</v>
      </c>
      <c r="E65" s="379"/>
      <c r="F65" s="60">
        <v>4000</v>
      </c>
      <c r="G65" s="218">
        <v>8</v>
      </c>
      <c r="H65" s="47">
        <v>200</v>
      </c>
      <c r="J65" s="379"/>
      <c r="K65" s="224">
        <v>3500</v>
      </c>
      <c r="L65" s="218">
        <v>6</v>
      </c>
      <c r="M65" s="210">
        <v>1</v>
      </c>
      <c r="N65" s="47">
        <v>200</v>
      </c>
      <c r="P65" s="176">
        <f>(K65-F65)/F65</f>
        <v>-0.125</v>
      </c>
      <c r="R65" s="60"/>
      <c r="S65" s="47"/>
      <c r="T65" s="65"/>
      <c r="U65" s="382"/>
      <c r="V65" s="60"/>
      <c r="W65" s="47"/>
      <c r="X65" s="35"/>
      <c r="Y65" s="379"/>
      <c r="Z65" s="60"/>
      <c r="AA65" s="47"/>
      <c r="AB65" s="65"/>
      <c r="AC65" s="382"/>
      <c r="AD65" s="168"/>
      <c r="AE65" s="267"/>
      <c r="AF65" s="262"/>
    </row>
  </sheetData>
  <mergeCells count="37">
    <mergeCell ref="A1:D1"/>
    <mergeCell ref="F1:H1"/>
    <mergeCell ref="K1:N1"/>
    <mergeCell ref="R1:S1"/>
    <mergeCell ref="V1:W1"/>
    <mergeCell ref="AD1:AF1"/>
    <mergeCell ref="E3:E11"/>
    <mergeCell ref="J3:J11"/>
    <mergeCell ref="U3:U11"/>
    <mergeCell ref="Y3:Y11"/>
    <mergeCell ref="AC3:AC11"/>
    <mergeCell ref="Z1:AA1"/>
    <mergeCell ref="AC14:AC22"/>
    <mergeCell ref="U15:U22"/>
    <mergeCell ref="E24:E32"/>
    <mergeCell ref="J24:J32"/>
    <mergeCell ref="U24:U32"/>
    <mergeCell ref="Y24:Y32"/>
    <mergeCell ref="AC24:AC32"/>
    <mergeCell ref="J14:J22"/>
    <mergeCell ref="E14:E22"/>
    <mergeCell ref="Y14:Y22"/>
    <mergeCell ref="AC46:AC54"/>
    <mergeCell ref="E35:E43"/>
    <mergeCell ref="J35:J42"/>
    <mergeCell ref="U35:U42"/>
    <mergeCell ref="Y35:Y43"/>
    <mergeCell ref="AC35:AC42"/>
    <mergeCell ref="E46:E54"/>
    <mergeCell ref="J46:J54"/>
    <mergeCell ref="U46:U54"/>
    <mergeCell ref="Y46:Y54"/>
    <mergeCell ref="E57:E65"/>
    <mergeCell ref="J57:J65"/>
    <mergeCell ref="U57:U65"/>
    <mergeCell ref="Y57:Y65"/>
    <mergeCell ref="AC57:AC65"/>
  </mergeCells>
  <conditionalFormatting sqref="F3:F12 K3:K12">
    <cfRule type="expression" dxfId="90" priority="107">
      <formula>$F3=#REF!</formula>
    </cfRule>
  </conditionalFormatting>
  <conditionalFormatting sqref="F25:F33">
    <cfRule type="expression" dxfId="89" priority="106">
      <formula>$F25=#REF!</formula>
    </cfRule>
  </conditionalFormatting>
  <conditionalFormatting sqref="K14:K22 K25:K33">
    <cfRule type="expression" dxfId="88" priority="104">
      <formula>$F14=#REF!</formula>
    </cfRule>
  </conditionalFormatting>
  <conditionalFormatting sqref="F24 V3:V12 R3:R12 F36:F43">
    <cfRule type="expression" dxfId="87" priority="103">
      <formula>$F3=#REF!</formula>
    </cfRule>
  </conditionalFormatting>
  <conditionalFormatting sqref="K24">
    <cfRule type="expression" dxfId="86" priority="102">
      <formula>$F24=#REF!</formula>
    </cfRule>
  </conditionalFormatting>
  <conditionalFormatting sqref="Z35">
    <cfRule type="expression" dxfId="85" priority="41">
      <formula>$F35=#REF!</formula>
    </cfRule>
  </conditionalFormatting>
  <conditionalFormatting sqref="K36:K43 K58:K65">
    <cfRule type="expression" dxfId="84" priority="98">
      <formula>$F36=#REF!</formula>
    </cfRule>
  </conditionalFormatting>
  <conditionalFormatting sqref="F35">
    <cfRule type="expression" dxfId="83" priority="95">
      <formula>$F35=#REF!</formula>
    </cfRule>
  </conditionalFormatting>
  <conditionalFormatting sqref="K35">
    <cfRule type="expression" dxfId="82" priority="94">
      <formula>$F35=#REF!</formula>
    </cfRule>
  </conditionalFormatting>
  <conditionalFormatting sqref="K47:K54 F47:F54">
    <cfRule type="expression" dxfId="81" priority="89">
      <formula>$F47=#REF!</formula>
    </cfRule>
  </conditionalFormatting>
  <conditionalFormatting sqref="F58:F65">
    <cfRule type="expression" dxfId="80" priority="23">
      <formula>$F58=#REF!</formula>
    </cfRule>
  </conditionalFormatting>
  <conditionalFormatting sqref="K46">
    <cfRule type="expression" dxfId="79" priority="88">
      <formula>$F46=#REF!</formula>
    </cfRule>
  </conditionalFormatting>
  <conditionalFormatting sqref="F57">
    <cfRule type="expression" dxfId="78" priority="85">
      <formula>$F57=#REF!</formula>
    </cfRule>
  </conditionalFormatting>
  <conditionalFormatting sqref="K57">
    <cfRule type="expression" dxfId="77" priority="84">
      <formula>$F57=#REF!</formula>
    </cfRule>
  </conditionalFormatting>
  <conditionalFormatting sqref="Z48">
    <cfRule type="expression" dxfId="76" priority="21">
      <formula>$F48=#REF!</formula>
    </cfRule>
  </conditionalFormatting>
  <conditionalFormatting sqref="F46">
    <cfRule type="expression" dxfId="75" priority="82">
      <formula>$F46=#REF!</formula>
    </cfRule>
  </conditionalFormatting>
  <conditionalFormatting sqref="R15:R22">
    <cfRule type="expression" dxfId="74" priority="79">
      <formula>$F15=#REF!</formula>
    </cfRule>
  </conditionalFormatting>
  <conditionalFormatting sqref="R25:R33">
    <cfRule type="expression" dxfId="73" priority="78">
      <formula>$F25=#REF!</formula>
    </cfRule>
  </conditionalFormatting>
  <conditionalFormatting sqref="V14:V22 V25:V33">
    <cfRule type="expression" dxfId="72" priority="77">
      <formula>$F14=#REF!</formula>
    </cfRule>
  </conditionalFormatting>
  <conditionalFormatting sqref="R24 AD3:AD4 AD6:AD12 R36:R43 V47:V54 R47:R54">
    <cfRule type="expression" dxfId="71" priority="76">
      <formula>$F3=#REF!</formula>
    </cfRule>
  </conditionalFormatting>
  <conditionalFormatting sqref="V24">
    <cfRule type="expression" dxfId="70" priority="75">
      <formula>$F24=#REF!</formula>
    </cfRule>
  </conditionalFormatting>
  <conditionalFormatting sqref="R14">
    <cfRule type="expression" dxfId="69" priority="74">
      <formula>$F14=#REF!</formula>
    </cfRule>
  </conditionalFormatting>
  <conditionalFormatting sqref="V36:V43 V58:V65">
    <cfRule type="expression" dxfId="68" priority="73">
      <formula>$F36=#REF!</formula>
    </cfRule>
  </conditionalFormatting>
  <conditionalFormatting sqref="R35">
    <cfRule type="expression" dxfId="67" priority="67">
      <formula>$F35=#REF!</formula>
    </cfRule>
  </conditionalFormatting>
  <conditionalFormatting sqref="V35">
    <cfRule type="expression" dxfId="66" priority="66">
      <formula>$F35=#REF!</formula>
    </cfRule>
  </conditionalFormatting>
  <conditionalFormatting sqref="V46 R58:R65">
    <cfRule type="expression" dxfId="65" priority="60">
      <formula>$F46=#REF!</formula>
    </cfRule>
  </conditionalFormatting>
  <conditionalFormatting sqref="R57">
    <cfRule type="expression" dxfId="64" priority="57">
      <formula>$F57=#REF!</formula>
    </cfRule>
  </conditionalFormatting>
  <conditionalFormatting sqref="V57">
    <cfRule type="expression" dxfId="63" priority="56">
      <formula>$F57=#REF!</formula>
    </cfRule>
  </conditionalFormatting>
  <conditionalFormatting sqref="R46">
    <cfRule type="expression" dxfId="62" priority="54">
      <formula>$F46=#REF!</formula>
    </cfRule>
  </conditionalFormatting>
  <conditionalFormatting sqref="Z4:Z12">
    <cfRule type="expression" dxfId="61" priority="52">
      <formula>$F4=#REF!</formula>
    </cfRule>
  </conditionalFormatting>
  <conditionalFormatting sqref="Z15:Z22">
    <cfRule type="expression" dxfId="60" priority="51">
      <formula>$F15=#REF!</formula>
    </cfRule>
  </conditionalFormatting>
  <conditionalFormatting sqref="Z33">
    <cfRule type="expression" dxfId="59" priority="50">
      <formula>$F33=#REF!</formula>
    </cfRule>
  </conditionalFormatting>
  <conditionalFormatting sqref="AD33 AD15 AD17 AD19:AD22 AD47:AD54">
    <cfRule type="expression" dxfId="58" priority="49">
      <formula>$F15=#REF!</formula>
    </cfRule>
  </conditionalFormatting>
  <conditionalFormatting sqref="Z36:Z43 Z49:Z54">
    <cfRule type="expression" dxfId="57" priority="43">
      <formula>$F36=#REF!</formula>
    </cfRule>
  </conditionalFormatting>
  <conditionalFormatting sqref="Z14">
    <cfRule type="expression" dxfId="56" priority="48">
      <formula>$F14=#REF!</formula>
    </cfRule>
  </conditionalFormatting>
  <conditionalFormatting sqref="AD35 Z47">
    <cfRule type="expression" dxfId="55" priority="40">
      <formula>$F35=#REF!</formula>
    </cfRule>
  </conditionalFormatting>
  <conditionalFormatting sqref="AD36 AD38 AD40:AD43 AD25 AD27 AD29:AD32 F14:F22 Z58:Z65">
    <cfRule type="expression" dxfId="54" priority="42">
      <formula>$F14=#REF!</formula>
    </cfRule>
  </conditionalFormatting>
  <conditionalFormatting sqref="AD46">
    <cfRule type="expression" dxfId="53" priority="36">
      <formula>$F46=#REF!</formula>
    </cfRule>
  </conditionalFormatting>
  <conditionalFormatting sqref="AD58:AD65">
    <cfRule type="expression" dxfId="52" priority="34">
      <formula>$F58=#REF!</formula>
    </cfRule>
  </conditionalFormatting>
  <conditionalFormatting sqref="Z57">
    <cfRule type="expression" dxfId="51" priority="33">
      <formula>$F57=#REF!</formula>
    </cfRule>
  </conditionalFormatting>
  <conditionalFormatting sqref="AD57">
    <cfRule type="expression" dxfId="50" priority="32">
      <formula>$F57=#REF!</formula>
    </cfRule>
  </conditionalFormatting>
  <conditionalFormatting sqref="Z46">
    <cfRule type="expression" dxfId="49" priority="30">
      <formula>$F46=#REF!</formula>
    </cfRule>
  </conditionalFormatting>
  <conditionalFormatting sqref="AD14">
    <cfRule type="expression" dxfId="48" priority="29">
      <formula>$F14=#REF!</formula>
    </cfRule>
  </conditionalFormatting>
  <conditionalFormatting sqref="Z3">
    <cfRule type="expression" dxfId="47" priority="28">
      <formula>$F3=#REF!</formula>
    </cfRule>
  </conditionalFormatting>
  <conditionalFormatting sqref="Z25:Z32">
    <cfRule type="expression" dxfId="46" priority="27">
      <formula>$F25=#REF!</formula>
    </cfRule>
  </conditionalFormatting>
  <conditionalFormatting sqref="Z24">
    <cfRule type="expression" dxfId="45" priority="26">
      <formula>$F24=#REF!</formula>
    </cfRule>
  </conditionalFormatting>
  <conditionalFormatting sqref="AD5">
    <cfRule type="expression" dxfId="44" priority="18">
      <formula>$F5=#REF!</formula>
    </cfRule>
  </conditionalFormatting>
  <conditionalFormatting sqref="AD16">
    <cfRule type="expression" dxfId="43" priority="16">
      <formula>$F16=#REF!</formula>
    </cfRule>
  </conditionalFormatting>
  <conditionalFormatting sqref="AD18">
    <cfRule type="expression" dxfId="42" priority="15">
      <formula>$F18=#REF!</formula>
    </cfRule>
  </conditionalFormatting>
  <conditionalFormatting sqref="AD24">
    <cfRule type="expression" dxfId="41" priority="14">
      <formula>$F24=#REF!</formula>
    </cfRule>
  </conditionalFormatting>
  <conditionalFormatting sqref="AD26">
    <cfRule type="expression" dxfId="40" priority="12">
      <formula>$F26=#REF!</formula>
    </cfRule>
  </conditionalFormatting>
  <conditionalFormatting sqref="AD28">
    <cfRule type="expression" dxfId="39" priority="11">
      <formula>$F28=#REF!</formula>
    </cfRule>
  </conditionalFormatting>
  <conditionalFormatting sqref="AD37">
    <cfRule type="expression" dxfId="38" priority="8">
      <formula>$F37=#REF!</formula>
    </cfRule>
  </conditionalFormatting>
  <conditionalFormatting sqref="AD39">
    <cfRule type="expression" dxfId="37" priority="7">
      <formula>$F39=#REF!</formula>
    </cfRule>
  </conditionalFormatting>
  <pageMargins left="0.25" right="0.25" top="0.75" bottom="0.75" header="0.3" footer="0.3"/>
  <pageSetup scale="52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148"/>
  <sheetViews>
    <sheetView showGridLines="0" zoomScale="85" zoomScaleNormal="85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I82" sqref="I82"/>
    </sheetView>
  </sheetViews>
  <sheetFormatPr defaultColWidth="18.54296875" defaultRowHeight="13" x14ac:dyDescent="0.3"/>
  <cols>
    <col min="1" max="1" width="15.453125" style="29" customWidth="1"/>
    <col min="2" max="2" width="15.81640625" style="29" customWidth="1"/>
    <col min="3" max="3" width="11.54296875" style="62" customWidth="1"/>
    <col min="4" max="4" width="11.26953125" style="62" hidden="1" customWidth="1"/>
    <col min="5" max="6" width="11.7265625" style="62" hidden="1" customWidth="1"/>
    <col min="7" max="7" width="2.26953125" style="62" customWidth="1"/>
    <col min="8" max="8" width="12.7265625" style="62" hidden="1" customWidth="1"/>
    <col min="9" max="9" width="10.26953125" style="62" customWidth="1"/>
    <col min="10" max="10" width="11.7265625" style="62" customWidth="1"/>
    <col min="11" max="11" width="9.453125" style="62" customWidth="1"/>
    <col min="12" max="12" width="11.7265625" style="62" customWidth="1"/>
    <col min="13" max="13" width="2" style="62" customWidth="1"/>
    <col min="14" max="14" width="12.26953125" style="62" customWidth="1"/>
    <col min="15" max="15" width="2.81640625" style="145" customWidth="1"/>
    <col min="16" max="18" width="11.26953125" style="145" hidden="1" customWidth="1"/>
    <col min="19" max="19" width="3.453125" style="145" hidden="1" customWidth="1"/>
    <col min="20" max="22" width="11.26953125" style="145" hidden="1" customWidth="1"/>
    <col min="23" max="23" width="2.7265625" style="145" hidden="1" customWidth="1"/>
    <col min="24" max="24" width="11.26953125" style="145" hidden="1" customWidth="1"/>
    <col min="25" max="25" width="2.81640625" style="145" hidden="1" customWidth="1"/>
    <col min="26" max="26" width="2.54296875" style="62" customWidth="1"/>
    <col min="27" max="27" width="15.81640625" style="62" customWidth="1"/>
    <col min="28" max="29" width="10.26953125" style="62" customWidth="1"/>
    <col min="30" max="30" width="2.26953125" style="62" customWidth="1"/>
    <col min="31" max="31" width="17.54296875" style="62" customWidth="1"/>
    <col min="32" max="33" width="10.26953125" style="62" customWidth="1"/>
    <col min="34" max="34" width="13.453125" style="62" customWidth="1"/>
    <col min="35" max="35" width="2.26953125" style="62" customWidth="1"/>
    <col min="36" max="36" width="11.7265625" style="62" customWidth="1"/>
    <col min="37" max="37" width="10.26953125" style="62" customWidth="1"/>
    <col min="38" max="38" width="11.453125" style="62" customWidth="1"/>
    <col min="39" max="40" width="19" style="112" hidden="1" customWidth="1"/>
    <col min="41" max="41" width="1.26953125" style="101" hidden="1" customWidth="1"/>
    <col min="42" max="43" width="19" style="112" hidden="1" customWidth="1"/>
    <col min="44" max="44" width="1.54296875" style="101" hidden="1" customWidth="1"/>
    <col min="45" max="46" width="19" style="112" hidden="1" customWidth="1"/>
    <col min="47" max="47" width="1.1796875" style="29" hidden="1" customWidth="1"/>
    <col min="48" max="48" width="10.54296875" style="29" hidden="1" customWidth="1"/>
    <col min="49" max="49" width="18.54296875" style="29" hidden="1" customWidth="1"/>
    <col min="50" max="50" width="0" style="29" hidden="1" customWidth="1"/>
    <col min="51" max="16384" width="18.54296875" style="29"/>
  </cols>
  <sheetData>
    <row r="1" spans="1:48" s="15" customFormat="1" ht="38.25" customHeight="1" thickBot="1" x14ac:dyDescent="0.3">
      <c r="A1" s="237" t="s">
        <v>138</v>
      </c>
      <c r="B1" s="236"/>
      <c r="D1" s="389" t="s">
        <v>108</v>
      </c>
      <c r="E1" s="390"/>
      <c r="F1" s="391"/>
      <c r="G1" s="17"/>
      <c r="H1" s="18"/>
      <c r="I1" s="389" t="s">
        <v>109</v>
      </c>
      <c r="J1" s="390"/>
      <c r="K1" s="390"/>
      <c r="L1" s="391"/>
      <c r="O1" s="141"/>
      <c r="Q1" s="392" t="s">
        <v>121</v>
      </c>
      <c r="R1" s="393"/>
      <c r="S1" s="17"/>
      <c r="T1" s="75"/>
      <c r="U1" s="392" t="s">
        <v>122</v>
      </c>
      <c r="V1" s="393"/>
      <c r="W1" s="141"/>
      <c r="X1" s="140" t="s">
        <v>120</v>
      </c>
      <c r="Y1" s="141"/>
      <c r="AB1" s="385" t="s">
        <v>107</v>
      </c>
      <c r="AC1" s="387"/>
      <c r="AD1" s="17"/>
      <c r="AE1" s="75"/>
      <c r="AF1" s="437" t="s">
        <v>110</v>
      </c>
      <c r="AG1" s="438"/>
      <c r="AH1" s="438"/>
      <c r="AM1" s="133" t="s">
        <v>76</v>
      </c>
      <c r="AN1" s="134"/>
      <c r="AO1" s="77"/>
      <c r="AP1" s="135" t="s">
        <v>77</v>
      </c>
      <c r="AQ1" s="134"/>
      <c r="AR1" s="77"/>
      <c r="AS1" s="135" t="s">
        <v>79</v>
      </c>
      <c r="AT1" s="134"/>
    </row>
    <row r="2" spans="1:48" s="15" customFormat="1" ht="39.5" thickBot="1" x14ac:dyDescent="0.3">
      <c r="A2" s="123" t="s">
        <v>1</v>
      </c>
      <c r="B2" s="124" t="s">
        <v>3</v>
      </c>
      <c r="C2" s="125" t="s">
        <v>4</v>
      </c>
      <c r="D2" s="147" t="s">
        <v>96</v>
      </c>
      <c r="E2" s="246" t="s">
        <v>97</v>
      </c>
      <c r="F2" s="148" t="s">
        <v>134</v>
      </c>
      <c r="G2" s="27"/>
      <c r="H2" s="28" t="s">
        <v>4</v>
      </c>
      <c r="I2" s="147" t="s">
        <v>96</v>
      </c>
      <c r="J2" s="246" t="s">
        <v>97</v>
      </c>
      <c r="K2" s="275" t="s">
        <v>142</v>
      </c>
      <c r="L2" s="148" t="s">
        <v>134</v>
      </c>
      <c r="M2" s="127"/>
      <c r="N2" s="206" t="s">
        <v>130</v>
      </c>
      <c r="O2" s="127"/>
      <c r="P2" s="146" t="s">
        <v>4</v>
      </c>
      <c r="Q2" s="147" t="s">
        <v>96</v>
      </c>
      <c r="R2" s="148" t="s">
        <v>97</v>
      </c>
      <c r="S2" s="27"/>
      <c r="T2" s="28" t="s">
        <v>4</v>
      </c>
      <c r="U2" s="25" t="s">
        <v>96</v>
      </c>
      <c r="V2" s="26" t="s">
        <v>97</v>
      </c>
      <c r="W2" s="127"/>
      <c r="X2" s="127"/>
      <c r="Y2" s="127"/>
      <c r="Z2" s="127"/>
      <c r="AA2" s="146" t="s">
        <v>4</v>
      </c>
      <c r="AB2" s="147" t="s">
        <v>96</v>
      </c>
      <c r="AC2" s="148" t="s">
        <v>97</v>
      </c>
      <c r="AD2" s="27"/>
      <c r="AE2" s="220" t="s">
        <v>4</v>
      </c>
      <c r="AF2" s="221" t="s">
        <v>96</v>
      </c>
      <c r="AG2" s="216" t="s">
        <v>97</v>
      </c>
      <c r="AH2" s="26" t="s">
        <v>134</v>
      </c>
      <c r="AI2" s="127"/>
      <c r="AJ2" s="206" t="s">
        <v>130</v>
      </c>
      <c r="AK2" s="127"/>
      <c r="AL2" s="122"/>
      <c r="AM2" s="78" t="s">
        <v>75</v>
      </c>
      <c r="AN2" s="78" t="s">
        <v>33</v>
      </c>
      <c r="AO2" s="77"/>
      <c r="AP2" s="78" t="s">
        <v>75</v>
      </c>
      <c r="AQ2" s="78" t="s">
        <v>33</v>
      </c>
      <c r="AR2" s="77"/>
      <c r="AS2" s="78" t="s">
        <v>75</v>
      </c>
      <c r="AT2" s="78" t="s">
        <v>33</v>
      </c>
      <c r="AV2" s="15" t="s">
        <v>84</v>
      </c>
    </row>
    <row r="3" spans="1:48" ht="15" customHeight="1" x14ac:dyDescent="0.3">
      <c r="A3" s="12" t="s">
        <v>5</v>
      </c>
      <c r="B3" s="207" t="s">
        <v>131</v>
      </c>
      <c r="C3" s="418" t="s">
        <v>6</v>
      </c>
      <c r="D3" s="158">
        <v>680</v>
      </c>
      <c r="E3" s="251">
        <v>1</v>
      </c>
      <c r="F3" s="137">
        <v>200</v>
      </c>
      <c r="G3" s="126"/>
      <c r="H3" s="418" t="s">
        <v>124</v>
      </c>
      <c r="I3" s="136">
        <v>595</v>
      </c>
      <c r="J3" s="251">
        <v>1</v>
      </c>
      <c r="K3" s="255">
        <v>1</v>
      </c>
      <c r="L3" s="137">
        <v>170</v>
      </c>
      <c r="M3" s="126"/>
      <c r="N3" s="183">
        <f>(I3-650)/650</f>
        <v>-8.461538461538462E-2</v>
      </c>
      <c r="O3" s="126"/>
      <c r="P3" s="418"/>
      <c r="Q3" s="136"/>
      <c r="R3" s="137"/>
      <c r="S3" s="126"/>
      <c r="T3" s="418"/>
      <c r="U3" s="136"/>
      <c r="V3" s="137"/>
      <c r="W3" s="126"/>
      <c r="X3" s="126"/>
      <c r="Y3" s="126"/>
      <c r="Z3" s="126"/>
      <c r="AA3" s="418" t="s">
        <v>126</v>
      </c>
      <c r="AB3" s="136">
        <v>590</v>
      </c>
      <c r="AC3" s="137">
        <v>1</v>
      </c>
      <c r="AD3" s="126"/>
      <c r="AE3" s="430" t="s">
        <v>129</v>
      </c>
      <c r="AF3" s="226">
        <v>550</v>
      </c>
      <c r="AG3" s="226">
        <v>2</v>
      </c>
      <c r="AH3" s="34">
        <v>150</v>
      </c>
      <c r="AI3" s="126"/>
      <c r="AJ3" s="183">
        <f>(AF3-AB3)/AB3</f>
        <v>-6.7796610169491525E-2</v>
      </c>
      <c r="AK3" s="126"/>
      <c r="AL3" s="126"/>
      <c r="AM3" s="128">
        <v>788.8</v>
      </c>
      <c r="AN3" s="80" t="s">
        <v>66</v>
      </c>
      <c r="AO3" s="81"/>
      <c r="AP3" s="82">
        <v>684.4</v>
      </c>
      <c r="AQ3" s="83">
        <v>2</v>
      </c>
      <c r="AR3" s="84"/>
      <c r="AS3" s="82">
        <v>590</v>
      </c>
      <c r="AT3" s="83">
        <v>1</v>
      </c>
      <c r="AU3" s="85"/>
      <c r="AV3" s="86">
        <f>MIN(AM3,AP3,AS3)</f>
        <v>590</v>
      </c>
    </row>
    <row r="4" spans="1:48" ht="15" customHeight="1" x14ac:dyDescent="0.3">
      <c r="A4" s="13" t="s">
        <v>7</v>
      </c>
      <c r="B4" s="120" t="s">
        <v>10</v>
      </c>
      <c r="C4" s="419"/>
      <c r="D4" s="159">
        <v>850</v>
      </c>
      <c r="E4" s="226">
        <v>1</v>
      </c>
      <c r="F4" s="138">
        <v>200</v>
      </c>
      <c r="G4" s="126"/>
      <c r="H4" s="419"/>
      <c r="I4" s="259">
        <v>900</v>
      </c>
      <c r="J4" s="226">
        <v>2</v>
      </c>
      <c r="K4" s="256">
        <v>1</v>
      </c>
      <c r="L4" s="138">
        <v>170</v>
      </c>
      <c r="M4" s="126"/>
      <c r="N4" s="187">
        <f>(I4-D4)/I4</f>
        <v>5.5555555555555552E-2</v>
      </c>
      <c r="O4" s="126"/>
      <c r="P4" s="419"/>
      <c r="Q4" s="259"/>
      <c r="R4" s="138"/>
      <c r="S4" s="126"/>
      <c r="T4" s="419"/>
      <c r="U4" s="259"/>
      <c r="V4" s="138"/>
      <c r="W4" s="126"/>
      <c r="X4" s="126"/>
      <c r="Y4" s="126"/>
      <c r="Z4" s="126"/>
      <c r="AA4" s="419"/>
      <c r="AB4" s="259">
        <v>900</v>
      </c>
      <c r="AC4" s="138">
        <v>4</v>
      </c>
      <c r="AD4" s="126"/>
      <c r="AE4" s="430"/>
      <c r="AF4" s="226">
        <v>900</v>
      </c>
      <c r="AG4" s="226">
        <v>2</v>
      </c>
      <c r="AH4" s="34">
        <v>150</v>
      </c>
      <c r="AI4" s="126"/>
      <c r="AJ4" s="191">
        <f t="shared" ref="AJ4:AJ13" si="0">(AF4-AB4)/AB4</f>
        <v>0</v>
      </c>
      <c r="AK4" s="126"/>
      <c r="AL4" s="114"/>
      <c r="AM4" s="79"/>
      <c r="AN4" s="80" t="s">
        <v>66</v>
      </c>
      <c r="AO4" s="81"/>
      <c r="AP4" s="82">
        <v>754</v>
      </c>
      <c r="AQ4" s="83">
        <v>2</v>
      </c>
      <c r="AR4" s="84"/>
      <c r="AS4" s="82">
        <v>650</v>
      </c>
      <c r="AT4" s="83">
        <v>1</v>
      </c>
      <c r="AU4" s="85"/>
      <c r="AV4" s="86">
        <f t="shared" ref="AV4:AV64" si="1">MIN(AM4,AP4,AS4)</f>
        <v>650</v>
      </c>
    </row>
    <row r="5" spans="1:48" ht="15" customHeight="1" x14ac:dyDescent="0.3">
      <c r="A5" s="280" t="s">
        <v>7</v>
      </c>
      <c r="B5" s="281" t="s">
        <v>119</v>
      </c>
      <c r="C5" s="419"/>
      <c r="D5" s="159"/>
      <c r="E5" s="226"/>
      <c r="F5" s="138"/>
      <c r="G5" s="126"/>
      <c r="H5" s="419"/>
      <c r="I5" s="259">
        <v>350</v>
      </c>
      <c r="J5" s="226">
        <v>1</v>
      </c>
      <c r="K5" s="256">
        <v>1</v>
      </c>
      <c r="L5" s="138">
        <v>170</v>
      </c>
      <c r="M5" s="126"/>
      <c r="N5" s="182"/>
      <c r="O5" s="126"/>
      <c r="P5" s="419"/>
      <c r="Q5" s="259"/>
      <c r="R5" s="138"/>
      <c r="S5" s="126"/>
      <c r="T5" s="419"/>
      <c r="U5" s="259"/>
      <c r="V5" s="138"/>
      <c r="W5" s="126"/>
      <c r="X5" s="126"/>
      <c r="Y5" s="126"/>
      <c r="Z5" s="126"/>
      <c r="AA5" s="419"/>
      <c r="AB5" s="259"/>
      <c r="AC5" s="138"/>
      <c r="AD5" s="126"/>
      <c r="AE5" s="430"/>
      <c r="AF5" s="226">
        <v>650</v>
      </c>
      <c r="AG5" s="226">
        <v>1</v>
      </c>
      <c r="AH5" s="34">
        <v>150</v>
      </c>
      <c r="AI5" s="126"/>
      <c r="AJ5" s="181"/>
      <c r="AK5" s="126"/>
      <c r="AL5" s="114"/>
      <c r="AM5" s="79">
        <v>162.39999999999998</v>
      </c>
      <c r="AN5" s="80" t="s">
        <v>66</v>
      </c>
      <c r="AO5" s="81"/>
      <c r="AP5" s="82">
        <v>174</v>
      </c>
      <c r="AQ5" s="83">
        <v>2</v>
      </c>
      <c r="AR5" s="84"/>
      <c r="AS5" s="82">
        <v>150</v>
      </c>
      <c r="AT5" s="83">
        <v>1</v>
      </c>
      <c r="AU5" s="85"/>
      <c r="AV5" s="86">
        <f t="shared" si="1"/>
        <v>150</v>
      </c>
    </row>
    <row r="6" spans="1:48" ht="15" customHeight="1" x14ac:dyDescent="0.3">
      <c r="A6" s="13" t="s">
        <v>7</v>
      </c>
      <c r="B6" s="120" t="s">
        <v>63</v>
      </c>
      <c r="C6" s="419"/>
      <c r="D6" s="160">
        <v>1350</v>
      </c>
      <c r="E6" s="226">
        <v>2</v>
      </c>
      <c r="F6" s="138">
        <v>200</v>
      </c>
      <c r="G6" s="126"/>
      <c r="H6" s="419"/>
      <c r="I6" s="259">
        <v>800</v>
      </c>
      <c r="J6" s="226">
        <v>1</v>
      </c>
      <c r="K6" s="256">
        <v>1</v>
      </c>
      <c r="L6" s="138">
        <v>170</v>
      </c>
      <c r="M6" s="126"/>
      <c r="N6" s="184">
        <f>(I6-1200)/1200</f>
        <v>-0.33333333333333331</v>
      </c>
      <c r="O6" s="126"/>
      <c r="P6" s="419"/>
      <c r="Q6" s="259"/>
      <c r="R6" s="138"/>
      <c r="S6" s="126"/>
      <c r="T6" s="419"/>
      <c r="U6" s="259"/>
      <c r="V6" s="138"/>
      <c r="W6" s="126"/>
      <c r="X6" s="126"/>
      <c r="Y6" s="126"/>
      <c r="Z6" s="126"/>
      <c r="AA6" s="419"/>
      <c r="AB6" s="259">
        <v>1100</v>
      </c>
      <c r="AC6" s="138">
        <v>4</v>
      </c>
      <c r="AD6" s="126"/>
      <c r="AE6" s="430"/>
      <c r="AF6" s="226">
        <v>1000</v>
      </c>
      <c r="AG6" s="226">
        <v>2</v>
      </c>
      <c r="AH6" s="34">
        <v>150</v>
      </c>
      <c r="AI6" s="126"/>
      <c r="AJ6" s="184">
        <f t="shared" si="0"/>
        <v>-9.0909090909090912E-2</v>
      </c>
      <c r="AK6" s="126"/>
      <c r="AL6" s="114"/>
      <c r="AM6" s="79">
        <v>440.79999999999995</v>
      </c>
      <c r="AN6" s="80" t="s">
        <v>66</v>
      </c>
      <c r="AO6" s="81"/>
      <c r="AP6" s="82">
        <v>406</v>
      </c>
      <c r="AQ6" s="83">
        <v>2</v>
      </c>
      <c r="AR6" s="84"/>
      <c r="AS6" s="82">
        <v>350</v>
      </c>
      <c r="AT6" s="83">
        <v>1</v>
      </c>
      <c r="AU6" s="85"/>
      <c r="AV6" s="86">
        <f t="shared" si="1"/>
        <v>350</v>
      </c>
    </row>
    <row r="7" spans="1:48" ht="15" customHeight="1" x14ac:dyDescent="0.3">
      <c r="A7" s="13" t="s">
        <v>7</v>
      </c>
      <c r="B7" s="120" t="s">
        <v>8</v>
      </c>
      <c r="C7" s="419"/>
      <c r="D7" s="160">
        <v>680</v>
      </c>
      <c r="E7" s="226">
        <v>1</v>
      </c>
      <c r="F7" s="138">
        <v>200</v>
      </c>
      <c r="G7" s="126"/>
      <c r="H7" s="419"/>
      <c r="I7" s="259">
        <v>600</v>
      </c>
      <c r="J7" s="226">
        <v>1</v>
      </c>
      <c r="K7" s="256">
        <v>1</v>
      </c>
      <c r="L7" s="138">
        <v>170</v>
      </c>
      <c r="M7" s="126"/>
      <c r="N7" s="184">
        <f>(I7-650)/650</f>
        <v>-7.6923076923076927E-2</v>
      </c>
      <c r="O7" s="126"/>
      <c r="P7" s="419"/>
      <c r="Q7" s="259"/>
      <c r="R7" s="138"/>
      <c r="S7" s="126"/>
      <c r="T7" s="419"/>
      <c r="U7" s="259"/>
      <c r="V7" s="138"/>
      <c r="W7" s="126"/>
      <c r="X7" s="126"/>
      <c r="Y7" s="126"/>
      <c r="Z7" s="126"/>
      <c r="AA7" s="419"/>
      <c r="AB7" s="259">
        <v>650</v>
      </c>
      <c r="AC7" s="138">
        <v>1</v>
      </c>
      <c r="AD7" s="126"/>
      <c r="AE7" s="430"/>
      <c r="AF7" s="226">
        <v>650</v>
      </c>
      <c r="AG7" s="226">
        <v>2</v>
      </c>
      <c r="AH7" s="34">
        <v>150</v>
      </c>
      <c r="AI7" s="126"/>
      <c r="AJ7" s="191">
        <f t="shared" si="0"/>
        <v>0</v>
      </c>
      <c r="AK7" s="126"/>
      <c r="AL7" s="114"/>
      <c r="AM7" s="79">
        <v>985.99999999999989</v>
      </c>
      <c r="AN7" s="87" t="s">
        <v>66</v>
      </c>
      <c r="AO7" s="81"/>
      <c r="AP7" s="82"/>
      <c r="AQ7" s="83"/>
      <c r="AR7" s="84"/>
      <c r="AS7" s="82">
        <v>900</v>
      </c>
      <c r="AT7" s="83">
        <v>4</v>
      </c>
      <c r="AU7" s="85"/>
      <c r="AV7" s="86">
        <f t="shared" si="1"/>
        <v>900</v>
      </c>
    </row>
    <row r="8" spans="1:48" ht="15" customHeight="1" x14ac:dyDescent="0.3">
      <c r="A8" s="13" t="s">
        <v>7</v>
      </c>
      <c r="B8" s="120" t="s">
        <v>11</v>
      </c>
      <c r="C8" s="419"/>
      <c r="D8" s="159">
        <v>100</v>
      </c>
      <c r="E8" s="226">
        <v>1</v>
      </c>
      <c r="F8" s="138">
        <v>200</v>
      </c>
      <c r="G8" s="126"/>
      <c r="H8" s="419"/>
      <c r="I8" s="259">
        <v>150</v>
      </c>
      <c r="J8" s="226">
        <v>1</v>
      </c>
      <c r="K8" s="256">
        <v>1</v>
      </c>
      <c r="L8" s="138">
        <v>170</v>
      </c>
      <c r="M8" s="126"/>
      <c r="N8" s="187">
        <f>(I8-D8)/D8</f>
        <v>0.5</v>
      </c>
      <c r="O8" s="126"/>
      <c r="P8" s="419"/>
      <c r="Q8" s="259"/>
      <c r="R8" s="138"/>
      <c r="S8" s="126"/>
      <c r="T8" s="419"/>
      <c r="U8" s="259"/>
      <c r="V8" s="138"/>
      <c r="W8" s="126"/>
      <c r="X8" s="126"/>
      <c r="Y8" s="126"/>
      <c r="Z8" s="126"/>
      <c r="AA8" s="419"/>
      <c r="AB8" s="259">
        <v>100</v>
      </c>
      <c r="AC8" s="138">
        <v>1</v>
      </c>
      <c r="AD8" s="126"/>
      <c r="AE8" s="430"/>
      <c r="AF8" s="226">
        <v>100</v>
      </c>
      <c r="AG8" s="226">
        <v>1</v>
      </c>
      <c r="AH8" s="34">
        <v>150</v>
      </c>
      <c r="AI8" s="126"/>
      <c r="AJ8" s="191">
        <f t="shared" si="0"/>
        <v>0</v>
      </c>
      <c r="AK8" s="126"/>
      <c r="AL8" s="114"/>
      <c r="AM8" s="79">
        <v>1566</v>
      </c>
      <c r="AN8" s="80" t="s">
        <v>67</v>
      </c>
      <c r="AO8" s="81"/>
      <c r="AP8" s="82"/>
      <c r="AQ8" s="83"/>
      <c r="AR8" s="84"/>
      <c r="AS8" s="82">
        <v>1100</v>
      </c>
      <c r="AT8" s="83">
        <v>4</v>
      </c>
      <c r="AU8" s="85"/>
      <c r="AV8" s="86">
        <f t="shared" si="1"/>
        <v>1100</v>
      </c>
    </row>
    <row r="9" spans="1:48" ht="15" customHeight="1" x14ac:dyDescent="0.3">
      <c r="A9" s="13" t="s">
        <v>7</v>
      </c>
      <c r="B9" s="120" t="s">
        <v>118</v>
      </c>
      <c r="C9" s="419"/>
      <c r="D9" s="159">
        <v>620</v>
      </c>
      <c r="E9" s="226">
        <v>1</v>
      </c>
      <c r="F9" s="138">
        <v>200</v>
      </c>
      <c r="G9" s="126"/>
      <c r="H9" s="419"/>
      <c r="I9" s="259">
        <v>360</v>
      </c>
      <c r="J9" s="226">
        <v>1</v>
      </c>
      <c r="K9" s="256">
        <v>1</v>
      </c>
      <c r="L9" s="138">
        <v>170</v>
      </c>
      <c r="M9" s="126"/>
      <c r="N9" s="184">
        <f>(I9-D9)/D9</f>
        <v>-0.41935483870967744</v>
      </c>
      <c r="O9" s="126"/>
      <c r="P9" s="419"/>
      <c r="Q9" s="259"/>
      <c r="R9" s="138"/>
      <c r="S9" s="126"/>
      <c r="T9" s="419"/>
      <c r="U9" s="259"/>
      <c r="V9" s="138"/>
      <c r="W9" s="126"/>
      <c r="X9" s="126"/>
      <c r="Y9" s="126"/>
      <c r="Z9" s="126"/>
      <c r="AA9" s="419"/>
      <c r="AB9" s="259" t="s">
        <v>95</v>
      </c>
      <c r="AC9" s="138" t="s">
        <v>95</v>
      </c>
      <c r="AD9" s="126"/>
      <c r="AE9" s="430"/>
      <c r="AF9" s="226">
        <v>400</v>
      </c>
      <c r="AG9" s="226">
        <v>2</v>
      </c>
      <c r="AH9" s="34">
        <v>150</v>
      </c>
      <c r="AI9" s="126"/>
      <c r="AJ9" s="181"/>
      <c r="AK9" s="126"/>
      <c r="AL9" s="114"/>
      <c r="AM9" s="79">
        <v>522</v>
      </c>
      <c r="AN9" s="87" t="s">
        <v>66</v>
      </c>
      <c r="AO9" s="81"/>
      <c r="AP9" s="82"/>
      <c r="AQ9" s="83"/>
      <c r="AR9" s="84"/>
      <c r="AS9" s="82"/>
      <c r="AT9" s="83">
        <v>4</v>
      </c>
      <c r="AU9" s="85"/>
      <c r="AV9" s="86">
        <f t="shared" si="1"/>
        <v>522</v>
      </c>
    </row>
    <row r="10" spans="1:48" ht="15" customHeight="1" x14ac:dyDescent="0.3">
      <c r="A10" s="13" t="s">
        <v>7</v>
      </c>
      <c r="B10" s="120" t="s">
        <v>64</v>
      </c>
      <c r="C10" s="419"/>
      <c r="D10" s="160">
        <v>450</v>
      </c>
      <c r="E10" s="226">
        <v>1</v>
      </c>
      <c r="F10" s="138">
        <v>200</v>
      </c>
      <c r="G10" s="126"/>
      <c r="H10" s="419"/>
      <c r="I10" s="259">
        <v>1700</v>
      </c>
      <c r="J10" s="226">
        <v>3</v>
      </c>
      <c r="K10" s="256">
        <v>1</v>
      </c>
      <c r="L10" s="138">
        <v>170</v>
      </c>
      <c r="M10" s="126"/>
      <c r="N10" s="186">
        <f>(I10-1700)/I10</f>
        <v>0</v>
      </c>
      <c r="O10" s="126"/>
      <c r="P10" s="419"/>
      <c r="Q10" s="259"/>
      <c r="R10" s="138"/>
      <c r="S10" s="126"/>
      <c r="T10" s="419"/>
      <c r="U10" s="259"/>
      <c r="V10" s="138"/>
      <c r="W10" s="126"/>
      <c r="X10" s="126"/>
      <c r="Y10" s="126"/>
      <c r="Z10" s="126"/>
      <c r="AA10" s="419"/>
      <c r="AB10" s="259" t="s">
        <v>95</v>
      </c>
      <c r="AC10" s="138" t="s">
        <v>95</v>
      </c>
      <c r="AD10" s="126"/>
      <c r="AE10" s="430"/>
      <c r="AF10" s="226">
        <v>1700</v>
      </c>
      <c r="AG10" s="226">
        <v>2</v>
      </c>
      <c r="AH10" s="34">
        <v>150</v>
      </c>
      <c r="AI10" s="126"/>
      <c r="AJ10" s="181"/>
      <c r="AK10" s="126"/>
      <c r="AL10" s="114"/>
      <c r="AM10" s="79">
        <v>429.2</v>
      </c>
      <c r="AN10" s="80" t="s">
        <v>68</v>
      </c>
      <c r="AO10" s="81"/>
      <c r="AP10" s="82">
        <v>464</v>
      </c>
      <c r="AQ10" s="83">
        <v>2</v>
      </c>
      <c r="AR10" s="84"/>
      <c r="AS10" s="82">
        <v>400</v>
      </c>
      <c r="AT10" s="83">
        <v>1</v>
      </c>
      <c r="AU10" s="85"/>
      <c r="AV10" s="86">
        <f t="shared" si="1"/>
        <v>400</v>
      </c>
    </row>
    <row r="11" spans="1:48" ht="15" customHeight="1" x14ac:dyDescent="0.3">
      <c r="A11" s="13" t="s">
        <v>7</v>
      </c>
      <c r="B11" s="120" t="s">
        <v>9</v>
      </c>
      <c r="C11" s="419"/>
      <c r="D11" s="160">
        <v>140</v>
      </c>
      <c r="E11" s="226">
        <v>1</v>
      </c>
      <c r="F11" s="138">
        <v>200</v>
      </c>
      <c r="G11" s="126"/>
      <c r="H11" s="419"/>
      <c r="I11" s="259">
        <v>150</v>
      </c>
      <c r="J11" s="226">
        <v>1</v>
      </c>
      <c r="K11" s="256">
        <v>1</v>
      </c>
      <c r="L11" s="138">
        <v>170</v>
      </c>
      <c r="M11" s="126"/>
      <c r="N11" s="186">
        <f>(I11-150)/I11</f>
        <v>0</v>
      </c>
      <c r="O11" s="126"/>
      <c r="P11" s="419"/>
      <c r="Q11" s="259"/>
      <c r="R11" s="138"/>
      <c r="S11" s="126"/>
      <c r="T11" s="419"/>
      <c r="U11" s="259"/>
      <c r="V11" s="138"/>
      <c r="W11" s="126"/>
      <c r="X11" s="126"/>
      <c r="Y11" s="126"/>
      <c r="Z11" s="126"/>
      <c r="AA11" s="419"/>
      <c r="AB11" s="259">
        <v>150</v>
      </c>
      <c r="AC11" s="138">
        <v>1</v>
      </c>
      <c r="AD11" s="126"/>
      <c r="AE11" s="430"/>
      <c r="AF11" s="226">
        <v>150</v>
      </c>
      <c r="AG11" s="226">
        <v>1</v>
      </c>
      <c r="AH11" s="34">
        <v>150</v>
      </c>
      <c r="AI11" s="126"/>
      <c r="AJ11" s="191">
        <f t="shared" si="0"/>
        <v>0</v>
      </c>
      <c r="AK11" s="126"/>
      <c r="AL11" s="114"/>
      <c r="AM11" s="79">
        <v>719.19999999999993</v>
      </c>
      <c r="AN11" s="80" t="s">
        <v>66</v>
      </c>
      <c r="AO11" s="81"/>
      <c r="AP11" s="82">
        <v>464</v>
      </c>
      <c r="AQ11" s="83">
        <v>2</v>
      </c>
      <c r="AR11" s="84"/>
      <c r="AS11" s="82"/>
      <c r="AT11" s="83">
        <v>1</v>
      </c>
      <c r="AU11" s="85"/>
      <c r="AV11" s="86">
        <f t="shared" si="1"/>
        <v>464</v>
      </c>
    </row>
    <row r="12" spans="1:48" ht="15" customHeight="1" x14ac:dyDescent="0.3">
      <c r="A12" s="13" t="s">
        <v>7</v>
      </c>
      <c r="B12" s="120" t="s">
        <v>62</v>
      </c>
      <c r="C12" s="419"/>
      <c r="D12" s="159">
        <v>380</v>
      </c>
      <c r="E12" s="226">
        <v>1</v>
      </c>
      <c r="F12" s="138">
        <v>200</v>
      </c>
      <c r="G12" s="126"/>
      <c r="H12" s="419"/>
      <c r="I12" s="259">
        <v>350</v>
      </c>
      <c r="J12" s="226">
        <v>1</v>
      </c>
      <c r="K12" s="256">
        <v>1</v>
      </c>
      <c r="L12" s="138">
        <v>170</v>
      </c>
      <c r="M12" s="126"/>
      <c r="N12" s="184">
        <f>(I12-D12)/D12</f>
        <v>-7.8947368421052627E-2</v>
      </c>
      <c r="O12" s="126"/>
      <c r="P12" s="419"/>
      <c r="Q12" s="259"/>
      <c r="R12" s="138"/>
      <c r="S12" s="126"/>
      <c r="T12" s="419"/>
      <c r="U12" s="259"/>
      <c r="V12" s="138"/>
      <c r="W12" s="126"/>
      <c r="X12" s="126"/>
      <c r="Y12" s="126"/>
      <c r="Z12" s="126"/>
      <c r="AA12" s="419"/>
      <c r="AB12" s="259">
        <v>350</v>
      </c>
      <c r="AC12" s="138">
        <v>1</v>
      </c>
      <c r="AD12" s="126"/>
      <c r="AE12" s="430"/>
      <c r="AF12" s="226">
        <v>350</v>
      </c>
      <c r="AG12" s="226">
        <v>2</v>
      </c>
      <c r="AH12" s="34">
        <v>150</v>
      </c>
      <c r="AI12" s="126"/>
      <c r="AJ12" s="191">
        <f t="shared" si="0"/>
        <v>0</v>
      </c>
      <c r="AK12" s="126"/>
      <c r="AL12" s="114"/>
      <c r="AM12" s="79">
        <v>115.99999999999999</v>
      </c>
      <c r="AN12" s="80" t="s">
        <v>66</v>
      </c>
      <c r="AO12" s="81"/>
      <c r="AP12" s="82">
        <v>139.19999999999999</v>
      </c>
      <c r="AQ12" s="83">
        <v>2</v>
      </c>
      <c r="AR12" s="84"/>
      <c r="AS12" s="82">
        <v>100</v>
      </c>
      <c r="AT12" s="83">
        <v>1</v>
      </c>
      <c r="AU12" s="85"/>
      <c r="AV12" s="86">
        <f t="shared" si="1"/>
        <v>100</v>
      </c>
    </row>
    <row r="13" spans="1:48" ht="15" customHeight="1" thickBot="1" x14ac:dyDescent="0.35">
      <c r="A13" s="14" t="s">
        <v>7</v>
      </c>
      <c r="B13" s="121" t="s">
        <v>65</v>
      </c>
      <c r="C13" s="420"/>
      <c r="D13" s="161">
        <v>370</v>
      </c>
      <c r="E13" s="227">
        <v>3</v>
      </c>
      <c r="F13" s="139">
        <v>200</v>
      </c>
      <c r="G13" s="126"/>
      <c r="H13" s="420"/>
      <c r="I13" s="260">
        <v>350</v>
      </c>
      <c r="J13" s="227">
        <v>1</v>
      </c>
      <c r="K13" s="257">
        <v>1</v>
      </c>
      <c r="L13" s="139">
        <v>170</v>
      </c>
      <c r="M13" s="126"/>
      <c r="N13" s="185">
        <f>(I13-D13)/D13</f>
        <v>-5.4054054054054057E-2</v>
      </c>
      <c r="O13" s="126"/>
      <c r="P13" s="420"/>
      <c r="Q13" s="260"/>
      <c r="R13" s="139"/>
      <c r="S13" s="126"/>
      <c r="T13" s="420"/>
      <c r="U13" s="260"/>
      <c r="V13" s="139"/>
      <c r="W13" s="126"/>
      <c r="X13" s="126"/>
      <c r="Y13" s="126"/>
      <c r="Z13" s="126"/>
      <c r="AA13" s="420"/>
      <c r="AB13" s="260">
        <v>400</v>
      </c>
      <c r="AC13" s="139">
        <v>1</v>
      </c>
      <c r="AD13" s="126"/>
      <c r="AE13" s="431"/>
      <c r="AF13" s="227">
        <v>350</v>
      </c>
      <c r="AG13" s="227">
        <v>2</v>
      </c>
      <c r="AH13" s="139">
        <v>150</v>
      </c>
      <c r="AI13" s="126"/>
      <c r="AJ13" s="185">
        <f t="shared" si="0"/>
        <v>-0.125</v>
      </c>
      <c r="AK13" s="126"/>
      <c r="AL13" s="114"/>
      <c r="AM13" s="115"/>
      <c r="AN13" s="80"/>
      <c r="AO13" s="81"/>
      <c r="AP13" s="94"/>
      <c r="AQ13" s="93"/>
      <c r="AR13" s="84"/>
      <c r="AS13" s="94"/>
      <c r="AT13" s="93"/>
      <c r="AU13" s="85"/>
      <c r="AV13" s="86"/>
    </row>
    <row r="14" spans="1:48" ht="15" customHeight="1" thickBot="1" x14ac:dyDescent="0.35">
      <c r="A14" s="48"/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5"/>
      <c r="AN14" s="80"/>
      <c r="AO14" s="81"/>
      <c r="AP14" s="94"/>
      <c r="AQ14" s="93"/>
      <c r="AR14" s="84"/>
      <c r="AS14" s="94"/>
      <c r="AT14" s="93"/>
      <c r="AU14" s="85"/>
      <c r="AV14" s="86"/>
    </row>
    <row r="15" spans="1:48" s="91" customFormat="1" ht="39.5" thickBot="1" x14ac:dyDescent="0.35">
      <c r="A15" s="123" t="s">
        <v>1</v>
      </c>
      <c r="B15" s="124" t="s">
        <v>3</v>
      </c>
      <c r="C15" s="125" t="s">
        <v>4</v>
      </c>
      <c r="D15" s="147" t="s">
        <v>96</v>
      </c>
      <c r="E15" s="246" t="s">
        <v>97</v>
      </c>
      <c r="F15" s="148" t="s">
        <v>134</v>
      </c>
      <c r="G15" s="27"/>
      <c r="H15" s="28" t="s">
        <v>4</v>
      </c>
      <c r="I15" s="147" t="s">
        <v>96</v>
      </c>
      <c r="J15" s="246" t="s">
        <v>97</v>
      </c>
      <c r="K15" s="275" t="s">
        <v>142</v>
      </c>
      <c r="L15" s="148" t="s">
        <v>134</v>
      </c>
      <c r="M15" s="89"/>
      <c r="N15" s="206" t="s">
        <v>130</v>
      </c>
      <c r="O15" s="89"/>
      <c r="P15" s="146" t="s">
        <v>4</v>
      </c>
      <c r="Q15" s="147" t="s">
        <v>96</v>
      </c>
      <c r="R15" s="148" t="s">
        <v>97</v>
      </c>
      <c r="S15" s="27"/>
      <c r="T15" s="28" t="s">
        <v>4</v>
      </c>
      <c r="U15" s="25" t="s">
        <v>96</v>
      </c>
      <c r="V15" s="26" t="s">
        <v>97</v>
      </c>
      <c r="W15" s="127"/>
      <c r="X15" s="127"/>
      <c r="Y15" s="127"/>
      <c r="Z15" s="127"/>
      <c r="AA15" s="146" t="s">
        <v>4</v>
      </c>
      <c r="AB15" s="147" t="s">
        <v>96</v>
      </c>
      <c r="AC15" s="148" t="s">
        <v>97</v>
      </c>
      <c r="AD15" s="27"/>
      <c r="AE15" s="220" t="s">
        <v>4</v>
      </c>
      <c r="AF15" s="221" t="s">
        <v>96</v>
      </c>
      <c r="AG15" s="216" t="s">
        <v>97</v>
      </c>
      <c r="AH15" s="26" t="s">
        <v>134</v>
      </c>
      <c r="AI15" s="89"/>
      <c r="AJ15" s="206" t="s">
        <v>130</v>
      </c>
      <c r="AK15" s="89"/>
      <c r="AL15" s="89"/>
      <c r="AM15" s="90"/>
      <c r="AN15" s="87"/>
      <c r="AO15" s="90"/>
      <c r="AP15" s="90"/>
      <c r="AQ15" s="81"/>
      <c r="AR15" s="90"/>
      <c r="AS15" s="90"/>
      <c r="AT15" s="81"/>
      <c r="AU15" s="81"/>
      <c r="AV15" s="86">
        <f t="shared" si="1"/>
        <v>0</v>
      </c>
    </row>
    <row r="16" spans="1:48" ht="15" customHeight="1" x14ac:dyDescent="0.3">
      <c r="A16" s="12" t="s">
        <v>5</v>
      </c>
      <c r="B16" s="207" t="s">
        <v>131</v>
      </c>
      <c r="C16" s="418" t="s">
        <v>80</v>
      </c>
      <c r="D16" s="136">
        <v>650</v>
      </c>
      <c r="E16" s="251">
        <v>1</v>
      </c>
      <c r="F16" s="252">
        <v>200</v>
      </c>
      <c r="G16" s="126"/>
      <c r="H16" s="418" t="s">
        <v>80</v>
      </c>
      <c r="I16" s="136">
        <v>590</v>
      </c>
      <c r="J16" s="251">
        <v>1</v>
      </c>
      <c r="K16" s="255">
        <v>1</v>
      </c>
      <c r="L16" s="137">
        <v>170</v>
      </c>
      <c r="M16" s="126"/>
      <c r="N16" s="183">
        <f>(I16-D16)/D16</f>
        <v>-9.2307692307692313E-2</v>
      </c>
      <c r="O16" s="126"/>
      <c r="P16" s="418"/>
      <c r="Q16" s="136"/>
      <c r="R16" s="137"/>
      <c r="S16" s="126"/>
      <c r="T16" s="418"/>
      <c r="U16" s="136"/>
      <c r="V16" s="137"/>
      <c r="W16" s="126"/>
      <c r="X16" s="126"/>
      <c r="Y16" s="126"/>
      <c r="Z16" s="126"/>
      <c r="AA16" s="418" t="s">
        <v>127</v>
      </c>
      <c r="AB16" s="136">
        <v>700</v>
      </c>
      <c r="AC16" s="137">
        <v>1</v>
      </c>
      <c r="AD16" s="126"/>
      <c r="AE16" s="430" t="s">
        <v>135</v>
      </c>
      <c r="AF16" s="226">
        <v>700</v>
      </c>
      <c r="AG16" s="226">
        <v>2</v>
      </c>
      <c r="AH16" s="34">
        <v>200</v>
      </c>
      <c r="AI16" s="126"/>
      <c r="AJ16" s="192">
        <f>(AF16-AB16)/AB16</f>
        <v>0</v>
      </c>
      <c r="AK16" s="126"/>
      <c r="AL16" s="126"/>
      <c r="AM16" s="128">
        <v>754</v>
      </c>
      <c r="AN16" s="80" t="s">
        <v>66</v>
      </c>
      <c r="AO16" s="81"/>
      <c r="AP16" s="82"/>
      <c r="AQ16" s="83"/>
      <c r="AR16" s="84"/>
      <c r="AS16" s="82">
        <v>700</v>
      </c>
      <c r="AT16" s="83">
        <v>1</v>
      </c>
      <c r="AU16" s="85"/>
      <c r="AV16" s="86">
        <f t="shared" si="1"/>
        <v>700</v>
      </c>
    </row>
    <row r="17" spans="1:48" ht="15" customHeight="1" x14ac:dyDescent="0.3">
      <c r="A17" s="13" t="s">
        <v>7</v>
      </c>
      <c r="B17" s="120" t="s">
        <v>10</v>
      </c>
      <c r="C17" s="419"/>
      <c r="D17" s="160">
        <v>320</v>
      </c>
      <c r="E17" s="226">
        <v>1</v>
      </c>
      <c r="F17" s="253">
        <v>200</v>
      </c>
      <c r="G17" s="126"/>
      <c r="H17" s="419"/>
      <c r="I17" s="259">
        <v>900</v>
      </c>
      <c r="J17" s="226">
        <v>2</v>
      </c>
      <c r="K17" s="256">
        <v>1</v>
      </c>
      <c r="L17" s="138">
        <v>170</v>
      </c>
      <c r="M17" s="114"/>
      <c r="N17" s="184">
        <f>(I17-1265)/1265</f>
        <v>-0.28853754940711462</v>
      </c>
      <c r="O17" s="114"/>
      <c r="P17" s="419"/>
      <c r="Q17" s="259"/>
      <c r="R17" s="138"/>
      <c r="S17" s="126"/>
      <c r="T17" s="419"/>
      <c r="U17" s="259"/>
      <c r="V17" s="138"/>
      <c r="W17" s="126"/>
      <c r="X17" s="126"/>
      <c r="Y17" s="126"/>
      <c r="Z17" s="126"/>
      <c r="AA17" s="419"/>
      <c r="AB17" s="259">
        <v>1200</v>
      </c>
      <c r="AC17" s="138">
        <v>4</v>
      </c>
      <c r="AD17" s="126"/>
      <c r="AE17" s="430"/>
      <c r="AF17" s="226">
        <v>1200</v>
      </c>
      <c r="AG17" s="226">
        <v>2</v>
      </c>
      <c r="AH17" s="34">
        <v>200</v>
      </c>
      <c r="AI17" s="114"/>
      <c r="AJ17" s="191">
        <f>(AF17-AB17)/AB17</f>
        <v>0</v>
      </c>
      <c r="AK17" s="114"/>
      <c r="AL17" s="114"/>
      <c r="AM17" s="128">
        <v>730.8</v>
      </c>
      <c r="AN17" s="80" t="s">
        <v>66</v>
      </c>
      <c r="AO17" s="81"/>
      <c r="AP17" s="82"/>
      <c r="AQ17" s="83"/>
      <c r="AR17" s="84"/>
      <c r="AS17" s="82">
        <v>750</v>
      </c>
      <c r="AT17" s="83">
        <v>1</v>
      </c>
      <c r="AU17" s="85"/>
      <c r="AV17" s="86">
        <f t="shared" si="1"/>
        <v>730.8</v>
      </c>
    </row>
    <row r="18" spans="1:48" ht="15" customHeight="1" x14ac:dyDescent="0.3">
      <c r="A18" s="280" t="s">
        <v>7</v>
      </c>
      <c r="B18" s="281" t="s">
        <v>119</v>
      </c>
      <c r="C18" s="419"/>
      <c r="D18" s="159"/>
      <c r="E18" s="226"/>
      <c r="F18" s="253"/>
      <c r="G18" s="126"/>
      <c r="H18" s="419"/>
      <c r="I18" s="259">
        <v>350</v>
      </c>
      <c r="J18" s="226">
        <v>1</v>
      </c>
      <c r="K18" s="256">
        <v>1</v>
      </c>
      <c r="L18" s="138">
        <v>170</v>
      </c>
      <c r="M18" s="114"/>
      <c r="N18" s="188"/>
      <c r="O18" s="114"/>
      <c r="P18" s="419"/>
      <c r="Q18" s="259"/>
      <c r="R18" s="138"/>
      <c r="S18" s="126"/>
      <c r="T18" s="419"/>
      <c r="U18" s="259"/>
      <c r="V18" s="138"/>
      <c r="W18" s="126"/>
      <c r="X18" s="126"/>
      <c r="Y18" s="126"/>
      <c r="Z18" s="126"/>
      <c r="AA18" s="419"/>
      <c r="AB18" s="259"/>
      <c r="AC18" s="138"/>
      <c r="AD18" s="126"/>
      <c r="AE18" s="430"/>
      <c r="AF18" s="226">
        <v>600</v>
      </c>
      <c r="AG18" s="226">
        <v>1</v>
      </c>
      <c r="AH18" s="34">
        <v>200</v>
      </c>
      <c r="AI18" s="114"/>
      <c r="AJ18" s="188"/>
      <c r="AK18" s="114"/>
      <c r="AL18" s="114"/>
      <c r="AM18" s="128">
        <v>174</v>
      </c>
      <c r="AN18" s="80" t="s">
        <v>66</v>
      </c>
      <c r="AO18" s="81"/>
      <c r="AP18" s="82"/>
      <c r="AQ18" s="83"/>
      <c r="AR18" s="84"/>
      <c r="AS18" s="82">
        <v>150</v>
      </c>
      <c r="AT18" s="83">
        <v>1</v>
      </c>
      <c r="AU18" s="85"/>
      <c r="AV18" s="86">
        <f t="shared" si="1"/>
        <v>150</v>
      </c>
    </row>
    <row r="19" spans="1:48" ht="15" customHeight="1" x14ac:dyDescent="0.3">
      <c r="A19" s="13" t="s">
        <v>7</v>
      </c>
      <c r="B19" s="120" t="s">
        <v>63</v>
      </c>
      <c r="C19" s="419"/>
      <c r="D19" s="160">
        <v>1100</v>
      </c>
      <c r="E19" s="226">
        <v>2</v>
      </c>
      <c r="F19" s="253">
        <v>200</v>
      </c>
      <c r="G19" s="126"/>
      <c r="H19" s="419"/>
      <c r="I19" s="259">
        <v>800</v>
      </c>
      <c r="J19" s="226">
        <v>1</v>
      </c>
      <c r="K19" s="256">
        <v>1</v>
      </c>
      <c r="L19" s="138">
        <v>170</v>
      </c>
      <c r="M19" s="114"/>
      <c r="N19" s="184">
        <f>(I19-950)/950</f>
        <v>-0.15789473684210525</v>
      </c>
      <c r="O19" s="114"/>
      <c r="P19" s="419"/>
      <c r="Q19" s="259"/>
      <c r="R19" s="138"/>
      <c r="S19" s="126"/>
      <c r="T19" s="419"/>
      <c r="U19" s="259"/>
      <c r="V19" s="138"/>
      <c r="W19" s="126"/>
      <c r="X19" s="126"/>
      <c r="Y19" s="126"/>
      <c r="Z19" s="126"/>
      <c r="AA19" s="419"/>
      <c r="AB19" s="259">
        <v>1100</v>
      </c>
      <c r="AC19" s="138">
        <v>4</v>
      </c>
      <c r="AD19" s="126"/>
      <c r="AE19" s="430"/>
      <c r="AF19" s="226">
        <v>1100</v>
      </c>
      <c r="AG19" s="226">
        <v>2</v>
      </c>
      <c r="AH19" s="34">
        <v>200</v>
      </c>
      <c r="AI19" s="114"/>
      <c r="AJ19" s="191">
        <f>(AF19-AB19)/AB19</f>
        <v>0</v>
      </c>
      <c r="AK19" s="114"/>
      <c r="AL19" s="114"/>
      <c r="AM19" s="128">
        <v>498.79999999999995</v>
      </c>
      <c r="AN19" s="80" t="s">
        <v>66</v>
      </c>
      <c r="AO19" s="81"/>
      <c r="AP19" s="82"/>
      <c r="AQ19" s="83"/>
      <c r="AR19" s="84"/>
      <c r="AS19" s="82">
        <v>500</v>
      </c>
      <c r="AT19" s="83">
        <v>1</v>
      </c>
      <c r="AU19" s="85"/>
      <c r="AV19" s="86">
        <f t="shared" si="1"/>
        <v>498.79999999999995</v>
      </c>
    </row>
    <row r="20" spans="1:48" ht="15" customHeight="1" x14ac:dyDescent="0.3">
      <c r="A20" s="13" t="s">
        <v>7</v>
      </c>
      <c r="B20" s="120" t="s">
        <v>8</v>
      </c>
      <c r="C20" s="419"/>
      <c r="D20" s="160">
        <v>630</v>
      </c>
      <c r="E20" s="226">
        <v>1</v>
      </c>
      <c r="F20" s="253">
        <v>200</v>
      </c>
      <c r="G20" s="126"/>
      <c r="H20" s="419"/>
      <c r="I20" s="259">
        <v>600</v>
      </c>
      <c r="J20" s="226">
        <v>1</v>
      </c>
      <c r="K20" s="256">
        <v>1</v>
      </c>
      <c r="L20" s="138">
        <v>170</v>
      </c>
      <c r="M20" s="114"/>
      <c r="N20" s="184">
        <f>(I20-650)/650</f>
        <v>-7.6923076923076927E-2</v>
      </c>
      <c r="O20" s="114"/>
      <c r="P20" s="419"/>
      <c r="Q20" s="259"/>
      <c r="R20" s="138"/>
      <c r="S20" s="126"/>
      <c r="T20" s="419"/>
      <c r="U20" s="259"/>
      <c r="V20" s="138"/>
      <c r="W20" s="126"/>
      <c r="X20" s="126"/>
      <c r="Y20" s="126"/>
      <c r="Z20" s="126"/>
      <c r="AA20" s="419"/>
      <c r="AB20" s="259">
        <v>750</v>
      </c>
      <c r="AC20" s="138">
        <v>1</v>
      </c>
      <c r="AD20" s="126"/>
      <c r="AE20" s="430"/>
      <c r="AF20" s="226">
        <v>750</v>
      </c>
      <c r="AG20" s="226">
        <v>2</v>
      </c>
      <c r="AH20" s="34">
        <v>200</v>
      </c>
      <c r="AI20" s="114"/>
      <c r="AJ20" s="191">
        <f>(AF20-AB20)/AB20</f>
        <v>0</v>
      </c>
      <c r="AK20" s="114"/>
      <c r="AL20" s="74"/>
      <c r="AM20" s="128">
        <v>371.2</v>
      </c>
      <c r="AN20" s="87" t="s">
        <v>66</v>
      </c>
      <c r="AO20" s="81"/>
      <c r="AP20" s="82"/>
      <c r="AQ20" s="83"/>
      <c r="AR20" s="84"/>
      <c r="AS20" s="82">
        <v>1200</v>
      </c>
      <c r="AT20" s="83">
        <v>4</v>
      </c>
      <c r="AU20" s="85"/>
      <c r="AV20" s="86">
        <f t="shared" si="1"/>
        <v>371.2</v>
      </c>
    </row>
    <row r="21" spans="1:48" ht="15" customHeight="1" x14ac:dyDescent="0.3">
      <c r="A21" s="13" t="s">
        <v>7</v>
      </c>
      <c r="B21" s="120" t="s">
        <v>11</v>
      </c>
      <c r="C21" s="419"/>
      <c r="D21" s="159">
        <v>150</v>
      </c>
      <c r="E21" s="226">
        <v>1</v>
      </c>
      <c r="F21" s="253">
        <v>200</v>
      </c>
      <c r="G21" s="126"/>
      <c r="H21" s="419"/>
      <c r="I21" s="259">
        <v>150</v>
      </c>
      <c r="J21" s="226">
        <v>1</v>
      </c>
      <c r="K21" s="256">
        <v>1</v>
      </c>
      <c r="L21" s="138">
        <v>170</v>
      </c>
      <c r="M21" s="114"/>
      <c r="N21" s="189">
        <f>(I21-D21)/I21</f>
        <v>0</v>
      </c>
      <c r="O21" s="114"/>
      <c r="P21" s="419"/>
      <c r="Q21" s="259"/>
      <c r="R21" s="138"/>
      <c r="S21" s="126"/>
      <c r="T21" s="419"/>
      <c r="U21" s="259"/>
      <c r="V21" s="138"/>
      <c r="W21" s="126"/>
      <c r="X21" s="126"/>
      <c r="Y21" s="126"/>
      <c r="Z21" s="126"/>
      <c r="AA21" s="419"/>
      <c r="AB21" s="259">
        <v>150</v>
      </c>
      <c r="AC21" s="138">
        <v>1</v>
      </c>
      <c r="AD21" s="126"/>
      <c r="AE21" s="430"/>
      <c r="AF21" s="226">
        <v>150</v>
      </c>
      <c r="AG21" s="226">
        <v>1</v>
      </c>
      <c r="AH21" s="34">
        <v>200</v>
      </c>
      <c r="AI21" s="114"/>
      <c r="AJ21" s="191">
        <f>(AF21-AB21)/AB21</f>
        <v>0</v>
      </c>
      <c r="AK21" s="114"/>
      <c r="AL21" s="114"/>
      <c r="AM21" s="128">
        <v>1276</v>
      </c>
      <c r="AN21" s="80" t="s">
        <v>67</v>
      </c>
      <c r="AO21" s="81"/>
      <c r="AP21" s="82"/>
      <c r="AQ21" s="83"/>
      <c r="AR21" s="84"/>
      <c r="AS21" s="82">
        <v>1100</v>
      </c>
      <c r="AT21" s="83">
        <v>4</v>
      </c>
      <c r="AU21" s="85"/>
      <c r="AV21" s="86">
        <f t="shared" si="1"/>
        <v>1100</v>
      </c>
    </row>
    <row r="22" spans="1:48" ht="15" customHeight="1" x14ac:dyDescent="0.3">
      <c r="A22" s="13" t="s">
        <v>7</v>
      </c>
      <c r="B22" s="120" t="s">
        <v>118</v>
      </c>
      <c r="C22" s="419"/>
      <c r="D22" s="160">
        <v>630</v>
      </c>
      <c r="E22" s="226">
        <v>1</v>
      </c>
      <c r="F22" s="253">
        <v>200</v>
      </c>
      <c r="G22" s="126"/>
      <c r="H22" s="419"/>
      <c r="I22" s="259">
        <v>360</v>
      </c>
      <c r="J22" s="226">
        <v>1</v>
      </c>
      <c r="K22" s="256">
        <v>1</v>
      </c>
      <c r="L22" s="138">
        <v>170</v>
      </c>
      <c r="M22" s="114"/>
      <c r="N22" s="184">
        <f>(I22-530)/530</f>
        <v>-0.32075471698113206</v>
      </c>
      <c r="O22" s="114"/>
      <c r="P22" s="419"/>
      <c r="Q22" s="259"/>
      <c r="R22" s="138"/>
      <c r="S22" s="126"/>
      <c r="T22" s="419"/>
      <c r="U22" s="259"/>
      <c r="V22" s="138"/>
      <c r="W22" s="126"/>
      <c r="X22" s="126"/>
      <c r="Y22" s="126"/>
      <c r="Z22" s="126"/>
      <c r="AA22" s="419"/>
      <c r="AB22" s="259" t="s">
        <v>95</v>
      </c>
      <c r="AC22" s="138" t="s">
        <v>95</v>
      </c>
      <c r="AD22" s="126"/>
      <c r="AE22" s="430"/>
      <c r="AF22" s="226">
        <v>600</v>
      </c>
      <c r="AG22" s="226" t="s">
        <v>95</v>
      </c>
      <c r="AH22" s="34">
        <v>200</v>
      </c>
      <c r="AI22" s="114"/>
      <c r="AJ22" s="188"/>
      <c r="AK22" s="114"/>
      <c r="AL22" s="114"/>
      <c r="AM22" s="128">
        <v>1971.9999999999998</v>
      </c>
      <c r="AN22" s="87" t="s">
        <v>66</v>
      </c>
      <c r="AO22" s="81"/>
      <c r="AP22" s="82"/>
      <c r="AQ22" s="83"/>
      <c r="AR22" s="84"/>
      <c r="AS22" s="82">
        <v>1900</v>
      </c>
      <c r="AT22" s="83">
        <v>4</v>
      </c>
      <c r="AU22" s="85"/>
      <c r="AV22" s="86">
        <f t="shared" si="1"/>
        <v>1900</v>
      </c>
    </row>
    <row r="23" spans="1:48" ht="15" customHeight="1" x14ac:dyDescent="0.3">
      <c r="A23" s="13" t="s">
        <v>7</v>
      </c>
      <c r="B23" s="120" t="s">
        <v>64</v>
      </c>
      <c r="C23" s="419"/>
      <c r="D23" s="160">
        <v>1700</v>
      </c>
      <c r="E23" s="226">
        <v>1</v>
      </c>
      <c r="F23" s="253">
        <v>200</v>
      </c>
      <c r="G23" s="126"/>
      <c r="H23" s="419"/>
      <c r="I23" s="259">
        <v>1700</v>
      </c>
      <c r="J23" s="226">
        <v>3</v>
      </c>
      <c r="K23" s="256">
        <v>1</v>
      </c>
      <c r="L23" s="138">
        <v>170</v>
      </c>
      <c r="M23" s="114"/>
      <c r="N23" s="184">
        <f>(I23-1750)/1750</f>
        <v>-2.8571428571428571E-2</v>
      </c>
      <c r="O23" s="114"/>
      <c r="P23" s="419"/>
      <c r="Q23" s="259"/>
      <c r="R23" s="138"/>
      <c r="S23" s="126"/>
      <c r="T23" s="419"/>
      <c r="U23" s="259"/>
      <c r="V23" s="138"/>
      <c r="W23" s="126"/>
      <c r="X23" s="126"/>
      <c r="Y23" s="126"/>
      <c r="Z23" s="126"/>
      <c r="AA23" s="419"/>
      <c r="AB23" s="259">
        <v>1900</v>
      </c>
      <c r="AC23" s="138">
        <v>4</v>
      </c>
      <c r="AD23" s="126"/>
      <c r="AE23" s="430"/>
      <c r="AF23" s="226">
        <v>2000</v>
      </c>
      <c r="AG23" s="226">
        <v>2</v>
      </c>
      <c r="AH23" s="34">
        <v>200</v>
      </c>
      <c r="AI23" s="114"/>
      <c r="AJ23" s="187">
        <f>(AF23-AB23)/AB23</f>
        <v>5.2631578947368418E-2</v>
      </c>
      <c r="AK23" s="114"/>
      <c r="AL23" s="114"/>
      <c r="AM23" s="128">
        <v>522</v>
      </c>
      <c r="AN23" s="80" t="s">
        <v>68</v>
      </c>
      <c r="AO23" s="81"/>
      <c r="AP23" s="82"/>
      <c r="AQ23" s="83"/>
      <c r="AR23" s="84"/>
      <c r="AS23" s="82">
        <v>600</v>
      </c>
      <c r="AT23" s="83">
        <v>1</v>
      </c>
      <c r="AU23" s="85"/>
      <c r="AV23" s="86">
        <f t="shared" si="1"/>
        <v>522</v>
      </c>
    </row>
    <row r="24" spans="1:48" ht="15" customHeight="1" x14ac:dyDescent="0.3">
      <c r="A24" s="13" t="s">
        <v>7</v>
      </c>
      <c r="B24" s="120" t="s">
        <v>9</v>
      </c>
      <c r="C24" s="419"/>
      <c r="D24" s="159">
        <v>150</v>
      </c>
      <c r="E24" s="226">
        <v>1</v>
      </c>
      <c r="F24" s="253">
        <v>200</v>
      </c>
      <c r="G24" s="126"/>
      <c r="H24" s="419"/>
      <c r="I24" s="259">
        <v>150</v>
      </c>
      <c r="J24" s="226">
        <v>1</v>
      </c>
      <c r="K24" s="256">
        <v>1</v>
      </c>
      <c r="L24" s="138">
        <v>170</v>
      </c>
      <c r="M24" s="114"/>
      <c r="N24" s="189">
        <f>(I24-D24)/I24</f>
        <v>0</v>
      </c>
      <c r="O24" s="114"/>
      <c r="P24" s="419"/>
      <c r="Q24" s="259"/>
      <c r="R24" s="138"/>
      <c r="S24" s="126"/>
      <c r="T24" s="419"/>
      <c r="U24" s="259"/>
      <c r="V24" s="138"/>
      <c r="W24" s="126"/>
      <c r="X24" s="126"/>
      <c r="Y24" s="126"/>
      <c r="Z24" s="126"/>
      <c r="AA24" s="419"/>
      <c r="AB24" s="259">
        <v>150</v>
      </c>
      <c r="AC24" s="138">
        <v>1</v>
      </c>
      <c r="AD24" s="126"/>
      <c r="AE24" s="430"/>
      <c r="AF24" s="226">
        <v>150</v>
      </c>
      <c r="AG24" s="226">
        <v>1</v>
      </c>
      <c r="AH24" s="34">
        <v>200</v>
      </c>
      <c r="AI24" s="114"/>
      <c r="AJ24" s="191">
        <f>(AF24-AB24)/AB24</f>
        <v>0</v>
      </c>
      <c r="AK24" s="114"/>
      <c r="AL24" s="114"/>
      <c r="AM24" s="128">
        <v>730.8</v>
      </c>
      <c r="AN24" s="80" t="s">
        <v>66</v>
      </c>
      <c r="AO24" s="81"/>
      <c r="AP24" s="82"/>
      <c r="AQ24" s="83"/>
      <c r="AR24" s="84"/>
      <c r="AS24" s="82"/>
      <c r="AT24" s="83">
        <v>1</v>
      </c>
      <c r="AU24" s="85"/>
      <c r="AV24" s="86">
        <f t="shared" si="1"/>
        <v>730.8</v>
      </c>
    </row>
    <row r="25" spans="1:48" ht="15" customHeight="1" x14ac:dyDescent="0.3">
      <c r="A25" s="13" t="s">
        <v>7</v>
      </c>
      <c r="B25" s="120" t="s">
        <v>62</v>
      </c>
      <c r="C25" s="419"/>
      <c r="D25" s="159">
        <v>430</v>
      </c>
      <c r="E25" s="226">
        <v>1</v>
      </c>
      <c r="F25" s="253">
        <v>200</v>
      </c>
      <c r="G25" s="126"/>
      <c r="H25" s="419"/>
      <c r="I25" s="259">
        <v>350</v>
      </c>
      <c r="J25" s="226">
        <v>1</v>
      </c>
      <c r="K25" s="256">
        <v>1</v>
      </c>
      <c r="L25" s="138">
        <v>170</v>
      </c>
      <c r="M25" s="114"/>
      <c r="N25" s="187">
        <f>(I25-330)/330</f>
        <v>6.0606060606060608E-2</v>
      </c>
      <c r="O25" s="114"/>
      <c r="P25" s="419"/>
      <c r="Q25" s="259"/>
      <c r="R25" s="138"/>
      <c r="S25" s="126"/>
      <c r="T25" s="419"/>
      <c r="U25" s="259"/>
      <c r="V25" s="138"/>
      <c r="W25" s="126"/>
      <c r="X25" s="126"/>
      <c r="Y25" s="126"/>
      <c r="Z25" s="126"/>
      <c r="AA25" s="419"/>
      <c r="AB25" s="259">
        <v>500</v>
      </c>
      <c r="AC25" s="138">
        <v>1</v>
      </c>
      <c r="AD25" s="126"/>
      <c r="AE25" s="430"/>
      <c r="AF25" s="226">
        <v>500</v>
      </c>
      <c r="AG25" s="226">
        <v>2</v>
      </c>
      <c r="AH25" s="34">
        <v>200</v>
      </c>
      <c r="AI25" s="114"/>
      <c r="AJ25" s="191">
        <f>(AF25-AB25)/AB25</f>
        <v>0</v>
      </c>
      <c r="AK25" s="114"/>
      <c r="AL25" s="114"/>
      <c r="AM25" s="128">
        <v>174</v>
      </c>
      <c r="AN25" s="80" t="s">
        <v>66</v>
      </c>
      <c r="AO25" s="81"/>
      <c r="AP25" s="82"/>
      <c r="AQ25" s="83"/>
      <c r="AR25" s="84"/>
      <c r="AS25" s="82">
        <v>150</v>
      </c>
      <c r="AT25" s="83">
        <v>1</v>
      </c>
      <c r="AU25" s="85"/>
      <c r="AV25" s="86">
        <f t="shared" si="1"/>
        <v>150</v>
      </c>
    </row>
    <row r="26" spans="1:48" ht="15" customHeight="1" thickBot="1" x14ac:dyDescent="0.35">
      <c r="A26" s="14" t="s">
        <v>7</v>
      </c>
      <c r="B26" s="121" t="s">
        <v>65</v>
      </c>
      <c r="C26" s="420"/>
      <c r="D26" s="161">
        <v>450</v>
      </c>
      <c r="E26" s="227">
        <v>3</v>
      </c>
      <c r="F26" s="254">
        <v>200</v>
      </c>
      <c r="G26" s="126"/>
      <c r="H26" s="420"/>
      <c r="I26" s="260">
        <v>350</v>
      </c>
      <c r="J26" s="227">
        <v>1</v>
      </c>
      <c r="K26" s="257">
        <v>1</v>
      </c>
      <c r="L26" s="139">
        <v>170</v>
      </c>
      <c r="M26" s="114"/>
      <c r="N26" s="185">
        <f>(I26-D26)/D26</f>
        <v>-0.22222222222222221</v>
      </c>
      <c r="O26" s="114"/>
      <c r="P26" s="420"/>
      <c r="Q26" s="260"/>
      <c r="R26" s="139"/>
      <c r="S26" s="126"/>
      <c r="T26" s="420"/>
      <c r="U26" s="260"/>
      <c r="V26" s="139"/>
      <c r="W26" s="126"/>
      <c r="X26" s="126"/>
      <c r="Y26" s="126"/>
      <c r="Z26" s="126"/>
      <c r="AA26" s="420"/>
      <c r="AB26" s="260">
        <v>600</v>
      </c>
      <c r="AC26" s="139">
        <v>1</v>
      </c>
      <c r="AD26" s="126"/>
      <c r="AE26" s="431"/>
      <c r="AF26" s="227">
        <v>500</v>
      </c>
      <c r="AG26" s="227">
        <v>2</v>
      </c>
      <c r="AH26" s="139">
        <v>200</v>
      </c>
      <c r="AI26" s="114"/>
      <c r="AJ26" s="193">
        <f>(AF26-AB26)/AB26</f>
        <v>-0.16666666666666666</v>
      </c>
      <c r="AK26" s="114"/>
      <c r="AL26" s="114"/>
      <c r="AM26" s="115"/>
      <c r="AN26" s="116"/>
      <c r="AO26" s="81"/>
      <c r="AP26" s="94"/>
      <c r="AQ26" s="93"/>
      <c r="AR26" s="84"/>
      <c r="AS26" s="94"/>
      <c r="AT26" s="93"/>
      <c r="AU26" s="85"/>
      <c r="AV26" s="86"/>
    </row>
    <row r="27" spans="1:48" ht="15" customHeight="1" thickBot="1" x14ac:dyDescent="0.35">
      <c r="A27" s="113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6"/>
      <c r="AO27" s="81"/>
      <c r="AP27" s="94"/>
      <c r="AQ27" s="93"/>
      <c r="AR27" s="84"/>
      <c r="AS27" s="94"/>
      <c r="AT27" s="93"/>
      <c r="AU27" s="85"/>
      <c r="AV27" s="86"/>
    </row>
    <row r="28" spans="1:48" ht="15" hidden="1" customHeight="1" thickBot="1" x14ac:dyDescent="0.35">
      <c r="A28" s="113"/>
      <c r="B28" s="113"/>
      <c r="C28" s="114"/>
      <c r="D28" s="389" t="s">
        <v>108</v>
      </c>
      <c r="E28" s="391"/>
      <c r="F28" s="242"/>
      <c r="G28" s="17"/>
      <c r="H28" s="18"/>
      <c r="I28" s="389" t="s">
        <v>109</v>
      </c>
      <c r="J28" s="391"/>
      <c r="K28" s="242"/>
      <c r="L28" s="242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5"/>
      <c r="AN28" s="116"/>
      <c r="AO28" s="81"/>
      <c r="AP28" s="94"/>
      <c r="AQ28" s="93"/>
      <c r="AR28" s="84"/>
      <c r="AS28" s="94"/>
      <c r="AT28" s="93"/>
      <c r="AU28" s="85"/>
      <c r="AV28" s="86"/>
    </row>
    <row r="29" spans="1:48" s="91" customFormat="1" ht="39.5" hidden="1" thickBot="1" x14ac:dyDescent="0.35">
      <c r="A29" s="88"/>
      <c r="B29" s="88"/>
      <c r="C29" s="89"/>
      <c r="D29" s="63" t="s">
        <v>96</v>
      </c>
      <c r="E29" s="64" t="s">
        <v>97</v>
      </c>
      <c r="F29" s="27"/>
      <c r="G29" s="27"/>
      <c r="H29" s="28" t="s">
        <v>4</v>
      </c>
      <c r="I29" s="63" t="s">
        <v>96</v>
      </c>
      <c r="J29" s="64" t="s">
        <v>97</v>
      </c>
      <c r="K29" s="27"/>
      <c r="L29" s="27"/>
      <c r="M29" s="89"/>
      <c r="N29" s="89"/>
      <c r="O29" s="89"/>
      <c r="P29" s="146" t="s">
        <v>4</v>
      </c>
      <c r="Q29" s="147" t="s">
        <v>96</v>
      </c>
      <c r="R29" s="148" t="s">
        <v>97</v>
      </c>
      <c r="S29" s="27"/>
      <c r="T29" s="28" t="s">
        <v>4</v>
      </c>
      <c r="U29" s="25" t="s">
        <v>96</v>
      </c>
      <c r="V29" s="26" t="s">
        <v>97</v>
      </c>
      <c r="W29" s="127"/>
      <c r="X29" s="127"/>
      <c r="Y29" s="127"/>
      <c r="Z29" s="127"/>
      <c r="AA29" s="146" t="s">
        <v>4</v>
      </c>
      <c r="AB29" s="147" t="s">
        <v>96</v>
      </c>
      <c r="AC29" s="148" t="s">
        <v>97</v>
      </c>
      <c r="AD29" s="27"/>
      <c r="AE29" s="220" t="s">
        <v>4</v>
      </c>
      <c r="AF29" s="221" t="s">
        <v>96</v>
      </c>
      <c r="AG29" s="216" t="s">
        <v>97</v>
      </c>
      <c r="AH29" s="26" t="s">
        <v>134</v>
      </c>
      <c r="AI29" s="89"/>
      <c r="AJ29" s="89"/>
      <c r="AK29" s="89"/>
      <c r="AL29" s="232"/>
      <c r="AM29" s="92"/>
      <c r="AN29" s="92"/>
      <c r="AO29" s="90"/>
      <c r="AP29" s="90"/>
      <c r="AQ29" s="93"/>
      <c r="AR29" s="90"/>
      <c r="AS29" s="90"/>
      <c r="AT29" s="93"/>
      <c r="AU29" s="81"/>
      <c r="AV29" s="86">
        <f t="shared" si="1"/>
        <v>0</v>
      </c>
    </row>
    <row r="30" spans="1:48" ht="15" hidden="1" customHeight="1" x14ac:dyDescent="0.3">
      <c r="A30" s="12" t="s">
        <v>5</v>
      </c>
      <c r="B30" s="207" t="s">
        <v>131</v>
      </c>
      <c r="C30" s="418" t="s">
        <v>81</v>
      </c>
      <c r="D30" s="152"/>
      <c r="E30" s="153"/>
      <c r="F30" s="250"/>
      <c r="G30" s="126"/>
      <c r="H30" s="418"/>
      <c r="I30" s="136"/>
      <c r="J30" s="137"/>
      <c r="K30" s="126"/>
      <c r="L30" s="126"/>
      <c r="M30" s="126"/>
      <c r="N30" s="126"/>
      <c r="O30" s="126"/>
      <c r="P30" s="418"/>
      <c r="Q30" s="136"/>
      <c r="R30" s="137"/>
      <c r="S30" s="126"/>
      <c r="T30" s="418"/>
      <c r="U30" s="136"/>
      <c r="V30" s="137"/>
      <c r="W30" s="126"/>
      <c r="X30" s="126"/>
      <c r="Y30" s="126"/>
      <c r="Z30" s="126"/>
      <c r="AA30" s="418" t="s">
        <v>128</v>
      </c>
      <c r="AB30" s="136">
        <v>825</v>
      </c>
      <c r="AC30" s="137">
        <v>1</v>
      </c>
      <c r="AD30" s="126"/>
      <c r="AE30" s="430"/>
      <c r="AF30" s="226"/>
      <c r="AG30" s="226"/>
      <c r="AH30" s="34"/>
      <c r="AI30" s="126"/>
      <c r="AJ30" s="126"/>
      <c r="AK30" s="126"/>
      <c r="AL30" s="230"/>
      <c r="AM30" s="128"/>
      <c r="AN30" s="80"/>
      <c r="AO30" s="81"/>
      <c r="AP30" s="82">
        <v>1044</v>
      </c>
      <c r="AQ30" s="83">
        <v>2</v>
      </c>
      <c r="AR30" s="94"/>
      <c r="AS30" s="82">
        <v>825</v>
      </c>
      <c r="AT30" s="83">
        <v>1</v>
      </c>
      <c r="AU30" s="85"/>
      <c r="AV30" s="86">
        <f t="shared" si="1"/>
        <v>825</v>
      </c>
    </row>
    <row r="31" spans="1:48" ht="15" hidden="1" customHeight="1" x14ac:dyDescent="0.3">
      <c r="A31" s="13" t="s">
        <v>7</v>
      </c>
      <c r="B31" s="120" t="s">
        <v>10</v>
      </c>
      <c r="C31" s="419"/>
      <c r="D31" s="154"/>
      <c r="E31" s="155"/>
      <c r="F31" s="250"/>
      <c r="G31" s="126"/>
      <c r="H31" s="419"/>
      <c r="I31" s="259"/>
      <c r="J31" s="138"/>
      <c r="K31" s="126"/>
      <c r="L31" s="126"/>
      <c r="M31" s="114"/>
      <c r="N31" s="114"/>
      <c r="O31" s="114"/>
      <c r="P31" s="419"/>
      <c r="Q31" s="259"/>
      <c r="R31" s="138"/>
      <c r="S31" s="126"/>
      <c r="T31" s="419"/>
      <c r="U31" s="259"/>
      <c r="V31" s="138"/>
      <c r="W31" s="126"/>
      <c r="X31" s="126"/>
      <c r="Y31" s="126"/>
      <c r="Z31" s="126"/>
      <c r="AA31" s="419"/>
      <c r="AB31" s="259">
        <v>1800</v>
      </c>
      <c r="AC31" s="138">
        <v>4</v>
      </c>
      <c r="AD31" s="126"/>
      <c r="AE31" s="430"/>
      <c r="AF31" s="226"/>
      <c r="AG31" s="226"/>
      <c r="AH31" s="34"/>
      <c r="AI31" s="114"/>
      <c r="AJ31" s="114"/>
      <c r="AK31" s="114"/>
      <c r="AL31" s="231"/>
      <c r="AM31" s="128"/>
      <c r="AN31" s="80"/>
      <c r="AO31" s="81"/>
      <c r="AP31" s="82">
        <v>986</v>
      </c>
      <c r="AQ31" s="83">
        <v>2</v>
      </c>
      <c r="AR31" s="94"/>
      <c r="AS31" s="82">
        <v>900</v>
      </c>
      <c r="AT31" s="83">
        <v>1</v>
      </c>
      <c r="AU31" s="85"/>
      <c r="AV31" s="86">
        <f t="shared" si="1"/>
        <v>900</v>
      </c>
    </row>
    <row r="32" spans="1:48" ht="15" hidden="1" customHeight="1" x14ac:dyDescent="0.3">
      <c r="A32" s="150" t="s">
        <v>7</v>
      </c>
      <c r="B32" s="151" t="s">
        <v>119</v>
      </c>
      <c r="C32" s="419"/>
      <c r="D32" s="154"/>
      <c r="E32" s="155"/>
      <c r="F32" s="250"/>
      <c r="G32" s="126"/>
      <c r="H32" s="419"/>
      <c r="I32" s="259"/>
      <c r="J32" s="138"/>
      <c r="K32" s="126"/>
      <c r="L32" s="126"/>
      <c r="M32" s="114"/>
      <c r="N32" s="114"/>
      <c r="O32" s="114"/>
      <c r="P32" s="419"/>
      <c r="Q32" s="259"/>
      <c r="R32" s="138"/>
      <c r="S32" s="126"/>
      <c r="T32" s="419"/>
      <c r="U32" s="259"/>
      <c r="V32" s="138"/>
      <c r="W32" s="126"/>
      <c r="X32" s="126"/>
      <c r="Y32" s="126"/>
      <c r="Z32" s="126"/>
      <c r="AA32" s="419"/>
      <c r="AB32" s="259"/>
      <c r="AC32" s="138"/>
      <c r="AD32" s="126"/>
      <c r="AE32" s="430"/>
      <c r="AF32" s="226"/>
      <c r="AG32" s="226"/>
      <c r="AH32" s="34"/>
      <c r="AI32" s="114"/>
      <c r="AJ32" s="114"/>
      <c r="AK32" s="114"/>
      <c r="AL32" s="231"/>
      <c r="AM32" s="128"/>
      <c r="AN32" s="80"/>
      <c r="AO32" s="81"/>
      <c r="AP32" s="82">
        <v>232</v>
      </c>
      <c r="AQ32" s="83">
        <v>2</v>
      </c>
      <c r="AR32" s="94"/>
      <c r="AS32" s="82">
        <v>200</v>
      </c>
      <c r="AT32" s="83">
        <v>1</v>
      </c>
      <c r="AU32" s="85"/>
      <c r="AV32" s="86">
        <f t="shared" si="1"/>
        <v>200</v>
      </c>
    </row>
    <row r="33" spans="1:48" ht="15" hidden="1" customHeight="1" x14ac:dyDescent="0.3">
      <c r="A33" s="13" t="s">
        <v>7</v>
      </c>
      <c r="B33" s="120" t="s">
        <v>63</v>
      </c>
      <c r="C33" s="419"/>
      <c r="D33" s="154"/>
      <c r="E33" s="155"/>
      <c r="F33" s="250"/>
      <c r="G33" s="126"/>
      <c r="H33" s="419"/>
      <c r="I33" s="259"/>
      <c r="J33" s="138"/>
      <c r="K33" s="126"/>
      <c r="L33" s="126"/>
      <c r="M33" s="114"/>
      <c r="N33" s="114"/>
      <c r="O33" s="114"/>
      <c r="P33" s="419"/>
      <c r="Q33" s="259"/>
      <c r="R33" s="138"/>
      <c r="S33" s="126"/>
      <c r="T33" s="419"/>
      <c r="U33" s="259"/>
      <c r="V33" s="138"/>
      <c r="W33" s="126"/>
      <c r="X33" s="126"/>
      <c r="Y33" s="126"/>
      <c r="Z33" s="126"/>
      <c r="AA33" s="419"/>
      <c r="AB33" s="259">
        <v>1000</v>
      </c>
      <c r="AC33" s="138">
        <v>4</v>
      </c>
      <c r="AD33" s="126"/>
      <c r="AE33" s="430"/>
      <c r="AF33" s="226"/>
      <c r="AG33" s="226"/>
      <c r="AH33" s="34"/>
      <c r="AI33" s="114"/>
      <c r="AJ33" s="114"/>
      <c r="AK33" s="114"/>
      <c r="AL33" s="231" t="s">
        <v>136</v>
      </c>
      <c r="AM33" s="128"/>
      <c r="AN33" s="80"/>
      <c r="AO33" s="81"/>
      <c r="AP33" s="82">
        <v>580</v>
      </c>
      <c r="AQ33" s="83">
        <v>2</v>
      </c>
      <c r="AR33" s="94"/>
      <c r="AS33" s="82">
        <v>500</v>
      </c>
      <c r="AT33" s="83">
        <v>1</v>
      </c>
      <c r="AU33" s="85"/>
      <c r="AV33" s="86">
        <f t="shared" si="1"/>
        <v>500</v>
      </c>
    </row>
    <row r="34" spans="1:48" ht="15" hidden="1" customHeight="1" x14ac:dyDescent="0.3">
      <c r="A34" s="13" t="s">
        <v>7</v>
      </c>
      <c r="B34" s="120" t="s">
        <v>8</v>
      </c>
      <c r="C34" s="419"/>
      <c r="D34" s="154"/>
      <c r="E34" s="155"/>
      <c r="F34" s="250"/>
      <c r="G34" s="126"/>
      <c r="H34" s="419"/>
      <c r="I34" s="259"/>
      <c r="J34" s="138"/>
      <c r="K34" s="126"/>
      <c r="L34" s="126"/>
      <c r="M34" s="114"/>
      <c r="N34" s="114"/>
      <c r="O34" s="114"/>
      <c r="P34" s="419"/>
      <c r="Q34" s="259"/>
      <c r="R34" s="138"/>
      <c r="S34" s="126"/>
      <c r="T34" s="419"/>
      <c r="U34" s="259"/>
      <c r="V34" s="138"/>
      <c r="W34" s="126"/>
      <c r="X34" s="126"/>
      <c r="Y34" s="126"/>
      <c r="Z34" s="126"/>
      <c r="AA34" s="419"/>
      <c r="AB34" s="259">
        <v>900</v>
      </c>
      <c r="AC34" s="138">
        <v>1</v>
      </c>
      <c r="AD34" s="126"/>
      <c r="AE34" s="430"/>
      <c r="AF34" s="226"/>
      <c r="AG34" s="226"/>
      <c r="AH34" s="34"/>
      <c r="AI34" s="114"/>
      <c r="AJ34" s="114"/>
      <c r="AK34" s="114"/>
      <c r="AL34" s="231"/>
      <c r="AM34" s="128"/>
      <c r="AN34" s="87"/>
      <c r="AO34" s="81"/>
      <c r="AP34" s="82">
        <v>1740</v>
      </c>
      <c r="AQ34" s="83">
        <v>2</v>
      </c>
      <c r="AR34" s="94"/>
      <c r="AS34" s="82">
        <v>1800</v>
      </c>
      <c r="AT34" s="83">
        <v>4</v>
      </c>
      <c r="AU34" s="85"/>
      <c r="AV34" s="86">
        <f t="shared" si="1"/>
        <v>1740</v>
      </c>
    </row>
    <row r="35" spans="1:48" ht="15" hidden="1" customHeight="1" x14ac:dyDescent="0.3">
      <c r="A35" s="13" t="s">
        <v>7</v>
      </c>
      <c r="B35" s="120" t="s">
        <v>11</v>
      </c>
      <c r="C35" s="419"/>
      <c r="D35" s="154"/>
      <c r="E35" s="155"/>
      <c r="F35" s="250"/>
      <c r="G35" s="126"/>
      <c r="H35" s="419"/>
      <c r="I35" s="259"/>
      <c r="J35" s="138"/>
      <c r="K35" s="126"/>
      <c r="L35" s="126"/>
      <c r="M35" s="114"/>
      <c r="N35" s="114"/>
      <c r="O35" s="114"/>
      <c r="P35" s="419"/>
      <c r="Q35" s="259"/>
      <c r="R35" s="138"/>
      <c r="S35" s="126"/>
      <c r="T35" s="419"/>
      <c r="U35" s="259"/>
      <c r="V35" s="138"/>
      <c r="W35" s="126"/>
      <c r="X35" s="126"/>
      <c r="Y35" s="126"/>
      <c r="Z35" s="126"/>
      <c r="AA35" s="419"/>
      <c r="AB35" s="259">
        <v>220</v>
      </c>
      <c r="AC35" s="138">
        <v>1</v>
      </c>
      <c r="AD35" s="126"/>
      <c r="AE35" s="430"/>
      <c r="AF35" s="226"/>
      <c r="AG35" s="226"/>
      <c r="AH35" s="34"/>
      <c r="AI35" s="114"/>
      <c r="AJ35" s="114"/>
      <c r="AK35" s="114"/>
      <c r="AL35" s="231"/>
      <c r="AM35" s="128"/>
      <c r="AN35" s="80"/>
      <c r="AO35" s="81"/>
      <c r="AP35" s="82">
        <v>1450</v>
      </c>
      <c r="AQ35" s="83">
        <v>7</v>
      </c>
      <c r="AR35" s="94"/>
      <c r="AS35" s="82">
        <v>1000</v>
      </c>
      <c r="AT35" s="83">
        <v>4</v>
      </c>
      <c r="AU35" s="85"/>
      <c r="AV35" s="86">
        <f t="shared" si="1"/>
        <v>1000</v>
      </c>
    </row>
    <row r="36" spans="1:48" ht="15" hidden="1" customHeight="1" x14ac:dyDescent="0.3">
      <c r="A36" s="13" t="s">
        <v>7</v>
      </c>
      <c r="B36" s="120" t="s">
        <v>118</v>
      </c>
      <c r="C36" s="419"/>
      <c r="D36" s="154"/>
      <c r="E36" s="155"/>
      <c r="F36" s="250"/>
      <c r="G36" s="126"/>
      <c r="H36" s="419"/>
      <c r="I36" s="259"/>
      <c r="J36" s="138"/>
      <c r="K36" s="126"/>
      <c r="L36" s="126"/>
      <c r="M36" s="114"/>
      <c r="N36" s="114"/>
      <c r="O36" s="114"/>
      <c r="P36" s="419"/>
      <c r="Q36" s="259"/>
      <c r="R36" s="138"/>
      <c r="S36" s="126"/>
      <c r="T36" s="419"/>
      <c r="U36" s="259"/>
      <c r="V36" s="138"/>
      <c r="W36" s="126"/>
      <c r="X36" s="126"/>
      <c r="Y36" s="126"/>
      <c r="Z36" s="126"/>
      <c r="AA36" s="419"/>
      <c r="AB36" s="259" t="s">
        <v>95</v>
      </c>
      <c r="AC36" s="138" t="s">
        <v>95</v>
      </c>
      <c r="AD36" s="126"/>
      <c r="AE36" s="430"/>
      <c r="AF36" s="226"/>
      <c r="AG36" s="226"/>
      <c r="AH36" s="34"/>
      <c r="AI36" s="114"/>
      <c r="AJ36" s="114"/>
      <c r="AK36" s="114"/>
      <c r="AL36" s="231"/>
      <c r="AM36" s="128"/>
      <c r="AN36" s="87"/>
      <c r="AO36" s="81"/>
      <c r="AP36" s="82">
        <v>3248</v>
      </c>
      <c r="AQ36" s="83">
        <v>7</v>
      </c>
      <c r="AR36" s="94"/>
      <c r="AS36" s="82">
        <v>2800</v>
      </c>
      <c r="AT36" s="83">
        <v>4</v>
      </c>
      <c r="AU36" s="85"/>
      <c r="AV36" s="86">
        <f t="shared" si="1"/>
        <v>2800</v>
      </c>
    </row>
    <row r="37" spans="1:48" ht="15" hidden="1" customHeight="1" x14ac:dyDescent="0.3">
      <c r="A37" s="13" t="s">
        <v>7</v>
      </c>
      <c r="B37" s="120" t="s">
        <v>64</v>
      </c>
      <c r="C37" s="419"/>
      <c r="D37" s="154"/>
      <c r="E37" s="155"/>
      <c r="F37" s="250"/>
      <c r="G37" s="126"/>
      <c r="H37" s="419"/>
      <c r="I37" s="259"/>
      <c r="J37" s="138"/>
      <c r="K37" s="126"/>
      <c r="L37" s="126"/>
      <c r="M37" s="114"/>
      <c r="N37" s="114"/>
      <c r="O37" s="114"/>
      <c r="P37" s="419"/>
      <c r="Q37" s="259"/>
      <c r="R37" s="138"/>
      <c r="S37" s="126"/>
      <c r="T37" s="419"/>
      <c r="U37" s="259"/>
      <c r="V37" s="138"/>
      <c r="W37" s="126"/>
      <c r="X37" s="126"/>
      <c r="Y37" s="126"/>
      <c r="Z37" s="126"/>
      <c r="AA37" s="419"/>
      <c r="AB37" s="259">
        <v>2800</v>
      </c>
      <c r="AC37" s="138">
        <v>4</v>
      </c>
      <c r="AD37" s="126"/>
      <c r="AE37" s="430"/>
      <c r="AF37" s="226"/>
      <c r="AG37" s="226"/>
      <c r="AH37" s="34"/>
      <c r="AI37" s="114"/>
      <c r="AJ37" s="114"/>
      <c r="AK37" s="114"/>
      <c r="AL37" s="231"/>
      <c r="AM37" s="128"/>
      <c r="AN37" s="80"/>
      <c r="AO37" s="81"/>
      <c r="AP37" s="82">
        <v>591.6</v>
      </c>
      <c r="AQ37" s="83">
        <v>2</v>
      </c>
      <c r="AR37" s="94"/>
      <c r="AS37" s="82">
        <v>600</v>
      </c>
      <c r="AT37" s="83">
        <v>1</v>
      </c>
      <c r="AU37" s="85"/>
      <c r="AV37" s="86">
        <f t="shared" si="1"/>
        <v>591.6</v>
      </c>
    </row>
    <row r="38" spans="1:48" ht="15" hidden="1" customHeight="1" x14ac:dyDescent="0.3">
      <c r="A38" s="13" t="s">
        <v>7</v>
      </c>
      <c r="B38" s="120" t="s">
        <v>9</v>
      </c>
      <c r="C38" s="419"/>
      <c r="D38" s="154"/>
      <c r="E38" s="155"/>
      <c r="F38" s="250"/>
      <c r="G38" s="126"/>
      <c r="H38" s="419"/>
      <c r="I38" s="259"/>
      <c r="J38" s="138"/>
      <c r="K38" s="126"/>
      <c r="L38" s="126"/>
      <c r="M38" s="114"/>
      <c r="N38" s="114"/>
      <c r="O38" s="114"/>
      <c r="P38" s="419"/>
      <c r="Q38" s="259"/>
      <c r="R38" s="138"/>
      <c r="S38" s="126"/>
      <c r="T38" s="419"/>
      <c r="U38" s="259"/>
      <c r="V38" s="138"/>
      <c r="W38" s="126"/>
      <c r="X38" s="126"/>
      <c r="Y38" s="126"/>
      <c r="Z38" s="126"/>
      <c r="AA38" s="419"/>
      <c r="AB38" s="259">
        <v>200</v>
      </c>
      <c r="AC38" s="138">
        <v>1</v>
      </c>
      <c r="AD38" s="126"/>
      <c r="AE38" s="430"/>
      <c r="AF38" s="226"/>
      <c r="AG38" s="226"/>
      <c r="AH38" s="34"/>
      <c r="AI38" s="114"/>
      <c r="AJ38" s="114"/>
      <c r="AK38" s="114"/>
      <c r="AL38" s="231"/>
      <c r="AM38" s="128"/>
      <c r="AN38" s="80"/>
      <c r="AO38" s="81"/>
      <c r="AP38" s="82">
        <v>591.6</v>
      </c>
      <c r="AQ38" s="83">
        <v>2</v>
      </c>
      <c r="AR38" s="94"/>
      <c r="AS38" s="82"/>
      <c r="AT38" s="83">
        <v>1</v>
      </c>
      <c r="AU38" s="85"/>
      <c r="AV38" s="86">
        <f t="shared" si="1"/>
        <v>591.6</v>
      </c>
    </row>
    <row r="39" spans="1:48" ht="15" hidden="1" customHeight="1" x14ac:dyDescent="0.3">
      <c r="A39" s="13" t="s">
        <v>7</v>
      </c>
      <c r="B39" s="120" t="s">
        <v>62</v>
      </c>
      <c r="C39" s="419"/>
      <c r="D39" s="154"/>
      <c r="E39" s="155"/>
      <c r="F39" s="250"/>
      <c r="G39" s="126"/>
      <c r="H39" s="419"/>
      <c r="I39" s="259"/>
      <c r="J39" s="138"/>
      <c r="K39" s="126"/>
      <c r="L39" s="126"/>
      <c r="M39" s="114"/>
      <c r="N39" s="114"/>
      <c r="O39" s="114"/>
      <c r="P39" s="419"/>
      <c r="Q39" s="259"/>
      <c r="R39" s="138"/>
      <c r="S39" s="126"/>
      <c r="T39" s="419"/>
      <c r="U39" s="259"/>
      <c r="V39" s="138"/>
      <c r="W39" s="126"/>
      <c r="X39" s="126"/>
      <c r="Y39" s="126"/>
      <c r="Z39" s="126"/>
      <c r="AA39" s="419"/>
      <c r="AB39" s="259">
        <v>500</v>
      </c>
      <c r="AC39" s="138">
        <v>1</v>
      </c>
      <c r="AD39" s="126"/>
      <c r="AE39" s="430"/>
      <c r="AF39" s="226"/>
      <c r="AG39" s="226"/>
      <c r="AH39" s="34"/>
      <c r="AI39" s="114"/>
      <c r="AJ39" s="114"/>
      <c r="AK39" s="114"/>
      <c r="AL39" s="231"/>
      <c r="AM39" s="128"/>
      <c r="AN39" s="80"/>
      <c r="AO39" s="81"/>
      <c r="AP39" s="82">
        <v>201.84</v>
      </c>
      <c r="AQ39" s="83">
        <v>2</v>
      </c>
      <c r="AR39" s="94"/>
      <c r="AS39" s="82">
        <v>220</v>
      </c>
      <c r="AT39" s="83">
        <v>1</v>
      </c>
      <c r="AU39" s="85"/>
      <c r="AV39" s="86">
        <f t="shared" si="1"/>
        <v>201.84</v>
      </c>
    </row>
    <row r="40" spans="1:48" ht="15" hidden="1" customHeight="1" thickBot="1" x14ac:dyDescent="0.35">
      <c r="A40" s="14" t="s">
        <v>7</v>
      </c>
      <c r="B40" s="121" t="s">
        <v>65</v>
      </c>
      <c r="C40" s="420"/>
      <c r="D40" s="156"/>
      <c r="E40" s="157"/>
      <c r="F40" s="250"/>
      <c r="G40" s="126"/>
      <c r="H40" s="420"/>
      <c r="I40" s="260"/>
      <c r="J40" s="139"/>
      <c r="K40" s="126"/>
      <c r="L40" s="126"/>
      <c r="M40" s="114"/>
      <c r="N40" s="114"/>
      <c r="O40" s="114"/>
      <c r="P40" s="420"/>
      <c r="Q40" s="260"/>
      <c r="R40" s="139"/>
      <c r="S40" s="126"/>
      <c r="T40" s="420"/>
      <c r="U40" s="260"/>
      <c r="V40" s="139"/>
      <c r="W40" s="126"/>
      <c r="X40" s="126"/>
      <c r="Y40" s="126"/>
      <c r="Z40" s="126"/>
      <c r="AA40" s="420"/>
      <c r="AB40" s="260">
        <v>600</v>
      </c>
      <c r="AC40" s="139">
        <v>1</v>
      </c>
      <c r="AD40" s="126"/>
      <c r="AE40" s="431"/>
      <c r="AF40" s="227"/>
      <c r="AG40" s="227"/>
      <c r="AH40" s="139"/>
      <c r="AI40" s="114"/>
      <c r="AJ40" s="114"/>
      <c r="AK40" s="114"/>
      <c r="AL40" s="231"/>
      <c r="AM40" s="115"/>
      <c r="AN40" s="116"/>
      <c r="AO40" s="81"/>
      <c r="AP40" s="94"/>
      <c r="AQ40" s="93"/>
      <c r="AR40" s="94"/>
      <c r="AS40" s="94"/>
      <c r="AT40" s="93"/>
      <c r="AU40" s="85"/>
      <c r="AV40" s="86"/>
    </row>
    <row r="41" spans="1:48" s="91" customFormat="1" ht="39.5" thickBot="1" x14ac:dyDescent="0.35">
      <c r="A41" s="123" t="s">
        <v>1</v>
      </c>
      <c r="B41" s="124" t="s">
        <v>3</v>
      </c>
      <c r="C41" s="125" t="s">
        <v>4</v>
      </c>
      <c r="D41" s="147" t="s">
        <v>96</v>
      </c>
      <c r="E41" s="246" t="s">
        <v>97</v>
      </c>
      <c r="F41" s="148" t="s">
        <v>134</v>
      </c>
      <c r="G41" s="27"/>
      <c r="H41" s="28" t="s">
        <v>4</v>
      </c>
      <c r="I41" s="147" t="s">
        <v>96</v>
      </c>
      <c r="J41" s="246" t="s">
        <v>97</v>
      </c>
      <c r="K41" s="275" t="s">
        <v>142</v>
      </c>
      <c r="L41" s="148" t="s">
        <v>134</v>
      </c>
      <c r="M41" s="89"/>
      <c r="N41" s="89"/>
      <c r="O41" s="89"/>
      <c r="P41" s="146" t="s">
        <v>4</v>
      </c>
      <c r="Q41" s="147" t="s">
        <v>96</v>
      </c>
      <c r="R41" s="148" t="s">
        <v>97</v>
      </c>
      <c r="S41" s="27"/>
      <c r="T41" s="28" t="s">
        <v>4</v>
      </c>
      <c r="U41" s="25" t="s">
        <v>96</v>
      </c>
      <c r="V41" s="26" t="s">
        <v>97</v>
      </c>
      <c r="W41" s="127"/>
      <c r="X41" s="127"/>
      <c r="Y41" s="127"/>
      <c r="Z41" s="127"/>
      <c r="AA41" s="146" t="s">
        <v>4</v>
      </c>
      <c r="AB41" s="147" t="s">
        <v>96</v>
      </c>
      <c r="AC41" s="148" t="s">
        <v>97</v>
      </c>
      <c r="AD41" s="27"/>
      <c r="AE41" s="220" t="s">
        <v>4</v>
      </c>
      <c r="AF41" s="221" t="s">
        <v>96</v>
      </c>
      <c r="AG41" s="216" t="s">
        <v>97</v>
      </c>
      <c r="AH41" s="26" t="s">
        <v>134</v>
      </c>
      <c r="AI41" s="89"/>
      <c r="AJ41" s="206" t="s">
        <v>130</v>
      </c>
      <c r="AK41" s="89"/>
      <c r="AL41" s="89"/>
      <c r="AM41" s="92"/>
      <c r="AN41" s="92"/>
      <c r="AO41" s="90"/>
      <c r="AP41" s="90"/>
      <c r="AQ41" s="93"/>
      <c r="AR41" s="90"/>
      <c r="AS41" s="90"/>
      <c r="AT41" s="93"/>
      <c r="AU41" s="81"/>
      <c r="AV41" s="86">
        <f t="shared" si="1"/>
        <v>0</v>
      </c>
    </row>
    <row r="42" spans="1:48" ht="15" customHeight="1" x14ac:dyDescent="0.3">
      <c r="A42" s="12" t="s">
        <v>5</v>
      </c>
      <c r="B42" s="207" t="s">
        <v>131</v>
      </c>
      <c r="C42" s="424" t="s">
        <v>12</v>
      </c>
      <c r="D42" s="162">
        <v>650</v>
      </c>
      <c r="E42" s="251">
        <v>1</v>
      </c>
      <c r="F42" s="252">
        <v>200</v>
      </c>
      <c r="G42" s="126"/>
      <c r="H42" s="424" t="s">
        <v>12</v>
      </c>
      <c r="I42" s="136">
        <v>750</v>
      </c>
      <c r="J42" s="251">
        <v>1</v>
      </c>
      <c r="K42" s="255">
        <v>1</v>
      </c>
      <c r="L42" s="137">
        <v>185</v>
      </c>
      <c r="M42" s="129"/>
      <c r="N42" s="142"/>
      <c r="O42" s="142"/>
      <c r="P42" s="418"/>
      <c r="Q42" s="136"/>
      <c r="R42" s="137"/>
      <c r="S42" s="126"/>
      <c r="T42" s="418"/>
      <c r="U42" s="136"/>
      <c r="V42" s="137"/>
      <c r="W42" s="126"/>
      <c r="X42" s="126"/>
      <c r="Y42" s="126"/>
      <c r="Z42" s="126"/>
      <c r="AA42" s="424" t="s">
        <v>12</v>
      </c>
      <c r="AB42" s="136">
        <v>750</v>
      </c>
      <c r="AC42" s="137">
        <v>1</v>
      </c>
      <c r="AD42" s="126"/>
      <c r="AE42" s="430"/>
      <c r="AF42" s="226">
        <v>700</v>
      </c>
      <c r="AG42" s="226">
        <v>2</v>
      </c>
      <c r="AH42" s="34">
        <v>200</v>
      </c>
      <c r="AI42" s="129"/>
      <c r="AJ42" s="233">
        <f>(AF42-AB42)/AB42</f>
        <v>-6.6666666666666666E-2</v>
      </c>
      <c r="AK42" s="129"/>
      <c r="AL42" s="129"/>
      <c r="AM42" s="128">
        <v>754</v>
      </c>
      <c r="AN42" s="80" t="s">
        <v>66</v>
      </c>
      <c r="AO42" s="81"/>
      <c r="AP42" s="82">
        <v>1044</v>
      </c>
      <c r="AQ42" s="83">
        <v>2</v>
      </c>
      <c r="AR42" s="94"/>
      <c r="AS42" s="82">
        <v>750</v>
      </c>
      <c r="AT42" s="83">
        <v>1</v>
      </c>
      <c r="AU42" s="85"/>
      <c r="AV42" s="86">
        <f t="shared" si="1"/>
        <v>750</v>
      </c>
    </row>
    <row r="43" spans="1:48" ht="15" customHeight="1" x14ac:dyDescent="0.3">
      <c r="A43" s="13" t="s">
        <v>7</v>
      </c>
      <c r="B43" s="120" t="s">
        <v>10</v>
      </c>
      <c r="C43" s="425"/>
      <c r="D43" s="159">
        <v>1265</v>
      </c>
      <c r="E43" s="226">
        <v>1</v>
      </c>
      <c r="F43" s="253">
        <v>200</v>
      </c>
      <c r="G43" s="126"/>
      <c r="H43" s="425"/>
      <c r="I43" s="259">
        <v>1200</v>
      </c>
      <c r="J43" s="226">
        <v>2</v>
      </c>
      <c r="K43" s="256">
        <v>1</v>
      </c>
      <c r="L43" s="138">
        <v>185</v>
      </c>
      <c r="M43" s="117"/>
      <c r="N43" s="143"/>
      <c r="O43" s="143"/>
      <c r="P43" s="419"/>
      <c r="Q43" s="259"/>
      <c r="R43" s="138"/>
      <c r="S43" s="126"/>
      <c r="T43" s="419"/>
      <c r="U43" s="259"/>
      <c r="V43" s="138"/>
      <c r="W43" s="126"/>
      <c r="X43" s="126"/>
      <c r="Y43" s="126"/>
      <c r="Z43" s="126"/>
      <c r="AA43" s="425"/>
      <c r="AB43" s="259">
        <v>1500</v>
      </c>
      <c r="AC43" s="138">
        <v>4</v>
      </c>
      <c r="AD43" s="126"/>
      <c r="AE43" s="430"/>
      <c r="AF43" s="226">
        <v>1150</v>
      </c>
      <c r="AG43" s="226">
        <v>2</v>
      </c>
      <c r="AH43" s="34">
        <v>200</v>
      </c>
      <c r="AI43" s="117"/>
      <c r="AJ43" s="199">
        <f>(AF43-AB43)/AB43</f>
        <v>-0.23333333333333334</v>
      </c>
      <c r="AK43" s="117"/>
      <c r="AL43" s="117"/>
      <c r="AM43" s="128">
        <v>754</v>
      </c>
      <c r="AN43" s="80" t="s">
        <v>66</v>
      </c>
      <c r="AO43" s="81"/>
      <c r="AP43" s="82">
        <v>928</v>
      </c>
      <c r="AQ43" s="83">
        <v>2</v>
      </c>
      <c r="AR43" s="94"/>
      <c r="AS43" s="82">
        <v>800</v>
      </c>
      <c r="AT43" s="83">
        <v>1</v>
      </c>
      <c r="AU43" s="85"/>
      <c r="AV43" s="86">
        <f t="shared" si="1"/>
        <v>754</v>
      </c>
    </row>
    <row r="44" spans="1:48" ht="15" customHeight="1" x14ac:dyDescent="0.3">
      <c r="A44" s="280" t="s">
        <v>7</v>
      </c>
      <c r="B44" s="281" t="s">
        <v>119</v>
      </c>
      <c r="C44" s="425"/>
      <c r="D44" s="159"/>
      <c r="E44" s="226"/>
      <c r="F44" s="253"/>
      <c r="G44" s="126"/>
      <c r="H44" s="425"/>
      <c r="I44" s="259">
        <v>400</v>
      </c>
      <c r="J44" s="226">
        <v>1</v>
      </c>
      <c r="K44" s="256">
        <v>1</v>
      </c>
      <c r="L44" s="138">
        <v>185</v>
      </c>
      <c r="M44" s="117"/>
      <c r="N44" s="143"/>
      <c r="O44" s="143"/>
      <c r="P44" s="419"/>
      <c r="Q44" s="259"/>
      <c r="R44" s="138"/>
      <c r="S44" s="126"/>
      <c r="T44" s="419"/>
      <c r="U44" s="259"/>
      <c r="V44" s="138"/>
      <c r="W44" s="126"/>
      <c r="X44" s="126"/>
      <c r="Y44" s="126"/>
      <c r="Z44" s="126"/>
      <c r="AA44" s="425"/>
      <c r="AB44" s="259"/>
      <c r="AC44" s="138"/>
      <c r="AD44" s="126"/>
      <c r="AE44" s="430"/>
      <c r="AF44" s="226">
        <v>750</v>
      </c>
      <c r="AG44" s="226">
        <v>1</v>
      </c>
      <c r="AH44" s="34">
        <v>200</v>
      </c>
      <c r="AI44" s="117"/>
      <c r="AJ44" s="200"/>
      <c r="AK44" s="117"/>
      <c r="AL44" s="117"/>
      <c r="AM44" s="128">
        <v>174</v>
      </c>
      <c r="AN44" s="80" t="s">
        <v>66</v>
      </c>
      <c r="AO44" s="81"/>
      <c r="AP44" s="82">
        <v>201.84</v>
      </c>
      <c r="AQ44" s="83">
        <v>2</v>
      </c>
      <c r="AR44" s="94"/>
      <c r="AS44" s="82">
        <v>200</v>
      </c>
      <c r="AT44" s="83">
        <v>1</v>
      </c>
      <c r="AU44" s="85"/>
      <c r="AV44" s="86">
        <f t="shared" si="1"/>
        <v>174</v>
      </c>
    </row>
    <row r="45" spans="1:48" ht="15" customHeight="1" x14ac:dyDescent="0.3">
      <c r="A45" s="13" t="s">
        <v>7</v>
      </c>
      <c r="B45" s="120" t="s">
        <v>63</v>
      </c>
      <c r="C45" s="425"/>
      <c r="D45" s="159">
        <v>950</v>
      </c>
      <c r="E45" s="226">
        <v>2</v>
      </c>
      <c r="F45" s="253">
        <v>200</v>
      </c>
      <c r="G45" s="126"/>
      <c r="H45" s="425"/>
      <c r="I45" s="259">
        <v>1000</v>
      </c>
      <c r="J45" s="226">
        <v>1</v>
      </c>
      <c r="K45" s="256">
        <v>1</v>
      </c>
      <c r="L45" s="138">
        <v>185</v>
      </c>
      <c r="M45" s="117"/>
      <c r="N45" s="143"/>
      <c r="O45" s="143"/>
      <c r="P45" s="419"/>
      <c r="Q45" s="259"/>
      <c r="R45" s="138"/>
      <c r="S45" s="126"/>
      <c r="T45" s="419"/>
      <c r="U45" s="259"/>
      <c r="V45" s="138"/>
      <c r="W45" s="126"/>
      <c r="X45" s="126"/>
      <c r="Y45" s="126"/>
      <c r="Z45" s="126"/>
      <c r="AA45" s="425"/>
      <c r="AB45" s="259">
        <v>1500</v>
      </c>
      <c r="AC45" s="138">
        <v>4</v>
      </c>
      <c r="AD45" s="126"/>
      <c r="AE45" s="430"/>
      <c r="AF45" s="226">
        <v>1100</v>
      </c>
      <c r="AG45" s="226">
        <v>2</v>
      </c>
      <c r="AH45" s="34">
        <v>200</v>
      </c>
      <c r="AI45" s="117"/>
      <c r="AJ45" s="199">
        <f>(AF45-AB45)/AB45</f>
        <v>-0.26666666666666666</v>
      </c>
      <c r="AK45" s="117"/>
      <c r="AL45" s="117"/>
      <c r="AM45" s="128">
        <v>382.79999999999995</v>
      </c>
      <c r="AN45" s="80" t="s">
        <v>66</v>
      </c>
      <c r="AO45" s="81"/>
      <c r="AP45" s="82">
        <v>464</v>
      </c>
      <c r="AQ45" s="83">
        <v>2</v>
      </c>
      <c r="AR45" s="94"/>
      <c r="AS45" s="82">
        <v>500</v>
      </c>
      <c r="AT45" s="83">
        <v>1</v>
      </c>
      <c r="AU45" s="85"/>
      <c r="AV45" s="86">
        <f t="shared" si="1"/>
        <v>382.79999999999995</v>
      </c>
    </row>
    <row r="46" spans="1:48" ht="15" customHeight="1" x14ac:dyDescent="0.3">
      <c r="A46" s="13" t="s">
        <v>7</v>
      </c>
      <c r="B46" s="120" t="s">
        <v>8</v>
      </c>
      <c r="C46" s="425"/>
      <c r="D46" s="159">
        <v>650</v>
      </c>
      <c r="E46" s="226">
        <v>1</v>
      </c>
      <c r="F46" s="253">
        <v>200</v>
      </c>
      <c r="G46" s="126"/>
      <c r="H46" s="425"/>
      <c r="I46" s="259">
        <v>720</v>
      </c>
      <c r="J46" s="226">
        <v>1</v>
      </c>
      <c r="K46" s="256">
        <v>1</v>
      </c>
      <c r="L46" s="138">
        <v>185</v>
      </c>
      <c r="M46" s="117"/>
      <c r="N46" s="143"/>
      <c r="O46" s="143"/>
      <c r="P46" s="419"/>
      <c r="Q46" s="259"/>
      <c r="R46" s="138"/>
      <c r="S46" s="126"/>
      <c r="T46" s="419"/>
      <c r="U46" s="259"/>
      <c r="V46" s="138"/>
      <c r="W46" s="126"/>
      <c r="X46" s="126"/>
      <c r="Y46" s="126"/>
      <c r="Z46" s="126"/>
      <c r="AA46" s="425"/>
      <c r="AB46" s="259">
        <v>800</v>
      </c>
      <c r="AC46" s="138">
        <v>1</v>
      </c>
      <c r="AD46" s="126"/>
      <c r="AE46" s="430"/>
      <c r="AF46" s="226">
        <v>750</v>
      </c>
      <c r="AG46" s="226">
        <v>2</v>
      </c>
      <c r="AH46" s="34">
        <v>200</v>
      </c>
      <c r="AI46" s="117"/>
      <c r="AJ46" s="199">
        <f>(AF46-AB46)/AB46</f>
        <v>-6.25E-2</v>
      </c>
      <c r="AK46" s="117"/>
      <c r="AL46" s="117"/>
      <c r="AM46" s="128">
        <v>1467.3999999999999</v>
      </c>
      <c r="AN46" s="87" t="s">
        <v>66</v>
      </c>
      <c r="AO46" s="81"/>
      <c r="AP46" s="82">
        <v>1856</v>
      </c>
      <c r="AQ46" s="83">
        <v>2</v>
      </c>
      <c r="AR46" s="94"/>
      <c r="AS46" s="82">
        <v>1500</v>
      </c>
      <c r="AT46" s="83">
        <v>4</v>
      </c>
      <c r="AU46" s="85"/>
      <c r="AV46" s="86">
        <f t="shared" si="1"/>
        <v>1467.3999999999999</v>
      </c>
    </row>
    <row r="47" spans="1:48" ht="15" customHeight="1" x14ac:dyDescent="0.3">
      <c r="A47" s="13" t="s">
        <v>7</v>
      </c>
      <c r="B47" s="120" t="s">
        <v>11</v>
      </c>
      <c r="C47" s="425"/>
      <c r="D47" s="159">
        <v>165</v>
      </c>
      <c r="E47" s="226">
        <v>1</v>
      </c>
      <c r="F47" s="253">
        <v>200</v>
      </c>
      <c r="G47" s="126"/>
      <c r="H47" s="425"/>
      <c r="I47" s="259">
        <v>180</v>
      </c>
      <c r="J47" s="226">
        <v>1</v>
      </c>
      <c r="K47" s="256">
        <v>1</v>
      </c>
      <c r="L47" s="138">
        <v>185</v>
      </c>
      <c r="M47" s="117"/>
      <c r="N47" s="143"/>
      <c r="O47" s="143"/>
      <c r="P47" s="419"/>
      <c r="Q47" s="259"/>
      <c r="R47" s="138"/>
      <c r="S47" s="126"/>
      <c r="T47" s="419"/>
      <c r="U47" s="259"/>
      <c r="V47" s="138"/>
      <c r="W47" s="126"/>
      <c r="X47" s="126"/>
      <c r="Y47" s="126"/>
      <c r="Z47" s="126"/>
      <c r="AA47" s="425"/>
      <c r="AB47" s="259">
        <v>200</v>
      </c>
      <c r="AC47" s="138">
        <v>1</v>
      </c>
      <c r="AD47" s="126"/>
      <c r="AE47" s="430"/>
      <c r="AF47" s="226">
        <v>150</v>
      </c>
      <c r="AG47" s="226">
        <v>1</v>
      </c>
      <c r="AH47" s="34">
        <v>200</v>
      </c>
      <c r="AI47" s="117"/>
      <c r="AJ47" s="199">
        <f>(AF47-AB47)/AB47</f>
        <v>-0.25</v>
      </c>
      <c r="AK47" s="117"/>
      <c r="AL47" s="117"/>
      <c r="AM47" s="128">
        <v>1102</v>
      </c>
      <c r="AN47" s="80" t="s">
        <v>67</v>
      </c>
      <c r="AO47" s="81"/>
      <c r="AP47" s="82">
        <v>1508</v>
      </c>
      <c r="AQ47" s="83">
        <v>7</v>
      </c>
      <c r="AR47" s="94"/>
      <c r="AS47" s="82">
        <v>1500</v>
      </c>
      <c r="AT47" s="83">
        <v>4</v>
      </c>
      <c r="AU47" s="85"/>
      <c r="AV47" s="86">
        <f t="shared" si="1"/>
        <v>1102</v>
      </c>
    </row>
    <row r="48" spans="1:48" ht="15" customHeight="1" x14ac:dyDescent="0.3">
      <c r="A48" s="13" t="s">
        <v>7</v>
      </c>
      <c r="B48" s="120" t="s">
        <v>118</v>
      </c>
      <c r="C48" s="425"/>
      <c r="D48" s="159">
        <v>530</v>
      </c>
      <c r="E48" s="226">
        <v>1</v>
      </c>
      <c r="F48" s="253">
        <v>200</v>
      </c>
      <c r="G48" s="126"/>
      <c r="H48" s="425"/>
      <c r="I48" s="259">
        <v>600</v>
      </c>
      <c r="J48" s="226">
        <v>1</v>
      </c>
      <c r="K48" s="256">
        <v>1</v>
      </c>
      <c r="L48" s="138">
        <v>185</v>
      </c>
      <c r="M48" s="117"/>
      <c r="N48" s="143"/>
      <c r="O48" s="143"/>
      <c r="P48" s="419"/>
      <c r="Q48" s="259"/>
      <c r="R48" s="138"/>
      <c r="S48" s="126"/>
      <c r="T48" s="419"/>
      <c r="U48" s="259"/>
      <c r="V48" s="138"/>
      <c r="W48" s="126"/>
      <c r="X48" s="126"/>
      <c r="Y48" s="126"/>
      <c r="Z48" s="126"/>
      <c r="AA48" s="425"/>
      <c r="AB48" s="259" t="s">
        <v>95</v>
      </c>
      <c r="AC48" s="138" t="s">
        <v>95</v>
      </c>
      <c r="AD48" s="126"/>
      <c r="AE48" s="430"/>
      <c r="AF48" s="226">
        <v>600</v>
      </c>
      <c r="AG48" s="226">
        <v>2</v>
      </c>
      <c r="AH48" s="34">
        <v>200</v>
      </c>
      <c r="AI48" s="117"/>
      <c r="AJ48" s="200"/>
      <c r="AK48" s="117"/>
      <c r="AL48" s="117"/>
      <c r="AM48" s="128">
        <v>2029.9999999999998</v>
      </c>
      <c r="AN48" s="87" t="s">
        <v>66</v>
      </c>
      <c r="AO48" s="81"/>
      <c r="AP48" s="82">
        <v>3364</v>
      </c>
      <c r="AQ48" s="83">
        <v>7</v>
      </c>
      <c r="AR48" s="94"/>
      <c r="AS48" s="82">
        <v>2000</v>
      </c>
      <c r="AT48" s="83">
        <v>4</v>
      </c>
      <c r="AU48" s="85"/>
      <c r="AV48" s="86">
        <f t="shared" si="1"/>
        <v>2000</v>
      </c>
    </row>
    <row r="49" spans="1:48" ht="15" customHeight="1" x14ac:dyDescent="0.3">
      <c r="A49" s="13" t="s">
        <v>7</v>
      </c>
      <c r="B49" s="120" t="s">
        <v>64</v>
      </c>
      <c r="C49" s="425"/>
      <c r="D49" s="159">
        <v>1750</v>
      </c>
      <c r="E49" s="226">
        <v>1</v>
      </c>
      <c r="F49" s="253">
        <v>200</v>
      </c>
      <c r="G49" s="126"/>
      <c r="H49" s="425"/>
      <c r="I49" s="259">
        <v>2100</v>
      </c>
      <c r="J49" s="226">
        <v>3</v>
      </c>
      <c r="K49" s="256">
        <v>1</v>
      </c>
      <c r="L49" s="138">
        <v>185</v>
      </c>
      <c r="M49" s="117"/>
      <c r="N49" s="143"/>
      <c r="O49" s="143"/>
      <c r="P49" s="419"/>
      <c r="Q49" s="259"/>
      <c r="R49" s="138"/>
      <c r="S49" s="126"/>
      <c r="T49" s="419"/>
      <c r="U49" s="259"/>
      <c r="V49" s="138"/>
      <c r="W49" s="126"/>
      <c r="X49" s="126"/>
      <c r="Y49" s="126"/>
      <c r="Z49" s="126"/>
      <c r="AA49" s="425"/>
      <c r="AB49" s="259">
        <v>2000</v>
      </c>
      <c r="AC49" s="138">
        <v>4</v>
      </c>
      <c r="AD49" s="126"/>
      <c r="AE49" s="430"/>
      <c r="AF49" s="226">
        <v>2200</v>
      </c>
      <c r="AG49" s="226">
        <v>2</v>
      </c>
      <c r="AH49" s="34">
        <v>200</v>
      </c>
      <c r="AI49" s="117"/>
      <c r="AJ49" s="196">
        <f>(AF49-AB49)/AB49</f>
        <v>0.1</v>
      </c>
      <c r="AK49" s="117"/>
      <c r="AL49" s="117"/>
      <c r="AM49" s="128">
        <v>522</v>
      </c>
      <c r="AN49" s="80" t="s">
        <v>68</v>
      </c>
      <c r="AO49" s="81"/>
      <c r="AP49" s="82">
        <v>580</v>
      </c>
      <c r="AQ49" s="83">
        <v>2</v>
      </c>
      <c r="AR49" s="94"/>
      <c r="AS49" s="82">
        <v>600</v>
      </c>
      <c r="AT49" s="83">
        <v>1</v>
      </c>
      <c r="AU49" s="85"/>
      <c r="AV49" s="86">
        <f t="shared" si="1"/>
        <v>522</v>
      </c>
    </row>
    <row r="50" spans="1:48" ht="15" customHeight="1" x14ac:dyDescent="0.3">
      <c r="A50" s="13" t="s">
        <v>7</v>
      </c>
      <c r="B50" s="120" t="s">
        <v>9</v>
      </c>
      <c r="C50" s="425"/>
      <c r="D50" s="159">
        <v>150</v>
      </c>
      <c r="E50" s="226">
        <v>1</v>
      </c>
      <c r="F50" s="253">
        <v>200</v>
      </c>
      <c r="G50" s="126"/>
      <c r="H50" s="425"/>
      <c r="I50" s="259">
        <v>180</v>
      </c>
      <c r="J50" s="226">
        <v>1</v>
      </c>
      <c r="K50" s="256">
        <v>1</v>
      </c>
      <c r="L50" s="138">
        <v>185</v>
      </c>
      <c r="M50" s="117"/>
      <c r="N50" s="143"/>
      <c r="O50" s="143"/>
      <c r="P50" s="419"/>
      <c r="Q50" s="259"/>
      <c r="R50" s="138"/>
      <c r="S50" s="126"/>
      <c r="T50" s="419"/>
      <c r="U50" s="259"/>
      <c r="V50" s="138"/>
      <c r="W50" s="126"/>
      <c r="X50" s="126"/>
      <c r="Y50" s="126"/>
      <c r="Z50" s="126"/>
      <c r="AA50" s="425"/>
      <c r="AB50" s="259">
        <v>200</v>
      </c>
      <c r="AC50" s="138">
        <v>1</v>
      </c>
      <c r="AD50" s="126"/>
      <c r="AE50" s="430"/>
      <c r="AF50" s="226">
        <v>150</v>
      </c>
      <c r="AG50" s="226">
        <v>1</v>
      </c>
      <c r="AH50" s="34">
        <v>200</v>
      </c>
      <c r="AI50" s="117"/>
      <c r="AJ50" s="199">
        <f>(AF50-AB50)/AB50</f>
        <v>-0.25</v>
      </c>
      <c r="AK50" s="117"/>
      <c r="AL50" s="117"/>
      <c r="AM50" s="128">
        <v>614.79999999999995</v>
      </c>
      <c r="AN50" s="80" t="s">
        <v>66</v>
      </c>
      <c r="AO50" s="81"/>
      <c r="AP50" s="82">
        <v>580</v>
      </c>
      <c r="AQ50" s="83">
        <v>2</v>
      </c>
      <c r="AR50" s="94"/>
      <c r="AS50" s="82"/>
      <c r="AT50" s="83">
        <v>1</v>
      </c>
      <c r="AU50" s="85"/>
      <c r="AV50" s="86">
        <f t="shared" si="1"/>
        <v>580</v>
      </c>
    </row>
    <row r="51" spans="1:48" ht="15" customHeight="1" x14ac:dyDescent="0.3">
      <c r="A51" s="13" t="s">
        <v>7</v>
      </c>
      <c r="B51" s="120" t="s">
        <v>62</v>
      </c>
      <c r="C51" s="425"/>
      <c r="D51" s="159">
        <v>330</v>
      </c>
      <c r="E51" s="226">
        <v>1</v>
      </c>
      <c r="F51" s="253">
        <v>200</v>
      </c>
      <c r="G51" s="126"/>
      <c r="H51" s="425"/>
      <c r="I51" s="259">
        <v>440</v>
      </c>
      <c r="J51" s="226">
        <v>1</v>
      </c>
      <c r="K51" s="256">
        <v>1</v>
      </c>
      <c r="L51" s="138">
        <v>185</v>
      </c>
      <c r="M51" s="117"/>
      <c r="N51" s="143"/>
      <c r="O51" s="143"/>
      <c r="P51" s="419"/>
      <c r="Q51" s="259"/>
      <c r="R51" s="138"/>
      <c r="S51" s="126"/>
      <c r="T51" s="419"/>
      <c r="U51" s="259"/>
      <c r="V51" s="138"/>
      <c r="W51" s="126"/>
      <c r="X51" s="126"/>
      <c r="Y51" s="126"/>
      <c r="Z51" s="126"/>
      <c r="AA51" s="425"/>
      <c r="AB51" s="259">
        <v>500</v>
      </c>
      <c r="AC51" s="138">
        <v>1</v>
      </c>
      <c r="AD51" s="126"/>
      <c r="AE51" s="430"/>
      <c r="AF51" s="226">
        <v>500</v>
      </c>
      <c r="AG51" s="226">
        <v>2</v>
      </c>
      <c r="AH51" s="34">
        <v>200</v>
      </c>
      <c r="AI51" s="117"/>
      <c r="AJ51" s="198">
        <f>(AF51-AB51)/AB51</f>
        <v>0</v>
      </c>
      <c r="AK51" s="117"/>
      <c r="AL51" s="117"/>
      <c r="AM51" s="128">
        <v>191.39999999999998</v>
      </c>
      <c r="AN51" s="80" t="s">
        <v>66</v>
      </c>
      <c r="AO51" s="81"/>
      <c r="AP51" s="82">
        <v>221.56</v>
      </c>
      <c r="AQ51" s="83">
        <v>2</v>
      </c>
      <c r="AR51" s="94"/>
      <c r="AS51" s="82">
        <v>200</v>
      </c>
      <c r="AT51" s="83">
        <v>1</v>
      </c>
      <c r="AU51" s="85"/>
      <c r="AV51" s="86">
        <f t="shared" si="1"/>
        <v>191.39999999999998</v>
      </c>
    </row>
    <row r="52" spans="1:48" ht="15" customHeight="1" thickBot="1" x14ac:dyDescent="0.35">
      <c r="A52" s="14" t="s">
        <v>7</v>
      </c>
      <c r="B52" s="121" t="s">
        <v>65</v>
      </c>
      <c r="C52" s="426"/>
      <c r="D52" s="161">
        <v>450</v>
      </c>
      <c r="E52" s="227">
        <v>3</v>
      </c>
      <c r="F52" s="254">
        <v>200</v>
      </c>
      <c r="G52" s="126"/>
      <c r="H52" s="426"/>
      <c r="I52" s="260">
        <v>440</v>
      </c>
      <c r="J52" s="227">
        <v>1</v>
      </c>
      <c r="K52" s="257">
        <v>1</v>
      </c>
      <c r="L52" s="139">
        <v>185</v>
      </c>
      <c r="M52" s="117"/>
      <c r="N52" s="143"/>
      <c r="O52" s="143"/>
      <c r="P52" s="420"/>
      <c r="Q52" s="260"/>
      <c r="R52" s="139"/>
      <c r="S52" s="126"/>
      <c r="T52" s="420"/>
      <c r="U52" s="260"/>
      <c r="V52" s="139"/>
      <c r="W52" s="126"/>
      <c r="X52" s="126"/>
      <c r="Y52" s="126"/>
      <c r="Z52" s="126"/>
      <c r="AA52" s="426"/>
      <c r="AB52" s="260">
        <v>600</v>
      </c>
      <c r="AC52" s="139">
        <v>1</v>
      </c>
      <c r="AD52" s="126"/>
      <c r="AE52" s="431"/>
      <c r="AF52" s="227">
        <v>500</v>
      </c>
      <c r="AG52" s="227">
        <v>2</v>
      </c>
      <c r="AH52" s="139">
        <v>200</v>
      </c>
      <c r="AI52" s="117"/>
      <c r="AJ52" s="234">
        <f>(AF52-AB52)/AB52</f>
        <v>-0.16666666666666666</v>
      </c>
      <c r="AK52" s="117"/>
      <c r="AL52" s="117"/>
      <c r="AM52" s="115"/>
      <c r="AN52" s="116"/>
      <c r="AO52" s="81"/>
      <c r="AP52" s="94"/>
      <c r="AQ52" s="93"/>
      <c r="AR52" s="94"/>
      <c r="AS52" s="94"/>
      <c r="AT52" s="93"/>
      <c r="AU52" s="85"/>
      <c r="AV52" s="86"/>
    </row>
    <row r="53" spans="1:48" ht="15" customHeight="1" thickBot="1" x14ac:dyDescent="0.35">
      <c r="A53" s="113"/>
      <c r="B53" s="113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5"/>
      <c r="AN53" s="116"/>
      <c r="AO53" s="81"/>
      <c r="AP53" s="94"/>
      <c r="AQ53" s="93"/>
      <c r="AR53" s="94"/>
      <c r="AS53" s="94"/>
      <c r="AT53" s="93"/>
      <c r="AU53" s="85"/>
      <c r="AV53" s="86"/>
    </row>
    <row r="54" spans="1:48" s="91" customFormat="1" ht="39.5" thickBot="1" x14ac:dyDescent="0.35">
      <c r="A54" s="123" t="s">
        <v>1</v>
      </c>
      <c r="B54" s="124" t="s">
        <v>3</v>
      </c>
      <c r="C54" s="125" t="s">
        <v>4</v>
      </c>
      <c r="D54" s="147" t="s">
        <v>96</v>
      </c>
      <c r="E54" s="246" t="s">
        <v>97</v>
      </c>
      <c r="F54" s="148" t="s">
        <v>134</v>
      </c>
      <c r="G54" s="27"/>
      <c r="H54" s="28" t="s">
        <v>4</v>
      </c>
      <c r="I54" s="147" t="s">
        <v>96</v>
      </c>
      <c r="J54" s="246" t="s">
        <v>97</v>
      </c>
      <c r="K54" s="275" t="s">
        <v>142</v>
      </c>
      <c r="L54" s="148" t="s">
        <v>134</v>
      </c>
      <c r="M54" s="89"/>
      <c r="N54" s="206" t="s">
        <v>130</v>
      </c>
      <c r="O54" s="89"/>
      <c r="P54" s="146" t="s">
        <v>4</v>
      </c>
      <c r="Q54" s="147" t="s">
        <v>96</v>
      </c>
      <c r="R54" s="148" t="s">
        <v>97</v>
      </c>
      <c r="S54" s="27"/>
      <c r="T54" s="28" t="s">
        <v>4</v>
      </c>
      <c r="U54" s="25" t="s">
        <v>96</v>
      </c>
      <c r="V54" s="26" t="s">
        <v>97</v>
      </c>
      <c r="W54" s="127"/>
      <c r="X54" s="127"/>
      <c r="Y54" s="127"/>
      <c r="Z54" s="127"/>
      <c r="AA54" s="146" t="s">
        <v>4</v>
      </c>
      <c r="AB54" s="147" t="s">
        <v>96</v>
      </c>
      <c r="AC54" s="148" t="s">
        <v>97</v>
      </c>
      <c r="AD54" s="27"/>
      <c r="AE54" s="220" t="s">
        <v>4</v>
      </c>
      <c r="AF54" s="221" t="s">
        <v>96</v>
      </c>
      <c r="AG54" s="216" t="s">
        <v>97</v>
      </c>
      <c r="AH54" s="26" t="s">
        <v>134</v>
      </c>
      <c r="AI54" s="89"/>
      <c r="AJ54" s="206" t="s">
        <v>130</v>
      </c>
      <c r="AK54" s="89"/>
      <c r="AL54" s="89"/>
      <c r="AM54" s="92"/>
      <c r="AN54" s="92"/>
      <c r="AO54" s="90"/>
      <c r="AP54" s="90"/>
      <c r="AQ54" s="93"/>
      <c r="AR54" s="90"/>
      <c r="AS54" s="90"/>
      <c r="AT54" s="93"/>
      <c r="AU54" s="81"/>
      <c r="AV54" s="86">
        <f t="shared" si="1"/>
        <v>0</v>
      </c>
    </row>
    <row r="55" spans="1:48" ht="15" customHeight="1" x14ac:dyDescent="0.3">
      <c r="A55" s="12" t="s">
        <v>5</v>
      </c>
      <c r="B55" s="207" t="s">
        <v>131</v>
      </c>
      <c r="C55" s="427" t="s">
        <v>13</v>
      </c>
      <c r="D55" s="162">
        <v>940</v>
      </c>
      <c r="E55" s="251">
        <v>1</v>
      </c>
      <c r="F55" s="252">
        <v>200</v>
      </c>
      <c r="G55" s="126"/>
      <c r="H55" s="418" t="s">
        <v>125</v>
      </c>
      <c r="I55" s="136">
        <v>850</v>
      </c>
      <c r="J55" s="251">
        <v>1</v>
      </c>
      <c r="K55" s="255">
        <v>1</v>
      </c>
      <c r="L55" s="137">
        <v>185</v>
      </c>
      <c r="M55" s="118"/>
      <c r="N55" s="184">
        <f>(I55-D55)/D55</f>
        <v>-9.5744680851063829E-2</v>
      </c>
      <c r="O55" s="103"/>
      <c r="P55" s="418"/>
      <c r="Q55" s="136"/>
      <c r="R55" s="137"/>
      <c r="S55" s="126"/>
      <c r="T55" s="418"/>
      <c r="U55" s="136"/>
      <c r="V55" s="137"/>
      <c r="W55" s="126"/>
      <c r="X55" s="126"/>
      <c r="Y55" s="126"/>
      <c r="Z55" s="126"/>
      <c r="AA55" s="427" t="s">
        <v>13</v>
      </c>
      <c r="AB55" s="136">
        <v>900</v>
      </c>
      <c r="AC55" s="137">
        <v>1</v>
      </c>
      <c r="AD55" s="126"/>
      <c r="AE55" s="432" t="s">
        <v>13</v>
      </c>
      <c r="AF55" s="226">
        <v>900</v>
      </c>
      <c r="AG55" s="226">
        <v>2</v>
      </c>
      <c r="AH55" s="34">
        <v>200</v>
      </c>
      <c r="AI55" s="118"/>
      <c r="AJ55" s="240">
        <f>(AF55-AB55)/AB55</f>
        <v>0</v>
      </c>
      <c r="AK55" s="118"/>
      <c r="AL55" s="118"/>
      <c r="AM55" s="128">
        <v>1090.3999999999999</v>
      </c>
      <c r="AN55" s="80" t="s">
        <v>66</v>
      </c>
      <c r="AO55" s="81"/>
      <c r="AP55" s="82">
        <v>1044</v>
      </c>
      <c r="AQ55" s="83">
        <v>2</v>
      </c>
      <c r="AR55" s="84"/>
      <c r="AS55" s="82">
        <v>900</v>
      </c>
      <c r="AT55" s="83">
        <v>1</v>
      </c>
      <c r="AU55" s="85"/>
      <c r="AV55" s="86">
        <f t="shared" si="1"/>
        <v>900</v>
      </c>
    </row>
    <row r="56" spans="1:48" ht="15" customHeight="1" x14ac:dyDescent="0.3">
      <c r="A56" s="13" t="s">
        <v>7</v>
      </c>
      <c r="B56" s="120" t="s">
        <v>10</v>
      </c>
      <c r="C56" s="428"/>
      <c r="D56" s="159">
        <v>1450</v>
      </c>
      <c r="E56" s="226">
        <v>1</v>
      </c>
      <c r="F56" s="253">
        <v>200</v>
      </c>
      <c r="G56" s="126"/>
      <c r="H56" s="419"/>
      <c r="I56" s="259">
        <v>1400</v>
      </c>
      <c r="J56" s="226">
        <v>2</v>
      </c>
      <c r="K56" s="256">
        <v>1</v>
      </c>
      <c r="L56" s="138">
        <v>185</v>
      </c>
      <c r="M56" s="118"/>
      <c r="N56" s="184">
        <f>(I56-D56)/D56</f>
        <v>-3.4482758620689655E-2</v>
      </c>
      <c r="O56" s="103"/>
      <c r="P56" s="419"/>
      <c r="Q56" s="259"/>
      <c r="R56" s="138"/>
      <c r="S56" s="126"/>
      <c r="T56" s="419"/>
      <c r="U56" s="259"/>
      <c r="V56" s="138"/>
      <c r="W56" s="126"/>
      <c r="X56" s="126"/>
      <c r="Y56" s="126"/>
      <c r="Z56" s="126"/>
      <c r="AA56" s="428"/>
      <c r="AB56" s="259">
        <v>1800</v>
      </c>
      <c r="AC56" s="138">
        <v>4</v>
      </c>
      <c r="AD56" s="126"/>
      <c r="AE56" s="432"/>
      <c r="AF56" s="226">
        <v>1800</v>
      </c>
      <c r="AG56" s="226">
        <v>2</v>
      </c>
      <c r="AH56" s="34">
        <v>200</v>
      </c>
      <c r="AI56" s="118"/>
      <c r="AJ56" s="198">
        <f>(AF56-AB56)/AB56</f>
        <v>0</v>
      </c>
      <c r="AK56" s="118"/>
      <c r="AL56" s="118"/>
      <c r="AM56" s="128">
        <v>1276</v>
      </c>
      <c r="AN56" s="80" t="s">
        <v>66</v>
      </c>
      <c r="AO56" s="81"/>
      <c r="AP56" s="82">
        <v>1044</v>
      </c>
      <c r="AQ56" s="83">
        <v>2</v>
      </c>
      <c r="AR56" s="84"/>
      <c r="AS56" s="82">
        <v>900</v>
      </c>
      <c r="AT56" s="83">
        <v>1</v>
      </c>
      <c r="AU56" s="85"/>
      <c r="AV56" s="86">
        <f t="shared" si="1"/>
        <v>900</v>
      </c>
    </row>
    <row r="57" spans="1:48" ht="15" customHeight="1" x14ac:dyDescent="0.3">
      <c r="A57" s="280" t="s">
        <v>7</v>
      </c>
      <c r="B57" s="281" t="s">
        <v>119</v>
      </c>
      <c r="C57" s="428"/>
      <c r="D57" s="159"/>
      <c r="E57" s="226"/>
      <c r="F57" s="253"/>
      <c r="G57" s="126"/>
      <c r="H57" s="419"/>
      <c r="I57" s="259">
        <v>450</v>
      </c>
      <c r="J57" s="226">
        <v>1</v>
      </c>
      <c r="K57" s="256">
        <v>1</v>
      </c>
      <c r="L57" s="138">
        <v>185</v>
      </c>
      <c r="M57" s="118"/>
      <c r="N57" s="190"/>
      <c r="O57" s="103"/>
      <c r="P57" s="419"/>
      <c r="Q57" s="259"/>
      <c r="R57" s="138"/>
      <c r="S57" s="126"/>
      <c r="T57" s="419"/>
      <c r="U57" s="259"/>
      <c r="V57" s="138"/>
      <c r="W57" s="126"/>
      <c r="X57" s="126"/>
      <c r="Y57" s="126"/>
      <c r="Z57" s="126"/>
      <c r="AA57" s="428"/>
      <c r="AB57" s="259" t="s">
        <v>95</v>
      </c>
      <c r="AC57" s="138" t="s">
        <v>95</v>
      </c>
      <c r="AD57" s="126"/>
      <c r="AE57" s="432"/>
      <c r="AF57" s="226">
        <v>650</v>
      </c>
      <c r="AG57" s="226">
        <v>2</v>
      </c>
      <c r="AH57" s="34">
        <v>200</v>
      </c>
      <c r="AI57" s="118"/>
      <c r="AJ57" s="195"/>
      <c r="AK57" s="118"/>
      <c r="AL57" s="118"/>
      <c r="AM57" s="128">
        <v>301.59999999999997</v>
      </c>
      <c r="AN57" s="80" t="s">
        <v>66</v>
      </c>
      <c r="AO57" s="81"/>
      <c r="AP57" s="82">
        <v>232</v>
      </c>
      <c r="AQ57" s="83">
        <v>2</v>
      </c>
      <c r="AR57" s="84"/>
      <c r="AS57" s="82">
        <v>200</v>
      </c>
      <c r="AT57" s="83">
        <v>1</v>
      </c>
      <c r="AU57" s="85"/>
      <c r="AV57" s="86">
        <f t="shared" si="1"/>
        <v>200</v>
      </c>
    </row>
    <row r="58" spans="1:48" ht="15" customHeight="1" x14ac:dyDescent="0.3">
      <c r="A58" s="13" t="s">
        <v>7</v>
      </c>
      <c r="B58" s="120" t="s">
        <v>63</v>
      </c>
      <c r="C58" s="428"/>
      <c r="D58" s="159">
        <v>1050</v>
      </c>
      <c r="E58" s="226">
        <v>2</v>
      </c>
      <c r="F58" s="253">
        <v>200</v>
      </c>
      <c r="G58" s="126"/>
      <c r="H58" s="419"/>
      <c r="I58" s="259">
        <v>1100</v>
      </c>
      <c r="J58" s="226">
        <v>1</v>
      </c>
      <c r="K58" s="256">
        <v>1</v>
      </c>
      <c r="L58" s="138">
        <v>185</v>
      </c>
      <c r="M58" s="118"/>
      <c r="N58" s="187">
        <f t="shared" ref="N58:N65" si="2">(I58-D58)/D58</f>
        <v>4.7619047619047616E-2</v>
      </c>
      <c r="O58" s="103"/>
      <c r="P58" s="419"/>
      <c r="Q58" s="259"/>
      <c r="R58" s="138"/>
      <c r="S58" s="126"/>
      <c r="T58" s="419"/>
      <c r="U58" s="259"/>
      <c r="V58" s="138"/>
      <c r="W58" s="126"/>
      <c r="X58" s="126"/>
      <c r="Y58" s="126"/>
      <c r="Z58" s="126"/>
      <c r="AA58" s="428"/>
      <c r="AB58" s="259">
        <v>1000</v>
      </c>
      <c r="AC58" s="138">
        <v>4</v>
      </c>
      <c r="AD58" s="126"/>
      <c r="AE58" s="432"/>
      <c r="AF58" s="226">
        <v>1200</v>
      </c>
      <c r="AG58" s="226">
        <v>1</v>
      </c>
      <c r="AH58" s="34">
        <v>200</v>
      </c>
      <c r="AI58" s="118"/>
      <c r="AJ58" s="196">
        <f>(AF58-AB58)/AB58</f>
        <v>0.2</v>
      </c>
      <c r="AK58" s="118"/>
      <c r="AL58" s="118"/>
      <c r="AM58" s="128">
        <v>580</v>
      </c>
      <c r="AN58" s="80" t="s">
        <v>66</v>
      </c>
      <c r="AO58" s="81"/>
      <c r="AP58" s="82">
        <v>580</v>
      </c>
      <c r="AQ58" s="83">
        <v>2</v>
      </c>
      <c r="AR58" s="84"/>
      <c r="AS58" s="82">
        <v>500</v>
      </c>
      <c r="AT58" s="83">
        <v>1</v>
      </c>
      <c r="AU58" s="85"/>
      <c r="AV58" s="86">
        <f t="shared" si="1"/>
        <v>500</v>
      </c>
    </row>
    <row r="59" spans="1:48" ht="15" customHeight="1" x14ac:dyDescent="0.3">
      <c r="A59" s="13" t="s">
        <v>7</v>
      </c>
      <c r="B59" s="120" t="s">
        <v>8</v>
      </c>
      <c r="C59" s="428"/>
      <c r="D59" s="159">
        <v>1100</v>
      </c>
      <c r="E59" s="226">
        <v>1</v>
      </c>
      <c r="F59" s="253">
        <v>200</v>
      </c>
      <c r="G59" s="126"/>
      <c r="H59" s="419"/>
      <c r="I59" s="259">
        <v>900</v>
      </c>
      <c r="J59" s="226">
        <v>1</v>
      </c>
      <c r="K59" s="256">
        <v>1</v>
      </c>
      <c r="L59" s="138">
        <v>185</v>
      </c>
      <c r="M59" s="118"/>
      <c r="N59" s="184">
        <f t="shared" si="2"/>
        <v>-0.18181818181818182</v>
      </c>
      <c r="O59" s="103"/>
      <c r="P59" s="419"/>
      <c r="Q59" s="259"/>
      <c r="R59" s="138"/>
      <c r="S59" s="126"/>
      <c r="T59" s="419"/>
      <c r="U59" s="259"/>
      <c r="V59" s="138"/>
      <c r="W59" s="126"/>
      <c r="X59" s="126"/>
      <c r="Y59" s="126"/>
      <c r="Z59" s="126"/>
      <c r="AA59" s="428"/>
      <c r="AB59" s="259">
        <v>900</v>
      </c>
      <c r="AC59" s="138">
        <v>1</v>
      </c>
      <c r="AD59" s="126"/>
      <c r="AE59" s="432"/>
      <c r="AF59" s="226">
        <v>900</v>
      </c>
      <c r="AG59" s="226">
        <v>2</v>
      </c>
      <c r="AH59" s="34">
        <v>200</v>
      </c>
      <c r="AI59" s="118"/>
      <c r="AJ59" s="198">
        <f>(AF59-AB59)/AB59</f>
        <v>0</v>
      </c>
      <c r="AK59" s="118"/>
      <c r="AL59" s="118"/>
      <c r="AM59" s="128">
        <v>1681.9999999999998</v>
      </c>
      <c r="AN59" s="87" t="s">
        <v>66</v>
      </c>
      <c r="AO59" s="81"/>
      <c r="AP59" s="82">
        <v>1951.12</v>
      </c>
      <c r="AQ59" s="83">
        <v>2</v>
      </c>
      <c r="AR59" s="84"/>
      <c r="AS59" s="82">
        <v>1800</v>
      </c>
      <c r="AT59" s="83">
        <v>4</v>
      </c>
      <c r="AU59" s="85"/>
      <c r="AV59" s="86">
        <f t="shared" si="1"/>
        <v>1681.9999999999998</v>
      </c>
    </row>
    <row r="60" spans="1:48" ht="15" customHeight="1" x14ac:dyDescent="0.3">
      <c r="A60" s="13" t="s">
        <v>7</v>
      </c>
      <c r="B60" s="120" t="s">
        <v>11</v>
      </c>
      <c r="C60" s="428"/>
      <c r="D60" s="159">
        <v>260</v>
      </c>
      <c r="E60" s="226">
        <v>1</v>
      </c>
      <c r="F60" s="253">
        <v>200</v>
      </c>
      <c r="G60" s="126"/>
      <c r="H60" s="419"/>
      <c r="I60" s="259">
        <v>260</v>
      </c>
      <c r="J60" s="226">
        <v>1</v>
      </c>
      <c r="K60" s="256">
        <v>1</v>
      </c>
      <c r="L60" s="138">
        <v>185</v>
      </c>
      <c r="M60" s="118"/>
      <c r="N60" s="191">
        <f t="shared" si="2"/>
        <v>0</v>
      </c>
      <c r="O60" s="103"/>
      <c r="P60" s="419"/>
      <c r="Q60" s="259"/>
      <c r="R60" s="138"/>
      <c r="S60" s="126"/>
      <c r="T60" s="419"/>
      <c r="U60" s="259"/>
      <c r="V60" s="138"/>
      <c r="W60" s="126"/>
      <c r="X60" s="126"/>
      <c r="Y60" s="126"/>
      <c r="Z60" s="126"/>
      <c r="AA60" s="428"/>
      <c r="AB60" s="259">
        <v>220</v>
      </c>
      <c r="AC60" s="138">
        <v>1</v>
      </c>
      <c r="AD60" s="126"/>
      <c r="AE60" s="432"/>
      <c r="AF60" s="226">
        <v>200</v>
      </c>
      <c r="AG60" s="226">
        <v>1</v>
      </c>
      <c r="AH60" s="34">
        <v>200</v>
      </c>
      <c r="AI60" s="118"/>
      <c r="AJ60" s="199">
        <f>(AF60-AB60)/AB60</f>
        <v>-9.0909090909090912E-2</v>
      </c>
      <c r="AK60" s="118"/>
      <c r="AL60" s="118"/>
      <c r="AM60" s="128">
        <v>1218</v>
      </c>
      <c r="AN60" s="80" t="s">
        <v>67</v>
      </c>
      <c r="AO60" s="81"/>
      <c r="AP60" s="82">
        <v>1566</v>
      </c>
      <c r="AQ60" s="83">
        <v>7</v>
      </c>
      <c r="AR60" s="84"/>
      <c r="AS60" s="82">
        <v>1000</v>
      </c>
      <c r="AT60" s="83">
        <v>4</v>
      </c>
      <c r="AU60" s="85"/>
      <c r="AV60" s="86">
        <f t="shared" si="1"/>
        <v>1000</v>
      </c>
    </row>
    <row r="61" spans="1:48" ht="15" customHeight="1" x14ac:dyDescent="0.3">
      <c r="A61" s="13" t="s">
        <v>7</v>
      </c>
      <c r="B61" s="120" t="s">
        <v>118</v>
      </c>
      <c r="C61" s="428"/>
      <c r="D61" s="159">
        <v>740</v>
      </c>
      <c r="E61" s="226">
        <v>1</v>
      </c>
      <c r="F61" s="253">
        <v>200</v>
      </c>
      <c r="G61" s="126"/>
      <c r="H61" s="419"/>
      <c r="I61" s="259">
        <v>640</v>
      </c>
      <c r="J61" s="226">
        <v>1</v>
      </c>
      <c r="K61" s="256">
        <v>1</v>
      </c>
      <c r="L61" s="138">
        <v>185</v>
      </c>
      <c r="M61" s="118"/>
      <c r="N61" s="184">
        <f t="shared" si="2"/>
        <v>-0.13513513513513514</v>
      </c>
      <c r="O61" s="103"/>
      <c r="P61" s="419"/>
      <c r="Q61" s="259"/>
      <c r="R61" s="138"/>
      <c r="S61" s="126"/>
      <c r="T61" s="419"/>
      <c r="U61" s="259"/>
      <c r="V61" s="138"/>
      <c r="W61" s="126"/>
      <c r="X61" s="126"/>
      <c r="Y61" s="126"/>
      <c r="Z61" s="126"/>
      <c r="AA61" s="428"/>
      <c r="AB61" s="259" t="s">
        <v>95</v>
      </c>
      <c r="AC61" s="138" t="s">
        <v>95</v>
      </c>
      <c r="AD61" s="126"/>
      <c r="AE61" s="432"/>
      <c r="AF61" s="226" t="s">
        <v>95</v>
      </c>
      <c r="AG61" s="226" t="s">
        <v>95</v>
      </c>
      <c r="AH61" s="34">
        <v>200</v>
      </c>
      <c r="AI61" s="118"/>
      <c r="AJ61" s="195"/>
      <c r="AK61" s="118"/>
      <c r="AL61" s="118"/>
      <c r="AM61" s="128">
        <v>3132</v>
      </c>
      <c r="AN61" s="87" t="s">
        <v>66</v>
      </c>
      <c r="AO61" s="81"/>
      <c r="AP61" s="82">
        <v>3248</v>
      </c>
      <c r="AQ61" s="83">
        <v>7</v>
      </c>
      <c r="AR61" s="84"/>
      <c r="AS61" s="82">
        <v>2800</v>
      </c>
      <c r="AT61" s="83">
        <v>4</v>
      </c>
      <c r="AU61" s="85"/>
      <c r="AV61" s="86">
        <f t="shared" si="1"/>
        <v>2800</v>
      </c>
    </row>
    <row r="62" spans="1:48" ht="15" customHeight="1" x14ac:dyDescent="0.3">
      <c r="A62" s="13" t="s">
        <v>7</v>
      </c>
      <c r="B62" s="120" t="s">
        <v>64</v>
      </c>
      <c r="C62" s="428"/>
      <c r="D62" s="159">
        <v>2700</v>
      </c>
      <c r="E62" s="226">
        <v>1</v>
      </c>
      <c r="F62" s="253">
        <v>200</v>
      </c>
      <c r="G62" s="126"/>
      <c r="H62" s="419"/>
      <c r="I62" s="259">
        <v>1550</v>
      </c>
      <c r="J62" s="226">
        <v>4</v>
      </c>
      <c r="K62" s="256">
        <v>1</v>
      </c>
      <c r="L62" s="138">
        <v>185</v>
      </c>
      <c r="M62" s="118"/>
      <c r="N62" s="184">
        <f t="shared" si="2"/>
        <v>-0.42592592592592593</v>
      </c>
      <c r="O62" s="103"/>
      <c r="P62" s="419"/>
      <c r="Q62" s="259"/>
      <c r="R62" s="138"/>
      <c r="S62" s="126"/>
      <c r="T62" s="419"/>
      <c r="U62" s="259"/>
      <c r="V62" s="138"/>
      <c r="W62" s="126"/>
      <c r="X62" s="126"/>
      <c r="Y62" s="126"/>
      <c r="Z62" s="126"/>
      <c r="AA62" s="428"/>
      <c r="AB62" s="259">
        <v>2800</v>
      </c>
      <c r="AC62" s="138">
        <v>4</v>
      </c>
      <c r="AD62" s="126"/>
      <c r="AE62" s="432"/>
      <c r="AF62" s="226">
        <v>2500</v>
      </c>
      <c r="AG62" s="226">
        <v>2</v>
      </c>
      <c r="AH62" s="34">
        <v>200</v>
      </c>
      <c r="AI62" s="118"/>
      <c r="AJ62" s="199">
        <f>(AF62-AB62)/AB62</f>
        <v>-0.10714285714285714</v>
      </c>
      <c r="AK62" s="118"/>
      <c r="AL62" s="118"/>
      <c r="AM62" s="128">
        <v>580</v>
      </c>
      <c r="AN62" s="80" t="s">
        <v>68</v>
      </c>
      <c r="AO62" s="81"/>
      <c r="AP62" s="82">
        <v>638</v>
      </c>
      <c r="AQ62" s="83">
        <v>2</v>
      </c>
      <c r="AR62" s="84"/>
      <c r="AS62" s="82">
        <v>600</v>
      </c>
      <c r="AT62" s="83">
        <v>1</v>
      </c>
      <c r="AU62" s="85"/>
      <c r="AV62" s="86">
        <f t="shared" si="1"/>
        <v>580</v>
      </c>
    </row>
    <row r="63" spans="1:48" ht="15" customHeight="1" x14ac:dyDescent="0.3">
      <c r="A63" s="13" t="s">
        <v>7</v>
      </c>
      <c r="B63" s="120" t="s">
        <v>9</v>
      </c>
      <c r="C63" s="428"/>
      <c r="D63" s="159">
        <v>260</v>
      </c>
      <c r="E63" s="226">
        <v>1</v>
      </c>
      <c r="F63" s="253">
        <v>200</v>
      </c>
      <c r="G63" s="126"/>
      <c r="H63" s="419"/>
      <c r="I63" s="259">
        <v>260</v>
      </c>
      <c r="J63" s="226">
        <v>1</v>
      </c>
      <c r="K63" s="256">
        <v>1</v>
      </c>
      <c r="L63" s="138">
        <v>185</v>
      </c>
      <c r="M63" s="118"/>
      <c r="N63" s="191">
        <f t="shared" si="2"/>
        <v>0</v>
      </c>
      <c r="O63" s="103"/>
      <c r="P63" s="419"/>
      <c r="Q63" s="259"/>
      <c r="R63" s="138"/>
      <c r="S63" s="126"/>
      <c r="T63" s="419"/>
      <c r="U63" s="259"/>
      <c r="V63" s="138"/>
      <c r="W63" s="126"/>
      <c r="X63" s="126"/>
      <c r="Y63" s="126"/>
      <c r="Z63" s="126"/>
      <c r="AA63" s="428"/>
      <c r="AB63" s="259">
        <v>200</v>
      </c>
      <c r="AC63" s="138">
        <v>1</v>
      </c>
      <c r="AD63" s="126"/>
      <c r="AE63" s="432"/>
      <c r="AF63" s="226">
        <v>200</v>
      </c>
      <c r="AG63" s="226">
        <v>1</v>
      </c>
      <c r="AH63" s="34">
        <v>200</v>
      </c>
      <c r="AI63" s="118"/>
      <c r="AJ63" s="198">
        <f>(AF63-AB63)/AB63</f>
        <v>0</v>
      </c>
      <c r="AK63" s="118"/>
      <c r="AL63" s="118"/>
      <c r="AM63" s="128">
        <v>858.4</v>
      </c>
      <c r="AN63" s="80" t="s">
        <v>66</v>
      </c>
      <c r="AO63" s="81"/>
      <c r="AP63" s="82">
        <v>638</v>
      </c>
      <c r="AQ63" s="83">
        <v>2</v>
      </c>
      <c r="AR63" s="84"/>
      <c r="AS63" s="82"/>
      <c r="AT63" s="83">
        <v>1</v>
      </c>
      <c r="AU63" s="85"/>
      <c r="AV63" s="86">
        <f t="shared" si="1"/>
        <v>638</v>
      </c>
    </row>
    <row r="64" spans="1:48" ht="15" customHeight="1" x14ac:dyDescent="0.3">
      <c r="A64" s="13" t="s">
        <v>7</v>
      </c>
      <c r="B64" s="120" t="s">
        <v>62</v>
      </c>
      <c r="C64" s="428"/>
      <c r="D64" s="159">
        <v>500</v>
      </c>
      <c r="E64" s="226">
        <v>1</v>
      </c>
      <c r="F64" s="253">
        <v>200</v>
      </c>
      <c r="G64" s="126"/>
      <c r="H64" s="419"/>
      <c r="I64" s="259">
        <v>400</v>
      </c>
      <c r="J64" s="226">
        <v>1</v>
      </c>
      <c r="K64" s="256">
        <v>1</v>
      </c>
      <c r="L64" s="138">
        <v>185</v>
      </c>
      <c r="M64" s="118"/>
      <c r="N64" s="184">
        <f t="shared" si="2"/>
        <v>-0.2</v>
      </c>
      <c r="O64" s="103"/>
      <c r="P64" s="419"/>
      <c r="Q64" s="259"/>
      <c r="R64" s="138"/>
      <c r="S64" s="126"/>
      <c r="T64" s="419"/>
      <c r="U64" s="259"/>
      <c r="V64" s="138"/>
      <c r="W64" s="126"/>
      <c r="X64" s="126"/>
      <c r="Y64" s="126"/>
      <c r="Z64" s="126"/>
      <c r="AA64" s="428"/>
      <c r="AB64" s="259">
        <v>500</v>
      </c>
      <c r="AC64" s="138">
        <v>1</v>
      </c>
      <c r="AD64" s="126"/>
      <c r="AE64" s="432"/>
      <c r="AF64" s="226">
        <v>600</v>
      </c>
      <c r="AG64" s="226">
        <v>2</v>
      </c>
      <c r="AH64" s="34">
        <v>200</v>
      </c>
      <c r="AI64" s="118"/>
      <c r="AJ64" s="196">
        <f>(AF64-AB64)/AB64</f>
        <v>0.2</v>
      </c>
      <c r="AK64" s="118"/>
      <c r="AL64" s="118"/>
      <c r="AM64" s="128">
        <v>301.59999999999997</v>
      </c>
      <c r="AN64" s="80" t="s">
        <v>66</v>
      </c>
      <c r="AO64" s="81"/>
      <c r="AP64" s="82">
        <v>255.2</v>
      </c>
      <c r="AQ64" s="83">
        <v>2</v>
      </c>
      <c r="AR64" s="84"/>
      <c r="AS64" s="82">
        <v>220</v>
      </c>
      <c r="AT64" s="83">
        <v>1</v>
      </c>
      <c r="AU64" s="85"/>
      <c r="AV64" s="86">
        <f t="shared" si="1"/>
        <v>220</v>
      </c>
    </row>
    <row r="65" spans="1:48" ht="15" customHeight="1" thickBot="1" x14ac:dyDescent="0.35">
      <c r="A65" s="14" t="s">
        <v>7</v>
      </c>
      <c r="B65" s="121" t="s">
        <v>65</v>
      </c>
      <c r="C65" s="429"/>
      <c r="D65" s="161">
        <v>500</v>
      </c>
      <c r="E65" s="227">
        <v>3</v>
      </c>
      <c r="F65" s="254">
        <v>200</v>
      </c>
      <c r="G65" s="126"/>
      <c r="H65" s="420"/>
      <c r="I65" s="260">
        <v>400</v>
      </c>
      <c r="J65" s="227">
        <v>1</v>
      </c>
      <c r="K65" s="257">
        <v>1</v>
      </c>
      <c r="L65" s="139">
        <v>185</v>
      </c>
      <c r="M65" s="118"/>
      <c r="N65" s="185">
        <f t="shared" si="2"/>
        <v>-0.2</v>
      </c>
      <c r="O65" s="103"/>
      <c r="P65" s="420"/>
      <c r="Q65" s="260"/>
      <c r="R65" s="139"/>
      <c r="S65" s="126"/>
      <c r="T65" s="420"/>
      <c r="U65" s="260"/>
      <c r="V65" s="139"/>
      <c r="W65" s="126"/>
      <c r="X65" s="126"/>
      <c r="Y65" s="126"/>
      <c r="Z65" s="126"/>
      <c r="AA65" s="429"/>
      <c r="AB65" s="260">
        <v>600</v>
      </c>
      <c r="AC65" s="139">
        <v>1</v>
      </c>
      <c r="AD65" s="126"/>
      <c r="AE65" s="433"/>
      <c r="AF65" s="227">
        <v>600</v>
      </c>
      <c r="AG65" s="227">
        <v>2</v>
      </c>
      <c r="AH65" s="139">
        <v>200</v>
      </c>
      <c r="AI65" s="118"/>
      <c r="AJ65" s="241">
        <f>(AF65-AB65)/AB65</f>
        <v>0</v>
      </c>
      <c r="AK65" s="118"/>
      <c r="AL65" s="118"/>
      <c r="AM65" s="115"/>
      <c r="AN65" s="116"/>
      <c r="AO65" s="81"/>
      <c r="AP65" s="94"/>
      <c r="AQ65" s="93"/>
      <c r="AR65" s="84"/>
      <c r="AS65" s="94"/>
      <c r="AT65" s="93"/>
      <c r="AU65" s="85"/>
      <c r="AV65" s="86"/>
    </row>
    <row r="66" spans="1:48" ht="15" customHeight="1" thickBot="1" x14ac:dyDescent="0.35">
      <c r="A66" s="113"/>
      <c r="B66" s="113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5"/>
      <c r="AN66" s="116"/>
      <c r="AO66" s="81"/>
      <c r="AP66" s="94"/>
      <c r="AQ66" s="93"/>
      <c r="AR66" s="84"/>
      <c r="AS66" s="94"/>
      <c r="AT66" s="93"/>
      <c r="AU66" s="85"/>
      <c r="AV66" s="86"/>
    </row>
    <row r="67" spans="1:48" s="69" customFormat="1" ht="39.5" thickBot="1" x14ac:dyDescent="0.35">
      <c r="A67" s="123" t="s">
        <v>1</v>
      </c>
      <c r="B67" s="124" t="s">
        <v>3</v>
      </c>
      <c r="C67" s="125" t="s">
        <v>4</v>
      </c>
      <c r="D67" s="147" t="s">
        <v>96</v>
      </c>
      <c r="E67" s="246" t="s">
        <v>97</v>
      </c>
      <c r="F67" s="148" t="s">
        <v>134</v>
      </c>
      <c r="G67" s="27"/>
      <c r="H67" s="28" t="s">
        <v>4</v>
      </c>
      <c r="I67" s="147" t="s">
        <v>96</v>
      </c>
      <c r="J67" s="246" t="s">
        <v>97</v>
      </c>
      <c r="K67" s="275" t="s">
        <v>142</v>
      </c>
      <c r="L67" s="148" t="s">
        <v>134</v>
      </c>
      <c r="M67" s="95"/>
      <c r="N67" s="206" t="s">
        <v>130</v>
      </c>
      <c r="O67" s="95"/>
      <c r="P67" s="146" t="s">
        <v>4</v>
      </c>
      <c r="Q67" s="147" t="s">
        <v>96</v>
      </c>
      <c r="R67" s="148" t="s">
        <v>97</v>
      </c>
      <c r="S67" s="27"/>
      <c r="T67" s="28" t="s">
        <v>4</v>
      </c>
      <c r="U67" s="25" t="s">
        <v>96</v>
      </c>
      <c r="V67" s="26" t="s">
        <v>97</v>
      </c>
      <c r="W67" s="127"/>
      <c r="X67" s="127"/>
      <c r="Y67" s="127"/>
      <c r="Z67" s="127"/>
      <c r="AA67" s="146" t="s">
        <v>4</v>
      </c>
      <c r="AB67" s="147" t="s">
        <v>96</v>
      </c>
      <c r="AC67" s="148" t="s">
        <v>97</v>
      </c>
      <c r="AD67" s="27"/>
      <c r="AE67" s="220" t="s">
        <v>4</v>
      </c>
      <c r="AF67" s="221" t="s">
        <v>96</v>
      </c>
      <c r="AG67" s="216" t="s">
        <v>97</v>
      </c>
      <c r="AH67" s="26" t="s">
        <v>134</v>
      </c>
      <c r="AI67" s="95"/>
      <c r="AJ67" s="206" t="s">
        <v>130</v>
      </c>
      <c r="AK67" s="95"/>
      <c r="AL67" s="95"/>
      <c r="AM67" s="92"/>
      <c r="AN67" s="92"/>
      <c r="AO67" s="90"/>
      <c r="AP67" s="90"/>
      <c r="AQ67" s="96"/>
      <c r="AR67" s="90"/>
      <c r="AS67" s="90"/>
      <c r="AT67" s="96"/>
      <c r="AU67" s="85"/>
      <c r="AV67" s="86">
        <f t="shared" ref="AV67:AV129" si="3">MIN(AM67,AP67,AS67)</f>
        <v>0</v>
      </c>
    </row>
    <row r="68" spans="1:48" ht="15" customHeight="1" x14ac:dyDescent="0.3">
      <c r="A68" s="12" t="s">
        <v>5</v>
      </c>
      <c r="B68" s="207" t="s">
        <v>131</v>
      </c>
      <c r="C68" s="377" t="s">
        <v>16</v>
      </c>
      <c r="D68" s="136">
        <v>480</v>
      </c>
      <c r="E68" s="251">
        <v>1</v>
      </c>
      <c r="F68" s="252">
        <v>200</v>
      </c>
      <c r="G68" s="126"/>
      <c r="H68" s="418" t="s">
        <v>16</v>
      </c>
      <c r="I68" s="136">
        <v>480</v>
      </c>
      <c r="J68" s="251">
        <v>1</v>
      </c>
      <c r="K68" s="255">
        <v>1</v>
      </c>
      <c r="L68" s="137">
        <v>150</v>
      </c>
      <c r="M68" s="132"/>
      <c r="N68" s="192">
        <f>(I68-D68)/D68</f>
        <v>0</v>
      </c>
      <c r="O68" s="144"/>
      <c r="P68" s="418"/>
      <c r="Q68" s="136"/>
      <c r="R68" s="137"/>
      <c r="S68" s="126"/>
      <c r="T68" s="418"/>
      <c r="U68" s="136"/>
      <c r="V68" s="137"/>
      <c r="W68" s="126"/>
      <c r="X68" s="126"/>
      <c r="Y68" s="126"/>
      <c r="Z68" s="126"/>
      <c r="AA68" s="434" t="s">
        <v>16</v>
      </c>
      <c r="AB68" s="136">
        <v>400</v>
      </c>
      <c r="AC68" s="137">
        <v>1</v>
      </c>
      <c r="AD68" s="126"/>
      <c r="AE68" s="430"/>
      <c r="AF68" s="226">
        <v>500</v>
      </c>
      <c r="AG68" s="226">
        <v>2</v>
      </c>
      <c r="AH68" s="34">
        <v>150</v>
      </c>
      <c r="AI68" s="132"/>
      <c r="AJ68" s="197">
        <f>(AF68-AB68)/AB68</f>
        <v>0.25</v>
      </c>
      <c r="AK68" s="132"/>
      <c r="AL68" s="132"/>
      <c r="AM68" s="128">
        <v>556.79999999999995</v>
      </c>
      <c r="AN68" s="80" t="s">
        <v>66</v>
      </c>
      <c r="AO68" s="94"/>
      <c r="AP68" s="82">
        <v>464</v>
      </c>
      <c r="AQ68" s="83">
        <v>2</v>
      </c>
      <c r="AR68" s="84"/>
      <c r="AS68" s="82">
        <v>400</v>
      </c>
      <c r="AT68" s="83">
        <v>1</v>
      </c>
      <c r="AU68" s="85"/>
      <c r="AV68" s="86">
        <f t="shared" si="3"/>
        <v>400</v>
      </c>
    </row>
    <row r="69" spans="1:48" ht="15" customHeight="1" x14ac:dyDescent="0.3">
      <c r="A69" s="13" t="s">
        <v>7</v>
      </c>
      <c r="B69" s="120" t="s">
        <v>10</v>
      </c>
      <c r="C69" s="378"/>
      <c r="D69" s="149">
        <v>928</v>
      </c>
      <c r="E69" s="226">
        <v>1</v>
      </c>
      <c r="F69" s="253">
        <v>200</v>
      </c>
      <c r="G69" s="126"/>
      <c r="H69" s="419"/>
      <c r="I69" s="259">
        <v>800</v>
      </c>
      <c r="J69" s="226">
        <v>2</v>
      </c>
      <c r="K69" s="256">
        <v>1</v>
      </c>
      <c r="L69" s="138">
        <v>150</v>
      </c>
      <c r="M69" s="118"/>
      <c r="N69" s="184">
        <f>(I69-850)/850</f>
        <v>-5.8823529411764705E-2</v>
      </c>
      <c r="O69" s="103"/>
      <c r="P69" s="419"/>
      <c r="Q69" s="259"/>
      <c r="R69" s="138"/>
      <c r="S69" s="126"/>
      <c r="T69" s="419"/>
      <c r="U69" s="259"/>
      <c r="V69" s="138"/>
      <c r="W69" s="126"/>
      <c r="X69" s="126"/>
      <c r="Y69" s="126"/>
      <c r="Z69" s="126"/>
      <c r="AA69" s="435"/>
      <c r="AB69" s="259">
        <v>1050</v>
      </c>
      <c r="AC69" s="138">
        <v>4</v>
      </c>
      <c r="AD69" s="126"/>
      <c r="AE69" s="430"/>
      <c r="AF69" s="226">
        <v>800</v>
      </c>
      <c r="AG69" s="226">
        <v>2</v>
      </c>
      <c r="AH69" s="34">
        <v>150</v>
      </c>
      <c r="AI69" s="118"/>
      <c r="AJ69" s="199">
        <f>(AF69-AB69)/AB69</f>
        <v>-0.23809523809523808</v>
      </c>
      <c r="AK69" s="118"/>
      <c r="AL69" s="118"/>
      <c r="AM69" s="128">
        <v>556.79999999999995</v>
      </c>
      <c r="AN69" s="80" t="s">
        <v>66</v>
      </c>
      <c r="AO69" s="94"/>
      <c r="AP69" s="82">
        <v>580</v>
      </c>
      <c r="AQ69" s="83">
        <v>2</v>
      </c>
      <c r="AR69" s="84"/>
      <c r="AS69" s="82">
        <v>500</v>
      </c>
      <c r="AT69" s="83">
        <v>1</v>
      </c>
      <c r="AU69" s="85"/>
      <c r="AV69" s="86">
        <f t="shared" si="3"/>
        <v>500</v>
      </c>
    </row>
    <row r="70" spans="1:48" ht="15" customHeight="1" x14ac:dyDescent="0.3">
      <c r="A70" s="280" t="s">
        <v>7</v>
      </c>
      <c r="B70" s="281" t="s">
        <v>119</v>
      </c>
      <c r="C70" s="378"/>
      <c r="D70" s="259"/>
      <c r="E70" s="226"/>
      <c r="F70" s="253"/>
      <c r="G70" s="126"/>
      <c r="H70" s="419"/>
      <c r="I70" s="259">
        <v>350</v>
      </c>
      <c r="J70" s="226">
        <v>1</v>
      </c>
      <c r="K70" s="256">
        <v>1</v>
      </c>
      <c r="L70" s="138">
        <v>150</v>
      </c>
      <c r="M70" s="118"/>
      <c r="N70" s="190"/>
      <c r="O70" s="103"/>
      <c r="P70" s="419"/>
      <c r="Q70" s="259"/>
      <c r="R70" s="138"/>
      <c r="S70" s="126"/>
      <c r="T70" s="419"/>
      <c r="U70" s="259"/>
      <c r="V70" s="138"/>
      <c r="W70" s="126"/>
      <c r="X70" s="126"/>
      <c r="Y70" s="126"/>
      <c r="Z70" s="126"/>
      <c r="AA70" s="435"/>
      <c r="AB70" s="259" t="s">
        <v>95</v>
      </c>
      <c r="AC70" s="138" t="s">
        <v>95</v>
      </c>
      <c r="AD70" s="126"/>
      <c r="AE70" s="430"/>
      <c r="AF70" s="226">
        <v>500</v>
      </c>
      <c r="AG70" s="226">
        <v>1</v>
      </c>
      <c r="AH70" s="34">
        <v>150</v>
      </c>
      <c r="AI70" s="118"/>
      <c r="AJ70" s="195"/>
      <c r="AK70" s="118"/>
      <c r="AL70" s="118"/>
      <c r="AM70" s="128">
        <v>87</v>
      </c>
      <c r="AN70" s="80" t="s">
        <v>66</v>
      </c>
      <c r="AO70" s="94"/>
      <c r="AP70" s="82">
        <v>116</v>
      </c>
      <c r="AQ70" s="83">
        <v>2</v>
      </c>
      <c r="AR70" s="84"/>
      <c r="AS70" s="82">
        <v>70</v>
      </c>
      <c r="AT70" s="83">
        <v>1</v>
      </c>
      <c r="AU70" s="85"/>
      <c r="AV70" s="86">
        <f t="shared" si="3"/>
        <v>70</v>
      </c>
    </row>
    <row r="71" spans="1:48" ht="15" customHeight="1" x14ac:dyDescent="0.3">
      <c r="A71" s="13" t="s">
        <v>7</v>
      </c>
      <c r="B71" s="120" t="s">
        <v>63</v>
      </c>
      <c r="C71" s="378"/>
      <c r="D71" s="259">
        <v>580</v>
      </c>
      <c r="E71" s="226">
        <v>2</v>
      </c>
      <c r="F71" s="253">
        <v>200</v>
      </c>
      <c r="G71" s="126"/>
      <c r="H71" s="419"/>
      <c r="I71" s="259">
        <v>500</v>
      </c>
      <c r="J71" s="226">
        <v>1</v>
      </c>
      <c r="K71" s="256">
        <v>1</v>
      </c>
      <c r="L71" s="138">
        <v>150</v>
      </c>
      <c r="M71" s="118"/>
      <c r="N71" s="184">
        <f t="shared" ref="N71:N78" si="4">(I71-D71)/D71</f>
        <v>-0.13793103448275862</v>
      </c>
      <c r="O71" s="103"/>
      <c r="P71" s="419"/>
      <c r="Q71" s="259"/>
      <c r="R71" s="138"/>
      <c r="S71" s="126"/>
      <c r="T71" s="419"/>
      <c r="U71" s="259"/>
      <c r="V71" s="138"/>
      <c r="W71" s="126"/>
      <c r="X71" s="126"/>
      <c r="Y71" s="126"/>
      <c r="Z71" s="126"/>
      <c r="AA71" s="435"/>
      <c r="AB71" s="259">
        <v>1000</v>
      </c>
      <c r="AC71" s="138">
        <v>4</v>
      </c>
      <c r="AD71" s="126"/>
      <c r="AE71" s="430"/>
      <c r="AF71" s="226">
        <v>900</v>
      </c>
      <c r="AG71" s="226">
        <v>2</v>
      </c>
      <c r="AH71" s="34">
        <v>150</v>
      </c>
      <c r="AI71" s="118"/>
      <c r="AJ71" s="199">
        <f>(AF71-AB71)/AB71</f>
        <v>-0.1</v>
      </c>
      <c r="AK71" s="118"/>
      <c r="AL71" s="118"/>
      <c r="AM71" s="128">
        <v>348</v>
      </c>
      <c r="AN71" s="80" t="s">
        <v>66</v>
      </c>
      <c r="AO71" s="94"/>
      <c r="AP71" s="82">
        <v>348</v>
      </c>
      <c r="AQ71" s="83">
        <v>2</v>
      </c>
      <c r="AR71" s="84"/>
      <c r="AS71" s="82">
        <v>270</v>
      </c>
      <c r="AT71" s="83">
        <v>1</v>
      </c>
      <c r="AU71" s="85"/>
      <c r="AV71" s="86">
        <f t="shared" si="3"/>
        <v>270</v>
      </c>
    </row>
    <row r="72" spans="1:48" ht="15" customHeight="1" x14ac:dyDescent="0.3">
      <c r="A72" s="13" t="s">
        <v>7</v>
      </c>
      <c r="B72" s="120" t="s">
        <v>8</v>
      </c>
      <c r="C72" s="378"/>
      <c r="D72" s="259">
        <v>480</v>
      </c>
      <c r="E72" s="226">
        <v>1</v>
      </c>
      <c r="F72" s="253">
        <v>200</v>
      </c>
      <c r="G72" s="126"/>
      <c r="H72" s="419"/>
      <c r="I72" s="259">
        <v>480</v>
      </c>
      <c r="J72" s="226">
        <v>1</v>
      </c>
      <c r="K72" s="256">
        <v>1</v>
      </c>
      <c r="L72" s="138">
        <v>150</v>
      </c>
      <c r="M72" s="118"/>
      <c r="N72" s="191">
        <f t="shared" si="4"/>
        <v>0</v>
      </c>
      <c r="O72" s="103"/>
      <c r="P72" s="419"/>
      <c r="Q72" s="259"/>
      <c r="R72" s="138"/>
      <c r="S72" s="126"/>
      <c r="T72" s="419"/>
      <c r="U72" s="259"/>
      <c r="V72" s="138"/>
      <c r="W72" s="126"/>
      <c r="X72" s="126"/>
      <c r="Y72" s="126"/>
      <c r="Z72" s="126"/>
      <c r="AA72" s="435"/>
      <c r="AB72" s="259">
        <v>500</v>
      </c>
      <c r="AC72" s="138">
        <v>1</v>
      </c>
      <c r="AD72" s="126"/>
      <c r="AE72" s="430"/>
      <c r="AF72" s="226">
        <v>600</v>
      </c>
      <c r="AG72" s="226">
        <v>2</v>
      </c>
      <c r="AH72" s="34">
        <v>150</v>
      </c>
      <c r="AI72" s="118"/>
      <c r="AJ72" s="196">
        <f>(AF72-AB72)/AB72</f>
        <v>0.2</v>
      </c>
      <c r="AK72" s="118"/>
      <c r="AL72" s="118"/>
      <c r="AM72" s="128">
        <v>928</v>
      </c>
      <c r="AN72" s="87" t="s">
        <v>66</v>
      </c>
      <c r="AO72" s="94"/>
      <c r="AP72" s="82"/>
      <c r="AQ72" s="83">
        <v>2</v>
      </c>
      <c r="AR72" s="84"/>
      <c r="AS72" s="82">
        <v>1050</v>
      </c>
      <c r="AT72" s="83">
        <v>4</v>
      </c>
      <c r="AU72" s="85"/>
      <c r="AV72" s="86">
        <f t="shared" si="3"/>
        <v>928</v>
      </c>
    </row>
    <row r="73" spans="1:48" ht="15" customHeight="1" x14ac:dyDescent="0.3">
      <c r="A73" s="13" t="s">
        <v>7</v>
      </c>
      <c r="B73" s="120" t="s">
        <v>11</v>
      </c>
      <c r="C73" s="378"/>
      <c r="D73" s="259">
        <v>75</v>
      </c>
      <c r="E73" s="226">
        <v>1</v>
      </c>
      <c r="F73" s="253">
        <v>200</v>
      </c>
      <c r="G73" s="126"/>
      <c r="H73" s="419"/>
      <c r="I73" s="259">
        <v>85</v>
      </c>
      <c r="J73" s="226">
        <v>1</v>
      </c>
      <c r="K73" s="256">
        <v>1</v>
      </c>
      <c r="L73" s="138">
        <v>150</v>
      </c>
      <c r="M73" s="118"/>
      <c r="N73" s="187">
        <f t="shared" si="4"/>
        <v>0.13333333333333333</v>
      </c>
      <c r="O73" s="103"/>
      <c r="P73" s="419"/>
      <c r="Q73" s="259"/>
      <c r="R73" s="138"/>
      <c r="S73" s="126"/>
      <c r="T73" s="419"/>
      <c r="U73" s="259"/>
      <c r="V73" s="138"/>
      <c r="W73" s="126"/>
      <c r="X73" s="126"/>
      <c r="Y73" s="126"/>
      <c r="Z73" s="126"/>
      <c r="AA73" s="435"/>
      <c r="AB73" s="259">
        <v>75</v>
      </c>
      <c r="AC73" s="138">
        <v>1</v>
      </c>
      <c r="AD73" s="126"/>
      <c r="AE73" s="430"/>
      <c r="AF73" s="226">
        <v>100</v>
      </c>
      <c r="AG73" s="226">
        <v>1</v>
      </c>
      <c r="AH73" s="34">
        <v>150</v>
      </c>
      <c r="AI73" s="118"/>
      <c r="AJ73" s="196">
        <f>(AF73-AB73)/AB73</f>
        <v>0.33333333333333331</v>
      </c>
      <c r="AK73" s="118"/>
      <c r="AL73" s="118"/>
      <c r="AM73" s="128">
        <v>672.8</v>
      </c>
      <c r="AN73" s="80" t="s">
        <v>67</v>
      </c>
      <c r="AO73" s="94"/>
      <c r="AP73" s="82"/>
      <c r="AQ73" s="83">
        <v>7</v>
      </c>
      <c r="AR73" s="84"/>
      <c r="AS73" s="82">
        <v>1000</v>
      </c>
      <c r="AT73" s="83">
        <v>4</v>
      </c>
      <c r="AU73" s="85"/>
      <c r="AV73" s="86">
        <f t="shared" si="3"/>
        <v>672.8</v>
      </c>
    </row>
    <row r="74" spans="1:48" ht="15" customHeight="1" x14ac:dyDescent="0.3">
      <c r="A74" s="13" t="s">
        <v>7</v>
      </c>
      <c r="B74" s="120" t="s">
        <v>118</v>
      </c>
      <c r="C74" s="378"/>
      <c r="D74" s="259">
        <v>500</v>
      </c>
      <c r="E74" s="226">
        <v>1</v>
      </c>
      <c r="F74" s="253">
        <v>200</v>
      </c>
      <c r="G74" s="126"/>
      <c r="H74" s="419"/>
      <c r="I74" s="259">
        <v>400</v>
      </c>
      <c r="J74" s="226">
        <v>1</v>
      </c>
      <c r="K74" s="256">
        <v>1</v>
      </c>
      <c r="L74" s="138">
        <v>150</v>
      </c>
      <c r="M74" s="118"/>
      <c r="N74" s="184">
        <f t="shared" si="4"/>
        <v>-0.2</v>
      </c>
      <c r="O74" s="103"/>
      <c r="P74" s="419"/>
      <c r="Q74" s="259"/>
      <c r="R74" s="138"/>
      <c r="S74" s="126"/>
      <c r="T74" s="419"/>
      <c r="U74" s="259"/>
      <c r="V74" s="138"/>
      <c r="W74" s="126"/>
      <c r="X74" s="126"/>
      <c r="Y74" s="126"/>
      <c r="Z74" s="126"/>
      <c r="AA74" s="435"/>
      <c r="AB74" s="259">
        <v>250</v>
      </c>
      <c r="AC74" s="138">
        <v>1</v>
      </c>
      <c r="AD74" s="126"/>
      <c r="AE74" s="430"/>
      <c r="AF74" s="226">
        <v>400</v>
      </c>
      <c r="AG74" s="226">
        <v>2</v>
      </c>
      <c r="AH74" s="34">
        <v>150</v>
      </c>
      <c r="AI74" s="118"/>
      <c r="AJ74" s="196">
        <f>(AF74-AB74)/AB74</f>
        <v>0.6</v>
      </c>
      <c r="AK74" s="118"/>
      <c r="AL74" s="118"/>
      <c r="AM74" s="128">
        <v>1450</v>
      </c>
      <c r="AN74" s="87" t="s">
        <v>66</v>
      </c>
      <c r="AO74" s="94"/>
      <c r="AP74" s="82"/>
      <c r="AQ74" s="83">
        <v>7</v>
      </c>
      <c r="AR74" s="84"/>
      <c r="AS74" s="82"/>
      <c r="AT74" s="83">
        <v>4</v>
      </c>
      <c r="AU74" s="85"/>
      <c r="AV74" s="86">
        <f t="shared" si="3"/>
        <v>1450</v>
      </c>
    </row>
    <row r="75" spans="1:48" ht="15" customHeight="1" x14ac:dyDescent="0.3">
      <c r="A75" s="13" t="s">
        <v>7</v>
      </c>
      <c r="B75" s="120" t="s">
        <v>64</v>
      </c>
      <c r="C75" s="378"/>
      <c r="D75" s="259">
        <v>1250</v>
      </c>
      <c r="E75" s="226">
        <v>1</v>
      </c>
      <c r="F75" s="253">
        <v>200</v>
      </c>
      <c r="G75" s="126"/>
      <c r="H75" s="419"/>
      <c r="I75" s="259">
        <v>1100</v>
      </c>
      <c r="J75" s="226">
        <v>3</v>
      </c>
      <c r="K75" s="256">
        <v>1</v>
      </c>
      <c r="L75" s="138">
        <v>150</v>
      </c>
      <c r="M75" s="118"/>
      <c r="N75" s="184">
        <f t="shared" si="4"/>
        <v>-0.12</v>
      </c>
      <c r="O75" s="103"/>
      <c r="P75" s="419"/>
      <c r="Q75" s="259"/>
      <c r="R75" s="138"/>
      <c r="S75" s="126"/>
      <c r="T75" s="419"/>
      <c r="U75" s="259"/>
      <c r="V75" s="138"/>
      <c r="W75" s="126"/>
      <c r="X75" s="126"/>
      <c r="Y75" s="126"/>
      <c r="Z75" s="126"/>
      <c r="AA75" s="435"/>
      <c r="AB75" s="259" t="s">
        <v>95</v>
      </c>
      <c r="AC75" s="138" t="s">
        <v>95</v>
      </c>
      <c r="AD75" s="126"/>
      <c r="AE75" s="430"/>
      <c r="AF75" s="226">
        <v>1500</v>
      </c>
      <c r="AG75" s="226">
        <v>2</v>
      </c>
      <c r="AH75" s="34">
        <v>150</v>
      </c>
      <c r="AI75" s="118"/>
      <c r="AJ75" s="194"/>
      <c r="AK75" s="118"/>
      <c r="AL75" s="118"/>
      <c r="AM75" s="128">
        <v>348</v>
      </c>
      <c r="AN75" s="80" t="s">
        <v>68</v>
      </c>
      <c r="AO75" s="94"/>
      <c r="AP75" s="82">
        <v>429.2</v>
      </c>
      <c r="AQ75" s="83">
        <v>2</v>
      </c>
      <c r="AR75" s="84"/>
      <c r="AS75" s="82">
        <v>350</v>
      </c>
      <c r="AT75" s="83">
        <v>1</v>
      </c>
      <c r="AU75" s="85"/>
      <c r="AV75" s="86">
        <f t="shared" si="3"/>
        <v>348</v>
      </c>
    </row>
    <row r="76" spans="1:48" ht="15" customHeight="1" x14ac:dyDescent="0.3">
      <c r="A76" s="13" t="s">
        <v>7</v>
      </c>
      <c r="B76" s="120" t="s">
        <v>9</v>
      </c>
      <c r="C76" s="378"/>
      <c r="D76" s="259">
        <v>75</v>
      </c>
      <c r="E76" s="226">
        <v>1</v>
      </c>
      <c r="F76" s="253">
        <v>200</v>
      </c>
      <c r="G76" s="126"/>
      <c r="H76" s="419"/>
      <c r="I76" s="259">
        <v>120</v>
      </c>
      <c r="J76" s="226">
        <v>1</v>
      </c>
      <c r="K76" s="256">
        <v>1</v>
      </c>
      <c r="L76" s="138">
        <v>150</v>
      </c>
      <c r="M76" s="118"/>
      <c r="N76" s="187">
        <f t="shared" si="4"/>
        <v>0.6</v>
      </c>
      <c r="O76" s="103"/>
      <c r="P76" s="419"/>
      <c r="Q76" s="259"/>
      <c r="R76" s="138"/>
      <c r="S76" s="126"/>
      <c r="T76" s="419"/>
      <c r="U76" s="259"/>
      <c r="V76" s="138"/>
      <c r="W76" s="126"/>
      <c r="X76" s="126"/>
      <c r="Y76" s="126"/>
      <c r="Z76" s="126"/>
      <c r="AA76" s="435"/>
      <c r="AB76" s="259">
        <v>70</v>
      </c>
      <c r="AC76" s="138">
        <v>1</v>
      </c>
      <c r="AD76" s="126"/>
      <c r="AE76" s="430"/>
      <c r="AF76" s="226">
        <v>100</v>
      </c>
      <c r="AG76" s="226">
        <v>1</v>
      </c>
      <c r="AH76" s="34">
        <v>150</v>
      </c>
      <c r="AI76" s="118"/>
      <c r="AJ76" s="196">
        <f>(AF76-AB76)/AB76</f>
        <v>0.42857142857142855</v>
      </c>
      <c r="AK76" s="118"/>
      <c r="AL76" s="118"/>
      <c r="AM76" s="128">
        <v>580</v>
      </c>
      <c r="AN76" s="80" t="s">
        <v>66</v>
      </c>
      <c r="AO76" s="94"/>
      <c r="AP76" s="82">
        <v>429.2</v>
      </c>
      <c r="AQ76" s="83">
        <v>2</v>
      </c>
      <c r="AR76" s="84"/>
      <c r="AS76" s="82">
        <v>370</v>
      </c>
      <c r="AT76" s="83">
        <v>1</v>
      </c>
      <c r="AU76" s="85"/>
      <c r="AV76" s="86">
        <f t="shared" si="3"/>
        <v>370</v>
      </c>
    </row>
    <row r="77" spans="1:48" ht="15" customHeight="1" x14ac:dyDescent="0.3">
      <c r="A77" s="13" t="s">
        <v>7</v>
      </c>
      <c r="B77" s="120" t="s">
        <v>62</v>
      </c>
      <c r="C77" s="378"/>
      <c r="D77" s="259">
        <v>300</v>
      </c>
      <c r="E77" s="226">
        <v>1</v>
      </c>
      <c r="F77" s="253">
        <v>200</v>
      </c>
      <c r="G77" s="126"/>
      <c r="H77" s="419"/>
      <c r="I77" s="259">
        <v>300</v>
      </c>
      <c r="J77" s="226">
        <v>1</v>
      </c>
      <c r="K77" s="256">
        <v>1</v>
      </c>
      <c r="L77" s="138">
        <v>150</v>
      </c>
      <c r="M77" s="118"/>
      <c r="N77" s="191">
        <f t="shared" si="4"/>
        <v>0</v>
      </c>
      <c r="O77" s="103"/>
      <c r="P77" s="419"/>
      <c r="Q77" s="259"/>
      <c r="R77" s="138"/>
      <c r="S77" s="126"/>
      <c r="T77" s="419"/>
      <c r="U77" s="259"/>
      <c r="V77" s="138"/>
      <c r="W77" s="126"/>
      <c r="X77" s="126"/>
      <c r="Y77" s="126"/>
      <c r="Z77" s="126"/>
      <c r="AA77" s="435"/>
      <c r="AB77" s="259">
        <v>270</v>
      </c>
      <c r="AC77" s="138">
        <v>1</v>
      </c>
      <c r="AD77" s="126"/>
      <c r="AE77" s="430"/>
      <c r="AF77" s="226">
        <v>300</v>
      </c>
      <c r="AG77" s="226">
        <v>2</v>
      </c>
      <c r="AH77" s="34">
        <v>150</v>
      </c>
      <c r="AI77" s="118"/>
      <c r="AJ77" s="196">
        <f>(AF77-AB77)/AB77</f>
        <v>0.1111111111111111</v>
      </c>
      <c r="AK77" s="118"/>
      <c r="AL77" s="118"/>
      <c r="AM77" s="130">
        <v>87</v>
      </c>
      <c r="AN77" s="97" t="s">
        <v>66</v>
      </c>
      <c r="AO77" s="94"/>
      <c r="AP77" s="98"/>
      <c r="AQ77" s="99">
        <v>2</v>
      </c>
      <c r="AR77" s="84"/>
      <c r="AS77" s="98">
        <v>75</v>
      </c>
      <c r="AT77" s="99">
        <v>1</v>
      </c>
      <c r="AU77" s="85"/>
      <c r="AV77" s="86">
        <f t="shared" si="3"/>
        <v>75</v>
      </c>
    </row>
    <row r="78" spans="1:48" ht="15" customHeight="1" thickBot="1" x14ac:dyDescent="0.35">
      <c r="A78" s="14" t="s">
        <v>7</v>
      </c>
      <c r="B78" s="121" t="s">
        <v>65</v>
      </c>
      <c r="C78" s="379"/>
      <c r="D78" s="260">
        <v>300</v>
      </c>
      <c r="E78" s="227">
        <v>3</v>
      </c>
      <c r="F78" s="254">
        <v>200</v>
      </c>
      <c r="G78" s="126"/>
      <c r="H78" s="420"/>
      <c r="I78" s="260">
        <v>300</v>
      </c>
      <c r="J78" s="227">
        <v>1</v>
      </c>
      <c r="K78" s="257">
        <v>1</v>
      </c>
      <c r="L78" s="139">
        <v>150</v>
      </c>
      <c r="M78" s="118"/>
      <c r="N78" s="193">
        <f t="shared" si="4"/>
        <v>0</v>
      </c>
      <c r="O78" s="103"/>
      <c r="P78" s="420"/>
      <c r="Q78" s="260"/>
      <c r="R78" s="139"/>
      <c r="S78" s="126"/>
      <c r="T78" s="420"/>
      <c r="U78" s="260"/>
      <c r="V78" s="139"/>
      <c r="W78" s="126"/>
      <c r="X78" s="126"/>
      <c r="Y78" s="126"/>
      <c r="Z78" s="126"/>
      <c r="AA78" s="436"/>
      <c r="AB78" s="260">
        <v>350</v>
      </c>
      <c r="AC78" s="139">
        <v>1</v>
      </c>
      <c r="AD78" s="126"/>
      <c r="AE78" s="431"/>
      <c r="AF78" s="227">
        <v>300</v>
      </c>
      <c r="AG78" s="227">
        <v>2</v>
      </c>
      <c r="AH78" s="139">
        <v>150</v>
      </c>
      <c r="AI78" s="118"/>
      <c r="AJ78" s="234">
        <f>(AF78-AB78)/AB78</f>
        <v>-0.14285714285714285</v>
      </c>
      <c r="AK78" s="118"/>
      <c r="AL78" s="118"/>
      <c r="AM78" s="131" t="s">
        <v>89</v>
      </c>
      <c r="AN78" s="80" t="s">
        <v>67</v>
      </c>
      <c r="AO78" s="82"/>
      <c r="AP78" s="82"/>
      <c r="AQ78" s="83"/>
      <c r="AR78" s="100"/>
      <c r="AS78" s="82"/>
      <c r="AT78" s="83"/>
      <c r="AU78" s="85"/>
      <c r="AV78" s="86" t="s">
        <v>90</v>
      </c>
    </row>
    <row r="79" spans="1:48" ht="15" customHeight="1" thickBot="1" x14ac:dyDescent="0.35">
      <c r="A79" s="163"/>
      <c r="B79" s="163"/>
      <c r="C79" s="132"/>
      <c r="D79" s="126"/>
      <c r="E79" s="126"/>
      <c r="F79" s="126"/>
      <c r="G79" s="126"/>
      <c r="H79" s="126"/>
      <c r="I79" s="126"/>
      <c r="J79" s="126"/>
      <c r="K79" s="126"/>
      <c r="L79" s="126"/>
      <c r="M79" s="118"/>
      <c r="N79" s="103"/>
      <c r="O79" s="103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18"/>
      <c r="AJ79" s="118"/>
      <c r="AK79" s="118"/>
      <c r="AL79" s="118"/>
      <c r="AM79" s="119"/>
      <c r="AN79" s="116"/>
      <c r="AO79" s="94"/>
      <c r="AP79" s="94"/>
      <c r="AQ79" s="93"/>
      <c r="AR79" s="84"/>
      <c r="AS79" s="94"/>
      <c r="AT79" s="93"/>
      <c r="AU79" s="85"/>
      <c r="AV79" s="86"/>
    </row>
    <row r="80" spans="1:48" ht="39.5" thickBot="1" x14ac:dyDescent="0.35">
      <c r="A80" s="123" t="s">
        <v>1</v>
      </c>
      <c r="B80" s="124" t="s">
        <v>3</v>
      </c>
      <c r="C80" s="125" t="s">
        <v>4</v>
      </c>
      <c r="D80" s="147" t="s">
        <v>96</v>
      </c>
      <c r="E80" s="246" t="s">
        <v>97</v>
      </c>
      <c r="F80" s="148" t="s">
        <v>134</v>
      </c>
      <c r="G80" s="27"/>
      <c r="H80" s="28" t="s">
        <v>4</v>
      </c>
      <c r="I80" s="147" t="s">
        <v>96</v>
      </c>
      <c r="J80" s="246" t="s">
        <v>97</v>
      </c>
      <c r="K80" s="275" t="s">
        <v>142</v>
      </c>
      <c r="L80" s="148" t="s">
        <v>134</v>
      </c>
      <c r="M80" s="95"/>
      <c r="N80" s="206" t="s">
        <v>130</v>
      </c>
      <c r="O80" s="95"/>
      <c r="P80" s="146" t="s">
        <v>4</v>
      </c>
      <c r="Q80" s="147" t="s">
        <v>96</v>
      </c>
      <c r="R80" s="148" t="s">
        <v>97</v>
      </c>
      <c r="S80" s="27"/>
      <c r="T80" s="28" t="s">
        <v>4</v>
      </c>
      <c r="U80" s="25" t="s">
        <v>96</v>
      </c>
      <c r="V80" s="26" t="s">
        <v>97</v>
      </c>
      <c r="W80" s="127"/>
      <c r="X80" s="127"/>
      <c r="Y80" s="127"/>
      <c r="Z80" s="127"/>
      <c r="AA80" s="146" t="s">
        <v>4</v>
      </c>
      <c r="AB80" s="147" t="s">
        <v>96</v>
      </c>
      <c r="AC80" s="148" t="s">
        <v>97</v>
      </c>
      <c r="AD80" s="27"/>
      <c r="AE80" s="220" t="s">
        <v>4</v>
      </c>
      <c r="AF80" s="221" t="s">
        <v>96</v>
      </c>
      <c r="AG80" s="216" t="s">
        <v>97</v>
      </c>
      <c r="AH80" s="26" t="s">
        <v>134</v>
      </c>
      <c r="AI80" s="95"/>
      <c r="AJ80" s="141"/>
      <c r="AK80" s="118"/>
      <c r="AL80" s="118"/>
      <c r="AM80" s="119"/>
      <c r="AN80" s="116"/>
      <c r="AO80" s="94"/>
      <c r="AP80" s="94"/>
      <c r="AQ80" s="93"/>
      <c r="AR80" s="84"/>
      <c r="AS80" s="94"/>
      <c r="AT80" s="93"/>
      <c r="AU80" s="85"/>
      <c r="AV80" s="86"/>
    </row>
    <row r="81" spans="1:48" ht="15" customHeight="1" x14ac:dyDescent="0.3">
      <c r="A81" s="12" t="s">
        <v>5</v>
      </c>
      <c r="B81" s="207" t="s">
        <v>131</v>
      </c>
      <c r="C81" s="421" t="s">
        <v>123</v>
      </c>
      <c r="D81" s="136">
        <v>630</v>
      </c>
      <c r="E81" s="251">
        <v>1</v>
      </c>
      <c r="F81" s="252">
        <v>200</v>
      </c>
      <c r="G81" s="126"/>
      <c r="H81" s="377" t="s">
        <v>123</v>
      </c>
      <c r="I81" s="136">
        <v>600</v>
      </c>
      <c r="J81" s="251">
        <v>1</v>
      </c>
      <c r="K81" s="255">
        <v>1</v>
      </c>
      <c r="L81" s="137">
        <v>185</v>
      </c>
      <c r="M81" s="132"/>
      <c r="N81" s="183">
        <f>(I81-D81)/D81</f>
        <v>-4.7619047619047616E-2</v>
      </c>
      <c r="O81" s="144"/>
      <c r="P81" s="418"/>
      <c r="Q81" s="136"/>
      <c r="R81" s="137"/>
      <c r="S81" s="126"/>
      <c r="T81" s="418"/>
      <c r="U81" s="136"/>
      <c r="V81" s="137"/>
      <c r="W81" s="126"/>
      <c r="X81" s="126"/>
      <c r="Y81" s="126"/>
      <c r="Z81" s="126"/>
      <c r="AA81" s="377" t="s">
        <v>123</v>
      </c>
      <c r="AB81" s="152"/>
      <c r="AC81" s="153"/>
      <c r="AD81" s="126"/>
      <c r="AE81" s="377" t="s">
        <v>123</v>
      </c>
      <c r="AF81" s="154"/>
      <c r="AG81" s="228"/>
      <c r="AH81" s="167"/>
      <c r="AI81" s="132"/>
      <c r="AJ81" s="132"/>
      <c r="AK81" s="118"/>
      <c r="AL81" s="118"/>
      <c r="AM81" s="119"/>
      <c r="AN81" s="116"/>
      <c r="AO81" s="94"/>
      <c r="AP81" s="94"/>
      <c r="AQ81" s="93"/>
      <c r="AR81" s="84"/>
      <c r="AS81" s="94"/>
      <c r="AT81" s="93"/>
      <c r="AU81" s="85"/>
      <c r="AV81" s="86"/>
    </row>
    <row r="82" spans="1:48" ht="15" customHeight="1" x14ac:dyDescent="0.3">
      <c r="A82" s="13" t="s">
        <v>7</v>
      </c>
      <c r="B82" s="120" t="s">
        <v>10</v>
      </c>
      <c r="C82" s="422"/>
      <c r="D82" s="164">
        <v>1150</v>
      </c>
      <c r="E82" s="226">
        <v>1</v>
      </c>
      <c r="F82" s="253">
        <v>200</v>
      </c>
      <c r="G82" s="126"/>
      <c r="H82" s="378"/>
      <c r="I82" s="259">
        <v>1130</v>
      </c>
      <c r="J82" s="226">
        <v>2</v>
      </c>
      <c r="K82" s="256">
        <v>1</v>
      </c>
      <c r="L82" s="138">
        <v>185</v>
      </c>
      <c r="M82" s="118"/>
      <c r="N82" s="184">
        <f>(I82-D82)/D82</f>
        <v>-1.7391304347826087E-2</v>
      </c>
      <c r="O82" s="103"/>
      <c r="P82" s="419"/>
      <c r="Q82" s="259"/>
      <c r="R82" s="138"/>
      <c r="S82" s="126"/>
      <c r="T82" s="419"/>
      <c r="U82" s="259"/>
      <c r="V82" s="138"/>
      <c r="W82" s="126"/>
      <c r="X82" s="126"/>
      <c r="Y82" s="126"/>
      <c r="Z82" s="126"/>
      <c r="AA82" s="378"/>
      <c r="AB82" s="154"/>
      <c r="AC82" s="155"/>
      <c r="AD82" s="126"/>
      <c r="AE82" s="378"/>
      <c r="AF82" s="154"/>
      <c r="AG82" s="228"/>
      <c r="AH82" s="167"/>
      <c r="AI82" s="118"/>
      <c r="AJ82" s="118"/>
      <c r="AK82" s="118"/>
      <c r="AL82" s="118"/>
      <c r="AM82" s="119"/>
      <c r="AN82" s="116"/>
      <c r="AO82" s="94"/>
      <c r="AP82" s="94"/>
      <c r="AQ82" s="93"/>
      <c r="AR82" s="84"/>
      <c r="AS82" s="94"/>
      <c r="AT82" s="93"/>
      <c r="AU82" s="85"/>
      <c r="AV82" s="86"/>
    </row>
    <row r="83" spans="1:48" ht="15" customHeight="1" x14ac:dyDescent="0.3">
      <c r="A83" s="280" t="s">
        <v>7</v>
      </c>
      <c r="B83" s="281" t="s">
        <v>119</v>
      </c>
      <c r="C83" s="422"/>
      <c r="D83" s="259"/>
      <c r="E83" s="226"/>
      <c r="F83" s="253"/>
      <c r="G83" s="126"/>
      <c r="H83" s="378"/>
      <c r="I83" s="259">
        <v>400</v>
      </c>
      <c r="J83" s="226">
        <v>1</v>
      </c>
      <c r="K83" s="256">
        <v>1</v>
      </c>
      <c r="L83" s="138">
        <v>185</v>
      </c>
      <c r="M83" s="118"/>
      <c r="N83" s="190"/>
      <c r="O83" s="103"/>
      <c r="P83" s="419"/>
      <c r="Q83" s="259"/>
      <c r="R83" s="138"/>
      <c r="S83" s="126"/>
      <c r="T83" s="419"/>
      <c r="U83" s="259"/>
      <c r="V83" s="138"/>
      <c r="W83" s="126"/>
      <c r="X83" s="126"/>
      <c r="Y83" s="126"/>
      <c r="Z83" s="126"/>
      <c r="AA83" s="378"/>
      <c r="AB83" s="154"/>
      <c r="AC83" s="155"/>
      <c r="AD83" s="126"/>
      <c r="AE83" s="378"/>
      <c r="AF83" s="154"/>
      <c r="AG83" s="228"/>
      <c r="AH83" s="167"/>
      <c r="AI83" s="118"/>
      <c r="AJ83" s="118"/>
      <c r="AK83" s="118"/>
      <c r="AL83" s="118"/>
      <c r="AM83" s="119"/>
      <c r="AN83" s="116"/>
      <c r="AO83" s="94"/>
      <c r="AP83" s="94"/>
      <c r="AQ83" s="93"/>
      <c r="AR83" s="84"/>
      <c r="AS83" s="94"/>
      <c r="AT83" s="93"/>
      <c r="AU83" s="85"/>
      <c r="AV83" s="86"/>
    </row>
    <row r="84" spans="1:48" ht="15" customHeight="1" x14ac:dyDescent="0.3">
      <c r="A84" s="13" t="s">
        <v>7</v>
      </c>
      <c r="B84" s="120" t="s">
        <v>63</v>
      </c>
      <c r="C84" s="422"/>
      <c r="D84" s="259">
        <v>900</v>
      </c>
      <c r="E84" s="226">
        <v>2</v>
      </c>
      <c r="F84" s="253">
        <v>200</v>
      </c>
      <c r="G84" s="126"/>
      <c r="H84" s="378"/>
      <c r="I84" s="259">
        <v>795</v>
      </c>
      <c r="J84" s="226">
        <v>1</v>
      </c>
      <c r="K84" s="256">
        <v>1</v>
      </c>
      <c r="L84" s="138">
        <v>185</v>
      </c>
      <c r="M84" s="118"/>
      <c r="N84" s="184">
        <f t="shared" ref="N84:N91" si="5">(I84-D84)/D84</f>
        <v>-0.11666666666666667</v>
      </c>
      <c r="O84" s="103"/>
      <c r="P84" s="419"/>
      <c r="Q84" s="259"/>
      <c r="R84" s="138"/>
      <c r="S84" s="126"/>
      <c r="T84" s="419"/>
      <c r="U84" s="259"/>
      <c r="V84" s="138"/>
      <c r="W84" s="126"/>
      <c r="X84" s="126"/>
      <c r="Y84" s="126"/>
      <c r="Z84" s="126"/>
      <c r="AA84" s="378"/>
      <c r="AB84" s="154"/>
      <c r="AC84" s="155"/>
      <c r="AD84" s="126"/>
      <c r="AE84" s="378"/>
      <c r="AF84" s="154"/>
      <c r="AG84" s="228"/>
      <c r="AH84" s="167"/>
      <c r="AI84" s="118"/>
      <c r="AJ84" s="118"/>
      <c r="AK84" s="118"/>
      <c r="AL84" s="118"/>
      <c r="AM84" s="119"/>
      <c r="AN84" s="116"/>
      <c r="AO84" s="94"/>
      <c r="AP84" s="94"/>
      <c r="AQ84" s="93"/>
      <c r="AR84" s="84"/>
      <c r="AS84" s="94"/>
      <c r="AT84" s="93"/>
      <c r="AU84" s="85"/>
      <c r="AV84" s="86"/>
    </row>
    <row r="85" spans="1:48" ht="15" customHeight="1" x14ac:dyDescent="0.3">
      <c r="A85" s="13" t="s">
        <v>7</v>
      </c>
      <c r="B85" s="120" t="s">
        <v>8</v>
      </c>
      <c r="C85" s="422"/>
      <c r="D85" s="259">
        <v>630</v>
      </c>
      <c r="E85" s="226">
        <v>1</v>
      </c>
      <c r="F85" s="253">
        <v>200</v>
      </c>
      <c r="G85" s="126"/>
      <c r="H85" s="378"/>
      <c r="I85" s="259">
        <v>595</v>
      </c>
      <c r="J85" s="226">
        <v>1</v>
      </c>
      <c r="K85" s="256">
        <v>1</v>
      </c>
      <c r="L85" s="138">
        <v>185</v>
      </c>
      <c r="M85" s="118"/>
      <c r="N85" s="184">
        <f t="shared" si="5"/>
        <v>-5.5555555555555552E-2</v>
      </c>
      <c r="O85" s="103"/>
      <c r="P85" s="419"/>
      <c r="Q85" s="259"/>
      <c r="R85" s="138"/>
      <c r="S85" s="126"/>
      <c r="T85" s="419"/>
      <c r="U85" s="259"/>
      <c r="V85" s="138"/>
      <c r="W85" s="126"/>
      <c r="X85" s="126"/>
      <c r="Y85" s="126"/>
      <c r="Z85" s="126"/>
      <c r="AA85" s="378"/>
      <c r="AB85" s="154"/>
      <c r="AC85" s="155"/>
      <c r="AD85" s="126"/>
      <c r="AE85" s="378"/>
      <c r="AF85" s="154"/>
      <c r="AG85" s="228"/>
      <c r="AH85" s="167"/>
      <c r="AI85" s="118"/>
      <c r="AJ85" s="118"/>
      <c r="AK85" s="118"/>
      <c r="AL85" s="118"/>
      <c r="AM85" s="119"/>
      <c r="AN85" s="116"/>
      <c r="AO85" s="94"/>
      <c r="AP85" s="94"/>
      <c r="AQ85" s="93"/>
      <c r="AR85" s="84"/>
      <c r="AS85" s="94"/>
      <c r="AT85" s="93"/>
      <c r="AU85" s="85"/>
      <c r="AV85" s="86"/>
    </row>
    <row r="86" spans="1:48" ht="15" customHeight="1" x14ac:dyDescent="0.3">
      <c r="A86" s="13" t="s">
        <v>7</v>
      </c>
      <c r="B86" s="120" t="s">
        <v>11</v>
      </c>
      <c r="C86" s="422"/>
      <c r="D86" s="259">
        <v>160</v>
      </c>
      <c r="E86" s="226">
        <v>1</v>
      </c>
      <c r="F86" s="253">
        <v>200</v>
      </c>
      <c r="G86" s="126"/>
      <c r="H86" s="378"/>
      <c r="I86" s="259">
        <v>150</v>
      </c>
      <c r="J86" s="226">
        <v>1</v>
      </c>
      <c r="K86" s="256">
        <v>1</v>
      </c>
      <c r="L86" s="138">
        <v>185</v>
      </c>
      <c r="M86" s="118"/>
      <c r="N86" s="184">
        <f t="shared" si="5"/>
        <v>-6.25E-2</v>
      </c>
      <c r="O86" s="103"/>
      <c r="P86" s="419"/>
      <c r="Q86" s="259"/>
      <c r="R86" s="138"/>
      <c r="S86" s="126"/>
      <c r="T86" s="419"/>
      <c r="U86" s="259"/>
      <c r="V86" s="138"/>
      <c r="W86" s="126"/>
      <c r="X86" s="126"/>
      <c r="Y86" s="126"/>
      <c r="Z86" s="126"/>
      <c r="AA86" s="378"/>
      <c r="AB86" s="154"/>
      <c r="AC86" s="155"/>
      <c r="AD86" s="126"/>
      <c r="AE86" s="378"/>
      <c r="AF86" s="154"/>
      <c r="AG86" s="228"/>
      <c r="AH86" s="167"/>
      <c r="AI86" s="118"/>
      <c r="AJ86" s="118"/>
      <c r="AK86" s="118"/>
      <c r="AL86" s="118"/>
      <c r="AM86" s="119"/>
      <c r="AN86" s="116"/>
      <c r="AO86" s="94"/>
      <c r="AP86" s="94"/>
      <c r="AQ86" s="93"/>
      <c r="AR86" s="84"/>
      <c r="AS86" s="94"/>
      <c r="AT86" s="93"/>
      <c r="AU86" s="85"/>
      <c r="AV86" s="86"/>
    </row>
    <row r="87" spans="1:48" ht="15" customHeight="1" x14ac:dyDescent="0.3">
      <c r="A87" s="13" t="s">
        <v>7</v>
      </c>
      <c r="B87" s="120" t="s">
        <v>118</v>
      </c>
      <c r="C87" s="422"/>
      <c r="D87" s="259">
        <v>500</v>
      </c>
      <c r="E87" s="226">
        <v>1</v>
      </c>
      <c r="F87" s="253">
        <v>200</v>
      </c>
      <c r="G87" s="126"/>
      <c r="H87" s="378"/>
      <c r="I87" s="259">
        <v>490</v>
      </c>
      <c r="J87" s="226">
        <v>1</v>
      </c>
      <c r="K87" s="256">
        <v>1</v>
      </c>
      <c r="L87" s="138">
        <v>185</v>
      </c>
      <c r="M87" s="118"/>
      <c r="N87" s="184">
        <f t="shared" si="5"/>
        <v>-0.02</v>
      </c>
      <c r="O87" s="103"/>
      <c r="P87" s="419"/>
      <c r="Q87" s="259"/>
      <c r="R87" s="138"/>
      <c r="S87" s="126"/>
      <c r="T87" s="419"/>
      <c r="U87" s="259"/>
      <c r="V87" s="138"/>
      <c r="W87" s="126"/>
      <c r="X87" s="126"/>
      <c r="Y87" s="126"/>
      <c r="Z87" s="126"/>
      <c r="AA87" s="378"/>
      <c r="AB87" s="154"/>
      <c r="AC87" s="155"/>
      <c r="AD87" s="126"/>
      <c r="AE87" s="378"/>
      <c r="AF87" s="154"/>
      <c r="AG87" s="228"/>
      <c r="AH87" s="167"/>
      <c r="AI87" s="118"/>
      <c r="AJ87" s="118"/>
      <c r="AK87" s="118"/>
      <c r="AL87" s="118"/>
      <c r="AM87" s="119"/>
      <c r="AN87" s="116"/>
      <c r="AO87" s="94"/>
      <c r="AP87" s="94"/>
      <c r="AQ87" s="93"/>
      <c r="AR87" s="84"/>
      <c r="AS87" s="94"/>
      <c r="AT87" s="93"/>
      <c r="AU87" s="85"/>
      <c r="AV87" s="86"/>
    </row>
    <row r="88" spans="1:48" ht="15" customHeight="1" x14ac:dyDescent="0.3">
      <c r="A88" s="13" t="s">
        <v>7</v>
      </c>
      <c r="B88" s="120" t="s">
        <v>64</v>
      </c>
      <c r="C88" s="422"/>
      <c r="D88" s="259">
        <v>1650</v>
      </c>
      <c r="E88" s="226">
        <v>1</v>
      </c>
      <c r="F88" s="253">
        <v>200</v>
      </c>
      <c r="G88" s="126"/>
      <c r="H88" s="378"/>
      <c r="I88" s="259">
        <v>1500</v>
      </c>
      <c r="J88" s="226">
        <v>3</v>
      </c>
      <c r="K88" s="256">
        <v>1</v>
      </c>
      <c r="L88" s="138">
        <v>185</v>
      </c>
      <c r="M88" s="118"/>
      <c r="N88" s="184">
        <f t="shared" si="5"/>
        <v>-9.0909090909090912E-2</v>
      </c>
      <c r="O88" s="103"/>
      <c r="P88" s="419"/>
      <c r="Q88" s="259"/>
      <c r="R88" s="138"/>
      <c r="S88" s="126"/>
      <c r="T88" s="419"/>
      <c r="U88" s="259"/>
      <c r="V88" s="138"/>
      <c r="W88" s="126"/>
      <c r="X88" s="126"/>
      <c r="Y88" s="126"/>
      <c r="Z88" s="126"/>
      <c r="AA88" s="378"/>
      <c r="AB88" s="154"/>
      <c r="AC88" s="155"/>
      <c r="AD88" s="126"/>
      <c r="AE88" s="378"/>
      <c r="AF88" s="154"/>
      <c r="AG88" s="228"/>
      <c r="AH88" s="167"/>
      <c r="AI88" s="118"/>
      <c r="AJ88" s="118"/>
      <c r="AK88" s="118"/>
      <c r="AL88" s="118"/>
      <c r="AM88" s="119"/>
      <c r="AN88" s="116"/>
      <c r="AO88" s="94"/>
      <c r="AP88" s="94"/>
      <c r="AQ88" s="93"/>
      <c r="AR88" s="84"/>
      <c r="AS88" s="94"/>
      <c r="AT88" s="93"/>
      <c r="AU88" s="85"/>
      <c r="AV88" s="86"/>
    </row>
    <row r="89" spans="1:48" ht="15" customHeight="1" x14ac:dyDescent="0.3">
      <c r="A89" s="13" t="s">
        <v>7</v>
      </c>
      <c r="B89" s="120" t="s">
        <v>9</v>
      </c>
      <c r="C89" s="422"/>
      <c r="D89" s="259">
        <v>150</v>
      </c>
      <c r="E89" s="226">
        <v>1</v>
      </c>
      <c r="F89" s="253">
        <v>200</v>
      </c>
      <c r="G89" s="126"/>
      <c r="H89" s="378"/>
      <c r="I89" s="259">
        <v>150</v>
      </c>
      <c r="J89" s="226">
        <v>1</v>
      </c>
      <c r="K89" s="256">
        <v>1</v>
      </c>
      <c r="L89" s="138">
        <v>185</v>
      </c>
      <c r="M89" s="118"/>
      <c r="N89" s="191">
        <f t="shared" si="5"/>
        <v>0</v>
      </c>
      <c r="O89" s="103"/>
      <c r="P89" s="419"/>
      <c r="Q89" s="259"/>
      <c r="R89" s="138"/>
      <c r="S89" s="126"/>
      <c r="T89" s="419"/>
      <c r="U89" s="259"/>
      <c r="V89" s="138"/>
      <c r="W89" s="126"/>
      <c r="X89" s="126"/>
      <c r="Y89" s="126"/>
      <c r="Z89" s="126"/>
      <c r="AA89" s="378"/>
      <c r="AB89" s="154"/>
      <c r="AC89" s="155"/>
      <c r="AD89" s="126"/>
      <c r="AE89" s="378"/>
      <c r="AF89" s="154"/>
      <c r="AG89" s="228"/>
      <c r="AH89" s="167"/>
      <c r="AI89" s="118"/>
      <c r="AJ89" s="118"/>
      <c r="AK89" s="118"/>
      <c r="AL89" s="118"/>
      <c r="AM89" s="119"/>
      <c r="AN89" s="116"/>
      <c r="AO89" s="94"/>
      <c r="AP89" s="94"/>
      <c r="AQ89" s="93"/>
      <c r="AR89" s="84"/>
      <c r="AS89" s="94"/>
      <c r="AT89" s="93"/>
      <c r="AU89" s="85"/>
      <c r="AV89" s="86"/>
    </row>
    <row r="90" spans="1:48" ht="15" customHeight="1" x14ac:dyDescent="0.3">
      <c r="A90" s="13" t="s">
        <v>7</v>
      </c>
      <c r="B90" s="120" t="s">
        <v>62</v>
      </c>
      <c r="C90" s="422"/>
      <c r="D90" s="259">
        <v>420</v>
      </c>
      <c r="E90" s="226">
        <v>1</v>
      </c>
      <c r="F90" s="253">
        <v>200</v>
      </c>
      <c r="G90" s="126"/>
      <c r="H90" s="378"/>
      <c r="I90" s="259">
        <v>400</v>
      </c>
      <c r="J90" s="226">
        <v>1</v>
      </c>
      <c r="K90" s="256">
        <v>1</v>
      </c>
      <c r="L90" s="138">
        <v>185</v>
      </c>
      <c r="M90" s="118"/>
      <c r="N90" s="184">
        <f t="shared" si="5"/>
        <v>-4.7619047619047616E-2</v>
      </c>
      <c r="O90" s="103"/>
      <c r="P90" s="419"/>
      <c r="Q90" s="259"/>
      <c r="R90" s="138"/>
      <c r="S90" s="126"/>
      <c r="T90" s="419"/>
      <c r="U90" s="259"/>
      <c r="V90" s="138"/>
      <c r="W90" s="126"/>
      <c r="X90" s="126"/>
      <c r="Y90" s="126"/>
      <c r="Z90" s="126"/>
      <c r="AA90" s="378"/>
      <c r="AB90" s="154"/>
      <c r="AC90" s="155"/>
      <c r="AD90" s="126"/>
      <c r="AE90" s="378"/>
      <c r="AF90" s="154"/>
      <c r="AG90" s="228"/>
      <c r="AH90" s="167"/>
      <c r="AI90" s="118"/>
      <c r="AJ90" s="118"/>
      <c r="AK90" s="118"/>
      <c r="AL90" s="118"/>
      <c r="AM90" s="119"/>
      <c r="AN90" s="116"/>
      <c r="AO90" s="94"/>
      <c r="AP90" s="94"/>
      <c r="AQ90" s="93"/>
      <c r="AR90" s="84"/>
      <c r="AS90" s="94"/>
      <c r="AT90" s="93"/>
      <c r="AU90" s="85"/>
      <c r="AV90" s="86"/>
    </row>
    <row r="91" spans="1:48" ht="15" customHeight="1" thickBot="1" x14ac:dyDescent="0.35">
      <c r="A91" s="14" t="s">
        <v>7</v>
      </c>
      <c r="B91" s="121" t="s">
        <v>65</v>
      </c>
      <c r="C91" s="423"/>
      <c r="D91" s="260">
        <v>420</v>
      </c>
      <c r="E91" s="227">
        <v>1</v>
      </c>
      <c r="F91" s="254">
        <v>200</v>
      </c>
      <c r="G91" s="126"/>
      <c r="H91" s="379"/>
      <c r="I91" s="260">
        <v>400</v>
      </c>
      <c r="J91" s="227">
        <v>1</v>
      </c>
      <c r="K91" s="257">
        <v>1</v>
      </c>
      <c r="L91" s="139">
        <v>185</v>
      </c>
      <c r="M91" s="118"/>
      <c r="N91" s="185">
        <f t="shared" si="5"/>
        <v>-4.7619047619047616E-2</v>
      </c>
      <c r="O91" s="103"/>
      <c r="P91" s="420"/>
      <c r="Q91" s="260"/>
      <c r="R91" s="139"/>
      <c r="S91" s="126"/>
      <c r="T91" s="420"/>
      <c r="U91" s="260"/>
      <c r="V91" s="139"/>
      <c r="W91" s="126"/>
      <c r="X91" s="126"/>
      <c r="Y91" s="126"/>
      <c r="Z91" s="126"/>
      <c r="AA91" s="379"/>
      <c r="AB91" s="156"/>
      <c r="AC91" s="157"/>
      <c r="AD91" s="126"/>
      <c r="AE91" s="379"/>
      <c r="AF91" s="156"/>
      <c r="AG91" s="229"/>
      <c r="AH91" s="157"/>
      <c r="AI91" s="118"/>
      <c r="AJ91" s="118"/>
      <c r="AK91" s="118"/>
      <c r="AL91" s="118"/>
      <c r="AM91" s="119"/>
      <c r="AN91" s="116"/>
      <c r="AO91" s="94"/>
      <c r="AP91" s="94"/>
      <c r="AQ91" s="93"/>
      <c r="AR91" s="84"/>
      <c r="AS91" s="94"/>
      <c r="AT91" s="93"/>
      <c r="AU91" s="85"/>
      <c r="AV91" s="86"/>
    </row>
    <row r="92" spans="1:48" ht="15" customHeight="1" thickBot="1" x14ac:dyDescent="0.35">
      <c r="A92" s="163"/>
      <c r="B92" s="163"/>
      <c r="C92" s="49"/>
      <c r="D92" s="166"/>
      <c r="E92" s="165"/>
      <c r="F92" s="126"/>
      <c r="G92" s="126"/>
      <c r="H92" s="126"/>
      <c r="I92" s="165"/>
      <c r="J92" s="165"/>
      <c r="K92" s="126"/>
      <c r="L92" s="126"/>
      <c r="M92" s="118"/>
      <c r="N92" s="103"/>
      <c r="O92" s="103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18"/>
      <c r="AJ92" s="118"/>
      <c r="AK92" s="118"/>
      <c r="AL92" s="118"/>
      <c r="AM92" s="119"/>
      <c r="AN92" s="116"/>
      <c r="AO92" s="94"/>
      <c r="AP92" s="94"/>
      <c r="AQ92" s="93"/>
      <c r="AR92" s="84"/>
      <c r="AS92" s="94"/>
      <c r="AT92" s="93"/>
      <c r="AU92" s="85"/>
      <c r="AV92" s="86"/>
    </row>
    <row r="93" spans="1:48" s="69" customFormat="1" ht="39.5" thickBot="1" x14ac:dyDescent="0.35">
      <c r="A93" s="123" t="s">
        <v>1</v>
      </c>
      <c r="B93" s="124" t="s">
        <v>3</v>
      </c>
      <c r="C93" s="125" t="s">
        <v>4</v>
      </c>
      <c r="D93" s="147" t="s">
        <v>96</v>
      </c>
      <c r="E93" s="246" t="s">
        <v>97</v>
      </c>
      <c r="F93" s="148" t="s">
        <v>134</v>
      </c>
      <c r="G93" s="27"/>
      <c r="H93" s="28" t="s">
        <v>4</v>
      </c>
      <c r="I93" s="147" t="s">
        <v>96</v>
      </c>
      <c r="J93" s="246" t="s">
        <v>97</v>
      </c>
      <c r="K93" s="275" t="s">
        <v>142</v>
      </c>
      <c r="L93" s="148" t="s">
        <v>134</v>
      </c>
      <c r="M93" s="89"/>
      <c r="N93" s="206" t="s">
        <v>130</v>
      </c>
      <c r="O93" s="89"/>
      <c r="P93" s="146" t="s">
        <v>4</v>
      </c>
      <c r="Q93" s="147" t="s">
        <v>96</v>
      </c>
      <c r="R93" s="148" t="s">
        <v>97</v>
      </c>
      <c r="S93" s="27"/>
      <c r="T93" s="28" t="s">
        <v>4</v>
      </c>
      <c r="U93" s="25" t="s">
        <v>96</v>
      </c>
      <c r="V93" s="26" t="s">
        <v>97</v>
      </c>
      <c r="W93" s="127"/>
      <c r="X93" s="127"/>
      <c r="Y93" s="127"/>
      <c r="Z93" s="127"/>
      <c r="AA93" s="146" t="s">
        <v>4</v>
      </c>
      <c r="AB93" s="147" t="s">
        <v>96</v>
      </c>
      <c r="AC93" s="148" t="s">
        <v>97</v>
      </c>
      <c r="AD93" s="27"/>
      <c r="AE93" s="220" t="s">
        <v>4</v>
      </c>
      <c r="AF93" s="221" t="s">
        <v>96</v>
      </c>
      <c r="AG93" s="216" t="s">
        <v>97</v>
      </c>
      <c r="AH93" s="26" t="s">
        <v>134</v>
      </c>
      <c r="AI93" s="89"/>
      <c r="AJ93" s="141"/>
      <c r="AK93" s="89"/>
      <c r="AL93" s="89"/>
      <c r="AM93" s="92"/>
      <c r="AN93" s="92"/>
      <c r="AO93" s="90"/>
      <c r="AP93" s="90"/>
      <c r="AQ93" s="85"/>
      <c r="AR93" s="90"/>
      <c r="AS93" s="90"/>
      <c r="AT93" s="85"/>
      <c r="AU93" s="85"/>
      <c r="AV93" s="86">
        <f t="shared" si="3"/>
        <v>0</v>
      </c>
    </row>
    <row r="94" spans="1:48" ht="15" customHeight="1" x14ac:dyDescent="0.3">
      <c r="A94" s="12" t="s">
        <v>5</v>
      </c>
      <c r="B94" s="207" t="s">
        <v>131</v>
      </c>
      <c r="C94" s="377" t="s">
        <v>14</v>
      </c>
      <c r="D94" s="136">
        <v>400</v>
      </c>
      <c r="E94" s="251">
        <v>1</v>
      </c>
      <c r="F94" s="252">
        <v>200</v>
      </c>
      <c r="G94" s="126"/>
      <c r="H94" s="418" t="s">
        <v>14</v>
      </c>
      <c r="I94" s="136">
        <v>300</v>
      </c>
      <c r="J94" s="255">
        <v>1</v>
      </c>
      <c r="K94" s="255">
        <v>1</v>
      </c>
      <c r="L94" s="137">
        <v>130</v>
      </c>
      <c r="M94" s="132"/>
      <c r="N94" s="183">
        <f>(I94-D94)/D94</f>
        <v>-0.25</v>
      </c>
      <c r="O94" s="144"/>
      <c r="P94" s="418"/>
      <c r="Q94" s="136"/>
      <c r="R94" s="137"/>
      <c r="S94" s="126"/>
      <c r="T94" s="418"/>
      <c r="U94" s="136"/>
      <c r="V94" s="137"/>
      <c r="W94" s="126"/>
      <c r="X94" s="126"/>
      <c r="Y94" s="126"/>
      <c r="Z94" s="126"/>
      <c r="AA94" s="377" t="s">
        <v>14</v>
      </c>
      <c r="AB94" s="152"/>
      <c r="AC94" s="153"/>
      <c r="AD94" s="126"/>
      <c r="AE94" s="377" t="s">
        <v>14</v>
      </c>
      <c r="AF94" s="154"/>
      <c r="AG94" s="228"/>
      <c r="AH94" s="167"/>
      <c r="AI94" s="132"/>
      <c r="AJ94" s="132"/>
      <c r="AK94" s="132"/>
      <c r="AL94" s="132"/>
      <c r="AM94" s="128">
        <v>463.99999999999994</v>
      </c>
      <c r="AN94" s="80" t="s">
        <v>66</v>
      </c>
      <c r="AO94" s="94"/>
      <c r="AP94" s="82">
        <v>538.24</v>
      </c>
      <c r="AQ94" s="83">
        <v>2</v>
      </c>
      <c r="AR94" s="94"/>
      <c r="AS94" s="82"/>
      <c r="AT94" s="83"/>
      <c r="AU94" s="85"/>
      <c r="AV94" s="86">
        <f t="shared" si="3"/>
        <v>463.99999999999994</v>
      </c>
    </row>
    <row r="95" spans="1:48" ht="15" customHeight="1" x14ac:dyDescent="0.3">
      <c r="A95" s="280" t="s">
        <v>7</v>
      </c>
      <c r="B95" s="281" t="s">
        <v>10</v>
      </c>
      <c r="C95" s="378"/>
      <c r="D95" s="149">
        <v>900</v>
      </c>
      <c r="E95" s="226">
        <v>1</v>
      </c>
      <c r="F95" s="253">
        <v>200</v>
      </c>
      <c r="G95" s="126"/>
      <c r="H95" s="419"/>
      <c r="I95" s="238" t="s">
        <v>95</v>
      </c>
      <c r="J95" s="256" t="s">
        <v>95</v>
      </c>
      <c r="K95" s="256">
        <v>1</v>
      </c>
      <c r="L95" s="138">
        <v>130</v>
      </c>
      <c r="M95" s="118"/>
      <c r="N95" s="190"/>
      <c r="O95" s="103"/>
      <c r="P95" s="419"/>
      <c r="Q95" s="259"/>
      <c r="R95" s="138"/>
      <c r="S95" s="126"/>
      <c r="T95" s="419"/>
      <c r="U95" s="259"/>
      <c r="V95" s="138"/>
      <c r="W95" s="126"/>
      <c r="X95" s="126"/>
      <c r="Y95" s="126"/>
      <c r="Z95" s="126"/>
      <c r="AA95" s="378"/>
      <c r="AB95" s="154"/>
      <c r="AC95" s="155"/>
      <c r="AD95" s="126"/>
      <c r="AE95" s="378"/>
      <c r="AF95" s="154"/>
      <c r="AG95" s="228"/>
      <c r="AH95" s="167"/>
      <c r="AI95" s="118"/>
      <c r="AJ95" s="118"/>
      <c r="AK95" s="118"/>
      <c r="AL95" s="118"/>
      <c r="AM95" s="128">
        <v>463.99999999999994</v>
      </c>
      <c r="AN95" s="80" t="s">
        <v>66</v>
      </c>
      <c r="AO95" s="94"/>
      <c r="AP95" s="82">
        <v>538.24</v>
      </c>
      <c r="AQ95" s="83">
        <v>2</v>
      </c>
      <c r="AR95" s="94"/>
      <c r="AS95" s="82"/>
      <c r="AT95" s="83"/>
      <c r="AU95" s="85"/>
      <c r="AV95" s="86">
        <f t="shared" si="3"/>
        <v>463.99999999999994</v>
      </c>
    </row>
    <row r="96" spans="1:48" ht="15" customHeight="1" x14ac:dyDescent="0.3">
      <c r="A96" s="280" t="s">
        <v>7</v>
      </c>
      <c r="B96" s="281" t="s">
        <v>119</v>
      </c>
      <c r="C96" s="378"/>
      <c r="D96" s="259"/>
      <c r="E96" s="226"/>
      <c r="F96" s="253"/>
      <c r="G96" s="126"/>
      <c r="H96" s="419"/>
      <c r="I96" s="259">
        <v>200</v>
      </c>
      <c r="J96" s="256">
        <v>1</v>
      </c>
      <c r="K96" s="256">
        <v>1</v>
      </c>
      <c r="L96" s="138">
        <v>130</v>
      </c>
      <c r="M96" s="118"/>
      <c r="N96" s="190"/>
      <c r="O96" s="103"/>
      <c r="P96" s="419"/>
      <c r="Q96" s="259"/>
      <c r="R96" s="138"/>
      <c r="S96" s="126"/>
      <c r="T96" s="419"/>
      <c r="U96" s="259"/>
      <c r="V96" s="138"/>
      <c r="W96" s="126"/>
      <c r="X96" s="126"/>
      <c r="Y96" s="126"/>
      <c r="Z96" s="126"/>
      <c r="AA96" s="378"/>
      <c r="AB96" s="154"/>
      <c r="AC96" s="155"/>
      <c r="AD96" s="126"/>
      <c r="AE96" s="378"/>
      <c r="AF96" s="154"/>
      <c r="AG96" s="228"/>
      <c r="AH96" s="167"/>
      <c r="AI96" s="118"/>
      <c r="AJ96" s="118"/>
      <c r="AK96" s="118"/>
      <c r="AL96" s="118"/>
      <c r="AM96" s="128">
        <v>81.199999999999989</v>
      </c>
      <c r="AN96" s="80" t="s">
        <v>66</v>
      </c>
      <c r="AO96" s="94"/>
      <c r="AP96" s="82">
        <v>104.4</v>
      </c>
      <c r="AQ96" s="83">
        <v>2</v>
      </c>
      <c r="AR96" s="94"/>
      <c r="AS96" s="82"/>
      <c r="AT96" s="83"/>
      <c r="AU96" s="85"/>
      <c r="AV96" s="86">
        <f t="shared" si="3"/>
        <v>81.199999999999989</v>
      </c>
    </row>
    <row r="97" spans="1:48" ht="15" customHeight="1" x14ac:dyDescent="0.3">
      <c r="A97" s="13" t="s">
        <v>7</v>
      </c>
      <c r="B97" s="120" t="s">
        <v>63</v>
      </c>
      <c r="C97" s="378"/>
      <c r="D97" s="259">
        <v>380</v>
      </c>
      <c r="E97" s="226">
        <v>2</v>
      </c>
      <c r="F97" s="253">
        <v>200</v>
      </c>
      <c r="G97" s="126"/>
      <c r="H97" s="419"/>
      <c r="I97" s="259">
        <v>220</v>
      </c>
      <c r="J97" s="256">
        <v>1</v>
      </c>
      <c r="K97" s="256">
        <v>1</v>
      </c>
      <c r="L97" s="138">
        <v>130</v>
      </c>
      <c r="M97" s="118"/>
      <c r="N97" s="184">
        <f>(I97-D97)/D97</f>
        <v>-0.42105263157894735</v>
      </c>
      <c r="O97" s="103"/>
      <c r="P97" s="419"/>
      <c r="Q97" s="259"/>
      <c r="R97" s="138"/>
      <c r="S97" s="126"/>
      <c r="T97" s="419"/>
      <c r="U97" s="259"/>
      <c r="V97" s="138"/>
      <c r="W97" s="126"/>
      <c r="X97" s="126"/>
      <c r="Y97" s="126"/>
      <c r="Z97" s="126"/>
      <c r="AA97" s="378"/>
      <c r="AB97" s="154"/>
      <c r="AC97" s="155"/>
      <c r="AD97" s="126"/>
      <c r="AE97" s="378"/>
      <c r="AF97" s="154"/>
      <c r="AG97" s="228"/>
      <c r="AH97" s="167"/>
      <c r="AI97" s="118"/>
      <c r="AJ97" s="118"/>
      <c r="AK97" s="118"/>
      <c r="AL97" s="118"/>
      <c r="AM97" s="128">
        <v>255.2</v>
      </c>
      <c r="AN97" s="80" t="s">
        <v>66</v>
      </c>
      <c r="AO97" s="94"/>
      <c r="AP97" s="82">
        <v>348</v>
      </c>
      <c r="AQ97" s="83">
        <v>2</v>
      </c>
      <c r="AR97" s="94"/>
      <c r="AS97" s="82"/>
      <c r="AT97" s="83"/>
      <c r="AU97" s="85"/>
      <c r="AV97" s="86">
        <f t="shared" si="3"/>
        <v>255.2</v>
      </c>
    </row>
    <row r="98" spans="1:48" ht="15" customHeight="1" x14ac:dyDescent="0.3">
      <c r="A98" s="13" t="s">
        <v>7</v>
      </c>
      <c r="B98" s="120" t="s">
        <v>8</v>
      </c>
      <c r="C98" s="378"/>
      <c r="D98" s="259">
        <v>400</v>
      </c>
      <c r="E98" s="226">
        <v>1</v>
      </c>
      <c r="F98" s="253">
        <v>200</v>
      </c>
      <c r="G98" s="126"/>
      <c r="H98" s="419"/>
      <c r="I98" s="259">
        <v>300</v>
      </c>
      <c r="J98" s="256">
        <v>1</v>
      </c>
      <c r="K98" s="256">
        <v>1</v>
      </c>
      <c r="L98" s="138">
        <v>130</v>
      </c>
      <c r="M98" s="118"/>
      <c r="N98" s="184">
        <f>(I98-D98)/D98</f>
        <v>-0.25</v>
      </c>
      <c r="O98" s="103"/>
      <c r="P98" s="419"/>
      <c r="Q98" s="259"/>
      <c r="R98" s="138"/>
      <c r="S98" s="126"/>
      <c r="T98" s="419"/>
      <c r="U98" s="259"/>
      <c r="V98" s="138"/>
      <c r="W98" s="126"/>
      <c r="X98" s="126"/>
      <c r="Y98" s="126"/>
      <c r="Z98" s="126"/>
      <c r="AA98" s="378"/>
      <c r="AB98" s="154"/>
      <c r="AC98" s="155"/>
      <c r="AD98" s="126"/>
      <c r="AE98" s="378"/>
      <c r="AF98" s="154"/>
      <c r="AG98" s="228"/>
      <c r="AH98" s="167"/>
      <c r="AI98" s="118"/>
      <c r="AJ98" s="118"/>
      <c r="AK98" s="118"/>
      <c r="AL98" s="118"/>
      <c r="AM98" s="128">
        <v>1044</v>
      </c>
      <c r="AN98" s="87" t="s">
        <v>66</v>
      </c>
      <c r="AO98" s="94"/>
      <c r="AP98" s="82"/>
      <c r="AQ98" s="83">
        <v>2</v>
      </c>
      <c r="AR98" s="94"/>
      <c r="AS98" s="82"/>
      <c r="AT98" s="83"/>
      <c r="AU98" s="85"/>
      <c r="AV98" s="86">
        <f t="shared" si="3"/>
        <v>1044</v>
      </c>
    </row>
    <row r="99" spans="1:48" ht="15" customHeight="1" x14ac:dyDescent="0.3">
      <c r="A99" s="13" t="s">
        <v>7</v>
      </c>
      <c r="B99" s="120" t="s">
        <v>11</v>
      </c>
      <c r="C99" s="378"/>
      <c r="D99" s="259">
        <v>75</v>
      </c>
      <c r="E99" s="226">
        <v>1</v>
      </c>
      <c r="F99" s="253">
        <v>200</v>
      </c>
      <c r="G99" s="126"/>
      <c r="H99" s="419"/>
      <c r="I99" s="259">
        <v>70</v>
      </c>
      <c r="J99" s="256">
        <v>1</v>
      </c>
      <c r="K99" s="256">
        <v>1</v>
      </c>
      <c r="L99" s="138">
        <v>130</v>
      </c>
      <c r="M99" s="118"/>
      <c r="N99" s="191">
        <f>(I99-D99)/D99</f>
        <v>-6.6666666666666666E-2</v>
      </c>
      <c r="O99" s="103"/>
      <c r="P99" s="419"/>
      <c r="Q99" s="259"/>
      <c r="R99" s="138"/>
      <c r="S99" s="126"/>
      <c r="T99" s="419"/>
      <c r="U99" s="259"/>
      <c r="V99" s="138"/>
      <c r="W99" s="126"/>
      <c r="X99" s="126"/>
      <c r="Y99" s="126"/>
      <c r="Z99" s="126"/>
      <c r="AA99" s="378"/>
      <c r="AB99" s="154"/>
      <c r="AC99" s="155"/>
      <c r="AD99" s="126"/>
      <c r="AE99" s="378"/>
      <c r="AF99" s="154"/>
      <c r="AG99" s="228"/>
      <c r="AH99" s="167"/>
      <c r="AI99" s="118"/>
      <c r="AJ99" s="118"/>
      <c r="AK99" s="118"/>
      <c r="AL99" s="118"/>
      <c r="AM99" s="128">
        <v>440.8</v>
      </c>
      <c r="AN99" s="80" t="s">
        <v>67</v>
      </c>
      <c r="AO99" s="94"/>
      <c r="AP99" s="82"/>
      <c r="AQ99" s="83">
        <v>7</v>
      </c>
      <c r="AR99" s="94"/>
      <c r="AS99" s="82"/>
      <c r="AT99" s="83"/>
      <c r="AU99" s="85"/>
      <c r="AV99" s="86">
        <f t="shared" si="3"/>
        <v>440.8</v>
      </c>
    </row>
    <row r="100" spans="1:48" ht="15" customHeight="1" x14ac:dyDescent="0.3">
      <c r="A100" s="13" t="s">
        <v>7</v>
      </c>
      <c r="B100" s="120" t="s">
        <v>118</v>
      </c>
      <c r="C100" s="378"/>
      <c r="D100" s="259">
        <v>350</v>
      </c>
      <c r="E100" s="226">
        <v>1</v>
      </c>
      <c r="F100" s="253">
        <v>200</v>
      </c>
      <c r="G100" s="126"/>
      <c r="H100" s="419"/>
      <c r="I100" s="259">
        <v>300</v>
      </c>
      <c r="J100" s="256">
        <v>1</v>
      </c>
      <c r="K100" s="256">
        <v>1</v>
      </c>
      <c r="L100" s="138">
        <v>130</v>
      </c>
      <c r="M100" s="118"/>
      <c r="N100" s="184">
        <f>(I100-D100)/D100</f>
        <v>-0.14285714285714285</v>
      </c>
      <c r="O100" s="103"/>
      <c r="P100" s="419"/>
      <c r="Q100" s="259"/>
      <c r="R100" s="138"/>
      <c r="S100" s="126"/>
      <c r="T100" s="419"/>
      <c r="U100" s="259"/>
      <c r="V100" s="138"/>
      <c r="W100" s="126"/>
      <c r="X100" s="126"/>
      <c r="Y100" s="126"/>
      <c r="Z100" s="126"/>
      <c r="AA100" s="378"/>
      <c r="AB100" s="154"/>
      <c r="AC100" s="155"/>
      <c r="AD100" s="126"/>
      <c r="AE100" s="378"/>
      <c r="AF100" s="154"/>
      <c r="AG100" s="228"/>
      <c r="AH100" s="167"/>
      <c r="AI100" s="118"/>
      <c r="AJ100" s="118"/>
      <c r="AK100" s="118"/>
      <c r="AL100" s="118"/>
      <c r="AM100" s="128">
        <v>1160</v>
      </c>
      <c r="AN100" s="87" t="s">
        <v>66</v>
      </c>
      <c r="AO100" s="94"/>
      <c r="AP100" s="82"/>
      <c r="AQ100" s="83">
        <v>7</v>
      </c>
      <c r="AR100" s="94"/>
      <c r="AS100" s="82"/>
      <c r="AT100" s="83"/>
      <c r="AU100" s="85"/>
      <c r="AV100" s="86">
        <f t="shared" si="3"/>
        <v>1160</v>
      </c>
    </row>
    <row r="101" spans="1:48" ht="15" customHeight="1" x14ac:dyDescent="0.3">
      <c r="A101" s="13" t="s">
        <v>7</v>
      </c>
      <c r="B101" s="120" t="s">
        <v>64</v>
      </c>
      <c r="C101" s="378"/>
      <c r="D101" s="259">
        <v>1000</v>
      </c>
      <c r="E101" s="226">
        <v>1</v>
      </c>
      <c r="F101" s="253">
        <v>200</v>
      </c>
      <c r="G101" s="126"/>
      <c r="H101" s="419"/>
      <c r="I101" s="259" t="s">
        <v>95</v>
      </c>
      <c r="J101" s="256" t="s">
        <v>95</v>
      </c>
      <c r="K101" s="256">
        <v>1</v>
      </c>
      <c r="L101" s="138">
        <v>130</v>
      </c>
      <c r="M101" s="118"/>
      <c r="N101" s="181"/>
      <c r="O101" s="103"/>
      <c r="P101" s="419"/>
      <c r="Q101" s="259"/>
      <c r="R101" s="138"/>
      <c r="S101" s="126"/>
      <c r="T101" s="419"/>
      <c r="U101" s="259"/>
      <c r="V101" s="138"/>
      <c r="W101" s="126"/>
      <c r="X101" s="126"/>
      <c r="Y101" s="126"/>
      <c r="Z101" s="126"/>
      <c r="AA101" s="378"/>
      <c r="AB101" s="154"/>
      <c r="AC101" s="155"/>
      <c r="AD101" s="126"/>
      <c r="AE101" s="378"/>
      <c r="AF101" s="154"/>
      <c r="AG101" s="228"/>
      <c r="AH101" s="167"/>
      <c r="AI101" s="118"/>
      <c r="AJ101" s="118"/>
      <c r="AK101" s="118"/>
      <c r="AL101" s="118"/>
      <c r="AM101" s="128">
        <v>464</v>
      </c>
      <c r="AN101" s="80" t="s">
        <v>68</v>
      </c>
      <c r="AO101" s="94"/>
      <c r="AP101" s="82">
        <v>429.2</v>
      </c>
      <c r="AQ101" s="83">
        <v>2</v>
      </c>
      <c r="AR101" s="94"/>
      <c r="AS101" s="82"/>
      <c r="AT101" s="83"/>
      <c r="AU101" s="85"/>
      <c r="AV101" s="86">
        <f t="shared" si="3"/>
        <v>429.2</v>
      </c>
    </row>
    <row r="102" spans="1:48" ht="15" customHeight="1" x14ac:dyDescent="0.3">
      <c r="A102" s="13" t="s">
        <v>7</v>
      </c>
      <c r="B102" s="120" t="s">
        <v>9</v>
      </c>
      <c r="C102" s="378"/>
      <c r="D102" s="259">
        <v>70</v>
      </c>
      <c r="E102" s="226">
        <v>1</v>
      </c>
      <c r="F102" s="253">
        <v>200</v>
      </c>
      <c r="G102" s="126"/>
      <c r="H102" s="419"/>
      <c r="I102" s="259">
        <v>70</v>
      </c>
      <c r="J102" s="256">
        <v>1</v>
      </c>
      <c r="K102" s="256">
        <v>1</v>
      </c>
      <c r="L102" s="138">
        <v>130</v>
      </c>
      <c r="M102" s="118"/>
      <c r="N102" s="191">
        <f>(I102-D102)/D102</f>
        <v>0</v>
      </c>
      <c r="O102" s="103"/>
      <c r="P102" s="419"/>
      <c r="Q102" s="259"/>
      <c r="R102" s="138"/>
      <c r="S102" s="126"/>
      <c r="T102" s="419"/>
      <c r="U102" s="259"/>
      <c r="V102" s="138"/>
      <c r="W102" s="126"/>
      <c r="X102" s="126"/>
      <c r="Y102" s="126"/>
      <c r="Z102" s="126"/>
      <c r="AA102" s="378"/>
      <c r="AB102" s="154"/>
      <c r="AC102" s="155"/>
      <c r="AD102" s="126"/>
      <c r="AE102" s="378"/>
      <c r="AF102" s="154"/>
      <c r="AG102" s="228"/>
      <c r="AH102" s="167"/>
      <c r="AI102" s="118"/>
      <c r="AJ102" s="118"/>
      <c r="AK102" s="118"/>
      <c r="AL102" s="118"/>
      <c r="AM102" s="128">
        <v>406</v>
      </c>
      <c r="AN102" s="80" t="s">
        <v>66</v>
      </c>
      <c r="AO102" s="94"/>
      <c r="AP102" s="82">
        <v>429.2</v>
      </c>
      <c r="AQ102" s="83">
        <v>2</v>
      </c>
      <c r="AR102" s="94"/>
      <c r="AS102" s="82"/>
      <c r="AT102" s="83"/>
      <c r="AU102" s="85"/>
      <c r="AV102" s="86">
        <f t="shared" si="3"/>
        <v>406</v>
      </c>
    </row>
    <row r="103" spans="1:48" ht="15" customHeight="1" x14ac:dyDescent="0.3">
      <c r="A103" s="13" t="s">
        <v>7</v>
      </c>
      <c r="B103" s="120" t="s">
        <v>62</v>
      </c>
      <c r="C103" s="378"/>
      <c r="D103" s="259">
        <v>220</v>
      </c>
      <c r="E103" s="226">
        <v>1</v>
      </c>
      <c r="F103" s="253">
        <v>200</v>
      </c>
      <c r="G103" s="126"/>
      <c r="H103" s="419"/>
      <c r="I103" s="259">
        <v>250</v>
      </c>
      <c r="J103" s="256">
        <v>1</v>
      </c>
      <c r="K103" s="256">
        <v>1</v>
      </c>
      <c r="L103" s="138">
        <v>130</v>
      </c>
      <c r="M103" s="118"/>
      <c r="N103" s="187">
        <f>(I103-D103)/D103</f>
        <v>0.13636363636363635</v>
      </c>
      <c r="O103" s="103"/>
      <c r="P103" s="419"/>
      <c r="Q103" s="259"/>
      <c r="R103" s="138"/>
      <c r="S103" s="126"/>
      <c r="T103" s="419"/>
      <c r="U103" s="259"/>
      <c r="V103" s="138"/>
      <c r="W103" s="126"/>
      <c r="X103" s="126"/>
      <c r="Y103" s="126"/>
      <c r="Z103" s="126"/>
      <c r="AA103" s="378"/>
      <c r="AB103" s="154"/>
      <c r="AC103" s="155"/>
      <c r="AD103" s="126"/>
      <c r="AE103" s="378"/>
      <c r="AF103" s="154"/>
      <c r="AG103" s="228"/>
      <c r="AH103" s="167"/>
      <c r="AI103" s="118"/>
      <c r="AJ103" s="118"/>
      <c r="AK103" s="118"/>
      <c r="AL103" s="118"/>
      <c r="AM103" s="128">
        <v>87</v>
      </c>
      <c r="AN103" s="80" t="s">
        <v>66</v>
      </c>
      <c r="AO103" s="94"/>
      <c r="AP103" s="82"/>
      <c r="AQ103" s="83">
        <v>2</v>
      </c>
      <c r="AR103" s="94"/>
      <c r="AS103" s="82"/>
      <c r="AT103" s="83"/>
      <c r="AU103" s="85"/>
      <c r="AV103" s="86">
        <f t="shared" si="3"/>
        <v>87</v>
      </c>
    </row>
    <row r="104" spans="1:48" ht="15" customHeight="1" thickBot="1" x14ac:dyDescent="0.35">
      <c r="A104" s="14" t="s">
        <v>7</v>
      </c>
      <c r="B104" s="121" t="s">
        <v>65</v>
      </c>
      <c r="C104" s="379"/>
      <c r="D104" s="260">
        <v>400</v>
      </c>
      <c r="E104" s="227">
        <v>3</v>
      </c>
      <c r="F104" s="254">
        <v>200</v>
      </c>
      <c r="G104" s="126"/>
      <c r="H104" s="420"/>
      <c r="I104" s="260">
        <v>250</v>
      </c>
      <c r="J104" s="257">
        <v>1</v>
      </c>
      <c r="K104" s="257">
        <v>1</v>
      </c>
      <c r="L104" s="139">
        <v>130</v>
      </c>
      <c r="M104" s="118"/>
      <c r="N104" s="185">
        <f>(I104-D104)/D104</f>
        <v>-0.375</v>
      </c>
      <c r="O104" s="103"/>
      <c r="P104" s="420"/>
      <c r="Q104" s="260"/>
      <c r="R104" s="139"/>
      <c r="S104" s="126"/>
      <c r="T104" s="420"/>
      <c r="U104" s="260"/>
      <c r="V104" s="139"/>
      <c r="W104" s="126"/>
      <c r="X104" s="126"/>
      <c r="Y104" s="126"/>
      <c r="Z104" s="126"/>
      <c r="AA104" s="379"/>
      <c r="AB104" s="156"/>
      <c r="AC104" s="157"/>
      <c r="AD104" s="126"/>
      <c r="AE104" s="379"/>
      <c r="AF104" s="156"/>
      <c r="AG104" s="229"/>
      <c r="AH104" s="157"/>
      <c r="AI104" s="118"/>
      <c r="AJ104" s="118"/>
      <c r="AK104" s="118"/>
      <c r="AL104" s="118"/>
      <c r="AM104" s="115"/>
      <c r="AN104" s="116"/>
      <c r="AO104" s="94"/>
      <c r="AP104" s="94"/>
      <c r="AQ104" s="93"/>
      <c r="AR104" s="94"/>
      <c r="AS104" s="94"/>
      <c r="AT104" s="93"/>
      <c r="AU104" s="85"/>
      <c r="AV104" s="86"/>
    </row>
    <row r="105" spans="1:48" ht="15" customHeight="1" thickBot="1" x14ac:dyDescent="0.35">
      <c r="A105" s="113"/>
      <c r="B105" s="113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5"/>
      <c r="AN105" s="116"/>
      <c r="AO105" s="94"/>
      <c r="AP105" s="94"/>
      <c r="AQ105" s="93"/>
      <c r="AR105" s="94"/>
      <c r="AS105" s="94"/>
      <c r="AT105" s="93"/>
      <c r="AU105" s="85"/>
      <c r="AV105" s="86"/>
    </row>
    <row r="106" spans="1:48" s="69" customFormat="1" ht="39.5" thickBot="1" x14ac:dyDescent="0.35">
      <c r="A106" s="123" t="s">
        <v>1</v>
      </c>
      <c r="B106" s="124" t="s">
        <v>3</v>
      </c>
      <c r="C106" s="125" t="s">
        <v>4</v>
      </c>
      <c r="D106" s="147" t="s">
        <v>96</v>
      </c>
      <c r="E106" s="246" t="s">
        <v>97</v>
      </c>
      <c r="F106" s="148" t="s">
        <v>134</v>
      </c>
      <c r="G106" s="27"/>
      <c r="H106" s="28" t="s">
        <v>4</v>
      </c>
      <c r="I106" s="147" t="s">
        <v>96</v>
      </c>
      <c r="J106" s="246" t="s">
        <v>97</v>
      </c>
      <c r="K106" s="275" t="s">
        <v>142</v>
      </c>
      <c r="L106" s="148" t="s">
        <v>134</v>
      </c>
      <c r="M106" s="89"/>
      <c r="N106" s="206" t="s">
        <v>130</v>
      </c>
      <c r="O106" s="89"/>
      <c r="P106" s="146" t="s">
        <v>4</v>
      </c>
      <c r="Q106" s="147" t="s">
        <v>96</v>
      </c>
      <c r="R106" s="148" t="s">
        <v>97</v>
      </c>
      <c r="S106" s="27"/>
      <c r="T106" s="28" t="s">
        <v>4</v>
      </c>
      <c r="U106" s="25" t="s">
        <v>96</v>
      </c>
      <c r="V106" s="26" t="s">
        <v>97</v>
      </c>
      <c r="W106" s="127"/>
      <c r="X106" s="127"/>
      <c r="Y106" s="127"/>
      <c r="Z106" s="127"/>
      <c r="AA106" s="146" t="s">
        <v>4</v>
      </c>
      <c r="AB106" s="147" t="s">
        <v>96</v>
      </c>
      <c r="AC106" s="148" t="s">
        <v>97</v>
      </c>
      <c r="AD106" s="27"/>
      <c r="AE106" s="220" t="s">
        <v>4</v>
      </c>
      <c r="AF106" s="221" t="s">
        <v>96</v>
      </c>
      <c r="AG106" s="216" t="s">
        <v>97</v>
      </c>
      <c r="AH106" s="26" t="s">
        <v>134</v>
      </c>
      <c r="AI106" s="89"/>
      <c r="AJ106" s="141"/>
      <c r="AK106" s="89"/>
      <c r="AL106" s="89"/>
      <c r="AM106" s="92"/>
      <c r="AN106" s="92"/>
      <c r="AO106" s="90"/>
      <c r="AP106" s="85"/>
      <c r="AQ106" s="85"/>
      <c r="AR106" s="90"/>
      <c r="AS106" s="85"/>
      <c r="AT106" s="85"/>
      <c r="AU106" s="85"/>
      <c r="AV106" s="86">
        <f t="shared" si="3"/>
        <v>0</v>
      </c>
    </row>
    <row r="107" spans="1:48" ht="15" customHeight="1" x14ac:dyDescent="0.3">
      <c r="A107" s="12" t="s">
        <v>5</v>
      </c>
      <c r="B107" s="207" t="s">
        <v>131</v>
      </c>
      <c r="C107" s="377" t="s">
        <v>15</v>
      </c>
      <c r="D107" s="136">
        <v>400</v>
      </c>
      <c r="E107" s="251">
        <v>1</v>
      </c>
      <c r="F107" s="252">
        <v>200</v>
      </c>
      <c r="G107" s="126"/>
      <c r="H107" s="418" t="s">
        <v>15</v>
      </c>
      <c r="I107" s="136">
        <v>400</v>
      </c>
      <c r="J107" s="251">
        <v>1</v>
      </c>
      <c r="K107" s="255">
        <v>1</v>
      </c>
      <c r="L107" s="137">
        <v>150</v>
      </c>
      <c r="M107" s="132"/>
      <c r="N107" s="192">
        <f>(I107-D107)/D107</f>
        <v>0</v>
      </c>
      <c r="O107" s="144"/>
      <c r="P107" s="418"/>
      <c r="Q107" s="136"/>
      <c r="R107" s="137"/>
      <c r="S107" s="126"/>
      <c r="T107" s="418"/>
      <c r="U107" s="136"/>
      <c r="V107" s="137"/>
      <c r="W107" s="126"/>
      <c r="X107" s="126"/>
      <c r="Y107" s="126"/>
      <c r="Z107" s="126"/>
      <c r="AA107" s="377" t="s">
        <v>15</v>
      </c>
      <c r="AB107" s="152"/>
      <c r="AC107" s="153"/>
      <c r="AD107" s="126"/>
      <c r="AE107" s="377" t="s">
        <v>15</v>
      </c>
      <c r="AF107" s="154"/>
      <c r="AG107" s="228"/>
      <c r="AH107" s="167"/>
      <c r="AI107" s="132"/>
      <c r="AJ107" s="132"/>
      <c r="AK107" s="132"/>
      <c r="AL107" s="132"/>
      <c r="AM107" s="128">
        <v>463.99999999999994</v>
      </c>
      <c r="AN107" s="80" t="s">
        <v>66</v>
      </c>
      <c r="AO107" s="94"/>
      <c r="AP107" s="82">
        <v>538.24</v>
      </c>
      <c r="AQ107" s="83">
        <v>2</v>
      </c>
      <c r="AR107" s="94"/>
      <c r="AS107" s="82"/>
      <c r="AT107" s="83"/>
      <c r="AU107" s="85"/>
      <c r="AV107" s="86">
        <f t="shared" si="3"/>
        <v>463.99999999999994</v>
      </c>
    </row>
    <row r="108" spans="1:48" ht="15" customHeight="1" x14ac:dyDescent="0.3">
      <c r="A108" s="13" t="s">
        <v>7</v>
      </c>
      <c r="B108" s="120" t="s">
        <v>10</v>
      </c>
      <c r="C108" s="378"/>
      <c r="D108" s="149">
        <v>950</v>
      </c>
      <c r="E108" s="226">
        <v>1</v>
      </c>
      <c r="F108" s="253">
        <v>200</v>
      </c>
      <c r="G108" s="126"/>
      <c r="H108" s="419"/>
      <c r="I108" s="259">
        <v>750</v>
      </c>
      <c r="J108" s="226">
        <v>2</v>
      </c>
      <c r="K108" s="256">
        <v>1</v>
      </c>
      <c r="L108" s="138">
        <v>150</v>
      </c>
      <c r="M108" s="118"/>
      <c r="N108" s="239">
        <f>(I108-850)/I108</f>
        <v>-0.13333333333333333</v>
      </c>
      <c r="O108" s="103"/>
      <c r="P108" s="419"/>
      <c r="Q108" s="259"/>
      <c r="R108" s="138"/>
      <c r="S108" s="126"/>
      <c r="T108" s="419"/>
      <c r="U108" s="259"/>
      <c r="V108" s="138"/>
      <c r="W108" s="126"/>
      <c r="X108" s="126"/>
      <c r="Y108" s="126"/>
      <c r="Z108" s="126"/>
      <c r="AA108" s="378"/>
      <c r="AB108" s="154"/>
      <c r="AC108" s="155"/>
      <c r="AD108" s="126"/>
      <c r="AE108" s="378"/>
      <c r="AF108" s="154"/>
      <c r="AG108" s="228"/>
      <c r="AH108" s="167"/>
      <c r="AI108" s="118"/>
      <c r="AJ108" s="118"/>
      <c r="AK108" s="118"/>
      <c r="AL108" s="118"/>
      <c r="AM108" s="128">
        <v>463.99999999999994</v>
      </c>
      <c r="AN108" s="80" t="s">
        <v>66</v>
      </c>
      <c r="AO108" s="94"/>
      <c r="AP108" s="82">
        <v>538.24</v>
      </c>
      <c r="AQ108" s="83">
        <v>2</v>
      </c>
      <c r="AR108" s="94"/>
      <c r="AS108" s="82"/>
      <c r="AT108" s="83"/>
      <c r="AU108" s="85"/>
      <c r="AV108" s="86">
        <f t="shared" si="3"/>
        <v>463.99999999999994</v>
      </c>
    </row>
    <row r="109" spans="1:48" ht="15" customHeight="1" x14ac:dyDescent="0.3">
      <c r="A109" s="280" t="s">
        <v>7</v>
      </c>
      <c r="B109" s="281" t="s">
        <v>119</v>
      </c>
      <c r="C109" s="378"/>
      <c r="D109" s="259"/>
      <c r="E109" s="226"/>
      <c r="F109" s="253"/>
      <c r="G109" s="126"/>
      <c r="H109" s="419"/>
      <c r="I109" s="259">
        <v>300</v>
      </c>
      <c r="J109" s="226">
        <v>1</v>
      </c>
      <c r="K109" s="256">
        <v>1</v>
      </c>
      <c r="L109" s="138">
        <v>150</v>
      </c>
      <c r="M109" s="118"/>
      <c r="N109" s="190"/>
      <c r="O109" s="103"/>
      <c r="P109" s="419"/>
      <c r="Q109" s="259"/>
      <c r="R109" s="138"/>
      <c r="S109" s="126"/>
      <c r="T109" s="419"/>
      <c r="U109" s="259"/>
      <c r="V109" s="138"/>
      <c r="W109" s="126"/>
      <c r="X109" s="126"/>
      <c r="Y109" s="126"/>
      <c r="Z109" s="126"/>
      <c r="AA109" s="378"/>
      <c r="AB109" s="154"/>
      <c r="AC109" s="155"/>
      <c r="AD109" s="126"/>
      <c r="AE109" s="378"/>
      <c r="AF109" s="154"/>
      <c r="AG109" s="228"/>
      <c r="AH109" s="167"/>
      <c r="AI109" s="118"/>
      <c r="AJ109" s="118"/>
      <c r="AK109" s="118"/>
      <c r="AL109" s="118"/>
      <c r="AM109" s="128">
        <v>81.199999999999989</v>
      </c>
      <c r="AN109" s="80" t="s">
        <v>66</v>
      </c>
      <c r="AO109" s="94"/>
      <c r="AP109" s="82">
        <v>116</v>
      </c>
      <c r="AQ109" s="83">
        <v>2</v>
      </c>
      <c r="AR109" s="94"/>
      <c r="AS109" s="82"/>
      <c r="AT109" s="83"/>
      <c r="AU109" s="85"/>
      <c r="AV109" s="86">
        <f t="shared" si="3"/>
        <v>81.199999999999989</v>
      </c>
    </row>
    <row r="110" spans="1:48" ht="15" customHeight="1" x14ac:dyDescent="0.3">
      <c r="A110" s="13" t="s">
        <v>7</v>
      </c>
      <c r="B110" s="120" t="s">
        <v>63</v>
      </c>
      <c r="C110" s="378"/>
      <c r="D110" s="259">
        <v>420</v>
      </c>
      <c r="E110" s="226">
        <v>2</v>
      </c>
      <c r="F110" s="253">
        <v>200</v>
      </c>
      <c r="G110" s="126"/>
      <c r="H110" s="419"/>
      <c r="I110" s="259">
        <v>450</v>
      </c>
      <c r="J110" s="226">
        <v>1</v>
      </c>
      <c r="K110" s="256">
        <v>1</v>
      </c>
      <c r="L110" s="138">
        <v>150</v>
      </c>
      <c r="M110" s="118"/>
      <c r="N110" s="187">
        <f t="shared" ref="N110:N117" si="6">(I110-D110)/D110</f>
        <v>7.1428571428571425E-2</v>
      </c>
      <c r="O110" s="103"/>
      <c r="P110" s="419"/>
      <c r="Q110" s="259"/>
      <c r="R110" s="138"/>
      <c r="S110" s="126"/>
      <c r="T110" s="419"/>
      <c r="U110" s="259"/>
      <c r="V110" s="138"/>
      <c r="W110" s="126"/>
      <c r="X110" s="126"/>
      <c r="Y110" s="126"/>
      <c r="Z110" s="126"/>
      <c r="AA110" s="378"/>
      <c r="AB110" s="154"/>
      <c r="AC110" s="155"/>
      <c r="AD110" s="126"/>
      <c r="AE110" s="378"/>
      <c r="AF110" s="154"/>
      <c r="AG110" s="228"/>
      <c r="AH110" s="167"/>
      <c r="AI110" s="118"/>
      <c r="AJ110" s="118"/>
      <c r="AK110" s="118"/>
      <c r="AL110" s="118"/>
      <c r="AM110" s="128">
        <v>231.99999999999997</v>
      </c>
      <c r="AN110" s="80" t="s">
        <v>66</v>
      </c>
      <c r="AO110" s="94"/>
      <c r="AP110" s="82">
        <v>348</v>
      </c>
      <c r="AQ110" s="83">
        <v>2</v>
      </c>
      <c r="AR110" s="94"/>
      <c r="AS110" s="82"/>
      <c r="AT110" s="83"/>
      <c r="AU110" s="85"/>
      <c r="AV110" s="86">
        <f t="shared" si="3"/>
        <v>231.99999999999997</v>
      </c>
    </row>
    <row r="111" spans="1:48" ht="15" customHeight="1" x14ac:dyDescent="0.3">
      <c r="A111" s="13" t="s">
        <v>7</v>
      </c>
      <c r="B111" s="120" t="s">
        <v>8</v>
      </c>
      <c r="C111" s="378"/>
      <c r="D111" s="259">
        <v>400</v>
      </c>
      <c r="E111" s="226">
        <v>1</v>
      </c>
      <c r="F111" s="253">
        <v>200</v>
      </c>
      <c r="G111" s="126"/>
      <c r="H111" s="419"/>
      <c r="I111" s="259">
        <v>350</v>
      </c>
      <c r="J111" s="226">
        <v>1</v>
      </c>
      <c r="K111" s="256">
        <v>1</v>
      </c>
      <c r="L111" s="138">
        <v>150</v>
      </c>
      <c r="M111" s="118"/>
      <c r="N111" s="184">
        <f t="shared" si="6"/>
        <v>-0.125</v>
      </c>
      <c r="O111" s="103"/>
      <c r="P111" s="419"/>
      <c r="Q111" s="259"/>
      <c r="R111" s="138"/>
      <c r="S111" s="126"/>
      <c r="T111" s="419"/>
      <c r="U111" s="259"/>
      <c r="V111" s="138"/>
      <c r="W111" s="126"/>
      <c r="X111" s="126"/>
      <c r="Y111" s="126"/>
      <c r="Z111" s="126"/>
      <c r="AA111" s="378"/>
      <c r="AB111" s="154"/>
      <c r="AC111" s="155"/>
      <c r="AD111" s="126"/>
      <c r="AE111" s="378"/>
      <c r="AF111" s="154"/>
      <c r="AG111" s="228"/>
      <c r="AH111" s="167"/>
      <c r="AI111" s="118"/>
      <c r="AJ111" s="118"/>
      <c r="AK111" s="118"/>
      <c r="AL111" s="118"/>
      <c r="AM111" s="128">
        <v>1102</v>
      </c>
      <c r="AN111" s="87" t="s">
        <v>66</v>
      </c>
      <c r="AO111" s="94"/>
      <c r="AP111" s="82"/>
      <c r="AQ111" s="83">
        <v>2</v>
      </c>
      <c r="AR111" s="94"/>
      <c r="AS111" s="82"/>
      <c r="AT111" s="83"/>
      <c r="AU111" s="85"/>
      <c r="AV111" s="86">
        <f t="shared" si="3"/>
        <v>1102</v>
      </c>
    </row>
    <row r="112" spans="1:48" ht="15" customHeight="1" x14ac:dyDescent="0.3">
      <c r="A112" s="13" t="s">
        <v>7</v>
      </c>
      <c r="B112" s="120" t="s">
        <v>11</v>
      </c>
      <c r="C112" s="378"/>
      <c r="D112" s="259">
        <v>70</v>
      </c>
      <c r="E112" s="226">
        <v>1</v>
      </c>
      <c r="F112" s="253">
        <v>200</v>
      </c>
      <c r="G112" s="126"/>
      <c r="H112" s="419"/>
      <c r="I112" s="259">
        <v>75</v>
      </c>
      <c r="J112" s="226">
        <v>1</v>
      </c>
      <c r="K112" s="256">
        <v>1</v>
      </c>
      <c r="L112" s="138">
        <v>150</v>
      </c>
      <c r="M112" s="118"/>
      <c r="N112" s="187">
        <f t="shared" si="6"/>
        <v>7.1428571428571425E-2</v>
      </c>
      <c r="O112" s="103"/>
      <c r="P112" s="419"/>
      <c r="Q112" s="259"/>
      <c r="R112" s="138"/>
      <c r="S112" s="126"/>
      <c r="T112" s="419"/>
      <c r="U112" s="259"/>
      <c r="V112" s="138"/>
      <c r="W112" s="126"/>
      <c r="X112" s="126"/>
      <c r="Y112" s="126"/>
      <c r="Z112" s="126"/>
      <c r="AA112" s="378"/>
      <c r="AB112" s="154"/>
      <c r="AC112" s="155"/>
      <c r="AD112" s="126"/>
      <c r="AE112" s="378"/>
      <c r="AF112" s="154"/>
      <c r="AG112" s="228"/>
      <c r="AH112" s="167"/>
      <c r="AI112" s="118"/>
      <c r="AJ112" s="118"/>
      <c r="AK112" s="118"/>
      <c r="AL112" s="118"/>
      <c r="AM112" s="128">
        <v>487.2</v>
      </c>
      <c r="AN112" s="80" t="s">
        <v>67</v>
      </c>
      <c r="AO112" s="94"/>
      <c r="AP112" s="82"/>
      <c r="AQ112" s="83">
        <v>7</v>
      </c>
      <c r="AR112" s="94"/>
      <c r="AS112" s="82"/>
      <c r="AT112" s="83"/>
      <c r="AU112" s="85"/>
      <c r="AV112" s="86">
        <f t="shared" si="3"/>
        <v>487.2</v>
      </c>
    </row>
    <row r="113" spans="1:48" ht="15" customHeight="1" x14ac:dyDescent="0.3">
      <c r="A113" s="13" t="s">
        <v>7</v>
      </c>
      <c r="B113" s="120" t="s">
        <v>118</v>
      </c>
      <c r="C113" s="378"/>
      <c r="D113" s="259">
        <v>420</v>
      </c>
      <c r="E113" s="226">
        <v>1</v>
      </c>
      <c r="F113" s="253">
        <v>200</v>
      </c>
      <c r="G113" s="126"/>
      <c r="H113" s="419"/>
      <c r="I113" s="259">
        <v>350</v>
      </c>
      <c r="J113" s="226">
        <v>1</v>
      </c>
      <c r="K113" s="256">
        <v>1</v>
      </c>
      <c r="L113" s="138">
        <v>150</v>
      </c>
      <c r="M113" s="118"/>
      <c r="N113" s="184">
        <f t="shared" si="6"/>
        <v>-0.16666666666666666</v>
      </c>
      <c r="O113" s="103"/>
      <c r="P113" s="419"/>
      <c r="Q113" s="259"/>
      <c r="R113" s="138"/>
      <c r="S113" s="126"/>
      <c r="T113" s="419"/>
      <c r="U113" s="259"/>
      <c r="V113" s="138"/>
      <c r="W113" s="126"/>
      <c r="X113" s="126"/>
      <c r="Y113" s="126"/>
      <c r="Z113" s="126"/>
      <c r="AA113" s="378"/>
      <c r="AB113" s="154"/>
      <c r="AC113" s="155"/>
      <c r="AD113" s="126"/>
      <c r="AE113" s="378"/>
      <c r="AF113" s="154"/>
      <c r="AG113" s="228"/>
      <c r="AH113" s="167"/>
      <c r="AI113" s="118"/>
      <c r="AJ113" s="118"/>
      <c r="AK113" s="118"/>
      <c r="AL113" s="118"/>
      <c r="AM113" s="128">
        <v>1160</v>
      </c>
      <c r="AN113" s="87" t="s">
        <v>66</v>
      </c>
      <c r="AO113" s="94"/>
      <c r="AP113" s="82"/>
      <c r="AQ113" s="83">
        <v>7</v>
      </c>
      <c r="AR113" s="94"/>
      <c r="AS113" s="82"/>
      <c r="AT113" s="83"/>
      <c r="AU113" s="85"/>
      <c r="AV113" s="86">
        <f t="shared" si="3"/>
        <v>1160</v>
      </c>
    </row>
    <row r="114" spans="1:48" ht="15" customHeight="1" x14ac:dyDescent="0.3">
      <c r="A114" s="13" t="s">
        <v>7</v>
      </c>
      <c r="B114" s="120" t="s">
        <v>64</v>
      </c>
      <c r="C114" s="378"/>
      <c r="D114" s="259">
        <v>1000</v>
      </c>
      <c r="E114" s="226">
        <v>1</v>
      </c>
      <c r="F114" s="253">
        <v>200</v>
      </c>
      <c r="G114" s="126"/>
      <c r="H114" s="419"/>
      <c r="I114" s="259">
        <v>1000</v>
      </c>
      <c r="J114" s="226">
        <v>3</v>
      </c>
      <c r="K114" s="256">
        <v>1</v>
      </c>
      <c r="L114" s="138">
        <v>150</v>
      </c>
      <c r="M114" s="118"/>
      <c r="N114" s="191">
        <f t="shared" si="6"/>
        <v>0</v>
      </c>
      <c r="O114" s="103"/>
      <c r="P114" s="419"/>
      <c r="Q114" s="259"/>
      <c r="R114" s="138"/>
      <c r="S114" s="126"/>
      <c r="T114" s="419"/>
      <c r="U114" s="259"/>
      <c r="V114" s="138"/>
      <c r="W114" s="126"/>
      <c r="X114" s="126"/>
      <c r="Y114" s="126"/>
      <c r="Z114" s="126"/>
      <c r="AA114" s="378"/>
      <c r="AB114" s="154"/>
      <c r="AC114" s="155"/>
      <c r="AD114" s="126"/>
      <c r="AE114" s="378"/>
      <c r="AF114" s="154"/>
      <c r="AG114" s="228"/>
      <c r="AH114" s="167"/>
      <c r="AI114" s="118"/>
      <c r="AJ114" s="118"/>
      <c r="AK114" s="118"/>
      <c r="AL114" s="118"/>
      <c r="AM114" s="128">
        <v>464</v>
      </c>
      <c r="AN114" s="80" t="s">
        <v>68</v>
      </c>
      <c r="AO114" s="94"/>
      <c r="AP114" s="82">
        <v>429.2</v>
      </c>
      <c r="AQ114" s="83">
        <v>2</v>
      </c>
      <c r="AR114" s="94"/>
      <c r="AS114" s="82"/>
      <c r="AT114" s="83"/>
      <c r="AU114" s="85"/>
      <c r="AV114" s="86">
        <f t="shared" si="3"/>
        <v>429.2</v>
      </c>
    </row>
    <row r="115" spans="1:48" ht="15" customHeight="1" x14ac:dyDescent="0.3">
      <c r="A115" s="13" t="s">
        <v>7</v>
      </c>
      <c r="B115" s="120" t="s">
        <v>9</v>
      </c>
      <c r="C115" s="378"/>
      <c r="D115" s="259">
        <v>70</v>
      </c>
      <c r="E115" s="226">
        <v>1</v>
      </c>
      <c r="F115" s="253">
        <v>200</v>
      </c>
      <c r="G115" s="126"/>
      <c r="H115" s="419"/>
      <c r="I115" s="259">
        <v>85</v>
      </c>
      <c r="J115" s="226">
        <v>1</v>
      </c>
      <c r="K115" s="256">
        <v>1</v>
      </c>
      <c r="L115" s="138">
        <v>150</v>
      </c>
      <c r="M115" s="118"/>
      <c r="N115" s="187">
        <f t="shared" si="6"/>
        <v>0.21428571428571427</v>
      </c>
      <c r="O115" s="103"/>
      <c r="P115" s="419"/>
      <c r="Q115" s="259"/>
      <c r="R115" s="138"/>
      <c r="S115" s="126"/>
      <c r="T115" s="419"/>
      <c r="U115" s="259"/>
      <c r="V115" s="138"/>
      <c r="W115" s="126"/>
      <c r="X115" s="126"/>
      <c r="Y115" s="126"/>
      <c r="Z115" s="126"/>
      <c r="AA115" s="378"/>
      <c r="AB115" s="154"/>
      <c r="AC115" s="155"/>
      <c r="AD115" s="126"/>
      <c r="AE115" s="378"/>
      <c r="AF115" s="154"/>
      <c r="AG115" s="228"/>
      <c r="AH115" s="167"/>
      <c r="AI115" s="118"/>
      <c r="AJ115" s="118"/>
      <c r="AK115" s="118"/>
      <c r="AL115" s="118"/>
      <c r="AM115" s="128">
        <v>487.2</v>
      </c>
      <c r="AN115" s="80" t="s">
        <v>66</v>
      </c>
      <c r="AO115" s="94"/>
      <c r="AP115" s="82">
        <v>429.2</v>
      </c>
      <c r="AQ115" s="83">
        <v>2</v>
      </c>
      <c r="AR115" s="94"/>
      <c r="AS115" s="82"/>
      <c r="AT115" s="83"/>
      <c r="AU115" s="85"/>
      <c r="AV115" s="86">
        <f t="shared" si="3"/>
        <v>429.2</v>
      </c>
    </row>
    <row r="116" spans="1:48" ht="15" customHeight="1" x14ac:dyDescent="0.3">
      <c r="A116" s="13" t="s">
        <v>7</v>
      </c>
      <c r="B116" s="120" t="s">
        <v>62</v>
      </c>
      <c r="C116" s="378"/>
      <c r="D116" s="259">
        <v>200</v>
      </c>
      <c r="E116" s="226">
        <v>1</v>
      </c>
      <c r="F116" s="253">
        <v>200</v>
      </c>
      <c r="G116" s="126"/>
      <c r="H116" s="419"/>
      <c r="I116" s="259">
        <v>300</v>
      </c>
      <c r="J116" s="226">
        <v>1</v>
      </c>
      <c r="K116" s="256">
        <v>1</v>
      </c>
      <c r="L116" s="138">
        <v>150</v>
      </c>
      <c r="M116" s="118"/>
      <c r="N116" s="187">
        <f t="shared" si="6"/>
        <v>0.5</v>
      </c>
      <c r="O116" s="103"/>
      <c r="P116" s="419"/>
      <c r="Q116" s="259"/>
      <c r="R116" s="138"/>
      <c r="S116" s="126"/>
      <c r="T116" s="419"/>
      <c r="U116" s="259"/>
      <c r="V116" s="138"/>
      <c r="W116" s="126"/>
      <c r="X116" s="126"/>
      <c r="Y116" s="126"/>
      <c r="Z116" s="126"/>
      <c r="AA116" s="378"/>
      <c r="AB116" s="154"/>
      <c r="AC116" s="155"/>
      <c r="AD116" s="126"/>
      <c r="AE116" s="378"/>
      <c r="AF116" s="154"/>
      <c r="AG116" s="228"/>
      <c r="AH116" s="167"/>
      <c r="AI116" s="118"/>
      <c r="AJ116" s="118"/>
      <c r="AK116" s="118"/>
      <c r="AL116" s="118"/>
      <c r="AM116" s="128">
        <v>81.2</v>
      </c>
      <c r="AN116" s="80" t="s">
        <v>66</v>
      </c>
      <c r="AO116" s="94"/>
      <c r="AP116" s="82"/>
      <c r="AQ116" s="83">
        <v>2</v>
      </c>
      <c r="AR116" s="94"/>
      <c r="AS116" s="82"/>
      <c r="AT116" s="83"/>
      <c r="AU116" s="85"/>
      <c r="AV116" s="86">
        <f t="shared" si="3"/>
        <v>81.2</v>
      </c>
    </row>
    <row r="117" spans="1:48" s="69" customFormat="1" ht="15" customHeight="1" thickBot="1" x14ac:dyDescent="0.35">
      <c r="A117" s="14" t="s">
        <v>7</v>
      </c>
      <c r="B117" s="121" t="s">
        <v>65</v>
      </c>
      <c r="C117" s="379"/>
      <c r="D117" s="260">
        <v>400</v>
      </c>
      <c r="E117" s="227">
        <v>3</v>
      </c>
      <c r="F117" s="254">
        <v>200</v>
      </c>
      <c r="G117" s="126"/>
      <c r="H117" s="420"/>
      <c r="I117" s="260">
        <v>300</v>
      </c>
      <c r="J117" s="227">
        <v>1</v>
      </c>
      <c r="K117" s="257">
        <v>1</v>
      </c>
      <c r="L117" s="139">
        <v>150</v>
      </c>
      <c r="M117" s="89"/>
      <c r="N117" s="185">
        <f t="shared" si="6"/>
        <v>-0.25</v>
      </c>
      <c r="O117" s="89"/>
      <c r="P117" s="420"/>
      <c r="Q117" s="260"/>
      <c r="R117" s="139"/>
      <c r="S117" s="126"/>
      <c r="T117" s="420"/>
      <c r="U117" s="260"/>
      <c r="V117" s="139"/>
      <c r="W117" s="126"/>
      <c r="X117" s="126"/>
      <c r="Y117" s="126"/>
      <c r="Z117" s="126"/>
      <c r="AA117" s="379"/>
      <c r="AB117" s="156"/>
      <c r="AC117" s="157"/>
      <c r="AD117" s="126"/>
      <c r="AE117" s="379"/>
      <c r="AF117" s="156"/>
      <c r="AG117" s="229"/>
      <c r="AH117" s="157"/>
      <c r="AI117" s="89"/>
      <c r="AJ117" s="89"/>
      <c r="AK117" s="89"/>
      <c r="AL117" s="89"/>
      <c r="AM117" s="92"/>
      <c r="AN117" s="92"/>
      <c r="AO117" s="90"/>
      <c r="AP117" s="85"/>
      <c r="AQ117" s="85"/>
      <c r="AR117" s="90"/>
      <c r="AS117" s="85"/>
      <c r="AT117" s="85"/>
      <c r="AU117" s="85"/>
      <c r="AV117" s="86">
        <f t="shared" si="3"/>
        <v>0</v>
      </c>
    </row>
    <row r="118" spans="1:48" s="69" customFormat="1" ht="15" customHeight="1" thickBot="1" x14ac:dyDescent="0.35">
      <c r="A118" s="88"/>
      <c r="B118" s="88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92"/>
      <c r="AN118" s="92"/>
      <c r="AO118" s="90"/>
      <c r="AP118" s="85"/>
      <c r="AQ118" s="85"/>
      <c r="AR118" s="90"/>
      <c r="AS118" s="85"/>
      <c r="AT118" s="85"/>
      <c r="AU118" s="85"/>
      <c r="AV118" s="86"/>
    </row>
    <row r="119" spans="1:48" s="69" customFormat="1" ht="39.5" thickBot="1" x14ac:dyDescent="0.35">
      <c r="A119" s="123" t="s">
        <v>1</v>
      </c>
      <c r="B119" s="124" t="s">
        <v>3</v>
      </c>
      <c r="C119" s="125" t="s">
        <v>4</v>
      </c>
      <c r="D119" s="147" t="s">
        <v>96</v>
      </c>
      <c r="E119" s="246" t="s">
        <v>97</v>
      </c>
      <c r="F119" s="148" t="s">
        <v>134</v>
      </c>
      <c r="G119" s="27"/>
      <c r="H119" s="28" t="s">
        <v>4</v>
      </c>
      <c r="I119" s="147" t="s">
        <v>96</v>
      </c>
      <c r="J119" s="246" t="s">
        <v>97</v>
      </c>
      <c r="K119" s="275" t="s">
        <v>142</v>
      </c>
      <c r="L119" s="148" t="s">
        <v>134</v>
      </c>
      <c r="M119" s="89"/>
      <c r="N119" s="206" t="s">
        <v>130</v>
      </c>
      <c r="O119" s="89"/>
      <c r="P119" s="146" t="s">
        <v>4</v>
      </c>
      <c r="Q119" s="147" t="s">
        <v>96</v>
      </c>
      <c r="R119" s="148" t="s">
        <v>97</v>
      </c>
      <c r="S119" s="27"/>
      <c r="T119" s="28" t="s">
        <v>4</v>
      </c>
      <c r="U119" s="25" t="s">
        <v>96</v>
      </c>
      <c r="V119" s="26" t="s">
        <v>97</v>
      </c>
      <c r="W119" s="127"/>
      <c r="X119" s="127"/>
      <c r="Y119" s="127"/>
      <c r="Z119" s="127"/>
      <c r="AA119" s="146" t="s">
        <v>4</v>
      </c>
      <c r="AB119" s="147" t="s">
        <v>96</v>
      </c>
      <c r="AC119" s="148" t="s">
        <v>97</v>
      </c>
      <c r="AD119" s="27"/>
      <c r="AE119" s="220" t="s">
        <v>4</v>
      </c>
      <c r="AF119" s="221" t="s">
        <v>96</v>
      </c>
      <c r="AG119" s="216" t="s">
        <v>97</v>
      </c>
      <c r="AH119" s="26" t="s">
        <v>134</v>
      </c>
      <c r="AI119" s="89"/>
      <c r="AJ119" s="89"/>
      <c r="AK119" s="89"/>
      <c r="AL119" s="89"/>
      <c r="AM119" s="92"/>
      <c r="AN119" s="92"/>
      <c r="AO119" s="90"/>
      <c r="AP119" s="85"/>
      <c r="AQ119" s="85"/>
      <c r="AR119" s="90"/>
      <c r="AS119" s="85"/>
      <c r="AT119" s="85"/>
      <c r="AU119" s="85"/>
      <c r="AV119" s="86">
        <f t="shared" si="3"/>
        <v>0</v>
      </c>
    </row>
    <row r="120" spans="1:48" ht="15" customHeight="1" x14ac:dyDescent="0.3">
      <c r="A120" s="12" t="s">
        <v>5</v>
      </c>
      <c r="B120" s="207" t="s">
        <v>131</v>
      </c>
      <c r="C120" s="377" t="s">
        <v>56</v>
      </c>
      <c r="D120" s="136">
        <v>400</v>
      </c>
      <c r="E120" s="251">
        <v>1</v>
      </c>
      <c r="F120" s="252">
        <v>200</v>
      </c>
      <c r="G120" s="126"/>
      <c r="H120" s="418" t="s">
        <v>56</v>
      </c>
      <c r="I120" s="136">
        <v>400</v>
      </c>
      <c r="J120" s="251">
        <v>1</v>
      </c>
      <c r="K120" s="255">
        <v>1</v>
      </c>
      <c r="L120" s="137">
        <v>150</v>
      </c>
      <c r="M120" s="132"/>
      <c r="N120" s="192">
        <f>(I120-D120)/D120</f>
        <v>0</v>
      </c>
      <c r="O120" s="144"/>
      <c r="P120" s="418"/>
      <c r="Q120" s="136"/>
      <c r="R120" s="137"/>
      <c r="S120" s="126"/>
      <c r="T120" s="418"/>
      <c r="U120" s="136"/>
      <c r="V120" s="137"/>
      <c r="W120" s="126"/>
      <c r="X120" s="126"/>
      <c r="Y120" s="126"/>
      <c r="Z120" s="126"/>
      <c r="AA120" s="377" t="s">
        <v>56</v>
      </c>
      <c r="AB120" s="136">
        <v>400</v>
      </c>
      <c r="AC120" s="137"/>
      <c r="AD120" s="126"/>
      <c r="AE120" s="377" t="s">
        <v>56</v>
      </c>
      <c r="AF120" s="154"/>
      <c r="AG120" s="228"/>
      <c r="AH120" s="167"/>
      <c r="AI120" s="132"/>
      <c r="AJ120" s="132"/>
      <c r="AK120" s="132"/>
      <c r="AL120" s="132"/>
      <c r="AM120" s="128">
        <v>463.99999999999994</v>
      </c>
      <c r="AN120" s="80" t="s">
        <v>66</v>
      </c>
      <c r="AO120" s="94"/>
      <c r="AP120" s="82">
        <v>464</v>
      </c>
      <c r="AQ120" s="83">
        <v>2</v>
      </c>
      <c r="AR120" s="94"/>
      <c r="AS120" s="82">
        <v>400</v>
      </c>
      <c r="AT120" s="83">
        <v>1</v>
      </c>
      <c r="AU120" s="85"/>
      <c r="AV120" s="86">
        <f t="shared" si="3"/>
        <v>400</v>
      </c>
    </row>
    <row r="121" spans="1:48" ht="15" customHeight="1" x14ac:dyDescent="0.3">
      <c r="A121" s="13" t="s">
        <v>7</v>
      </c>
      <c r="B121" s="120" t="s">
        <v>10</v>
      </c>
      <c r="C121" s="378"/>
      <c r="D121" s="149">
        <v>950</v>
      </c>
      <c r="E121" s="226">
        <v>1</v>
      </c>
      <c r="F121" s="253">
        <v>200</v>
      </c>
      <c r="G121" s="126"/>
      <c r="H121" s="419"/>
      <c r="I121" s="259">
        <v>750</v>
      </c>
      <c r="J121" s="226">
        <v>2</v>
      </c>
      <c r="K121" s="256">
        <v>1</v>
      </c>
      <c r="L121" s="138">
        <v>150</v>
      </c>
      <c r="M121" s="118"/>
      <c r="N121" s="239">
        <f>(I121-850)/I121</f>
        <v>-0.13333333333333333</v>
      </c>
      <c r="O121" s="103"/>
      <c r="P121" s="419"/>
      <c r="Q121" s="259"/>
      <c r="R121" s="138"/>
      <c r="S121" s="126"/>
      <c r="T121" s="419"/>
      <c r="U121" s="259"/>
      <c r="V121" s="138"/>
      <c r="W121" s="126"/>
      <c r="X121" s="126"/>
      <c r="Y121" s="126"/>
      <c r="Z121" s="126"/>
      <c r="AA121" s="378"/>
      <c r="AB121" s="259">
        <v>1050</v>
      </c>
      <c r="AC121" s="138"/>
      <c r="AD121" s="126"/>
      <c r="AE121" s="378"/>
      <c r="AF121" s="154"/>
      <c r="AG121" s="228"/>
      <c r="AH121" s="167"/>
      <c r="AI121" s="118"/>
      <c r="AJ121" s="118"/>
      <c r="AK121" s="118"/>
      <c r="AL121" s="118"/>
      <c r="AM121" s="128">
        <v>463.99999999999994</v>
      </c>
      <c r="AN121" s="80" t="s">
        <v>66</v>
      </c>
      <c r="AO121" s="94"/>
      <c r="AP121" s="82">
        <v>538.24</v>
      </c>
      <c r="AQ121" s="83">
        <v>2</v>
      </c>
      <c r="AR121" s="94"/>
      <c r="AS121" s="82">
        <v>500</v>
      </c>
      <c r="AT121" s="83">
        <v>1</v>
      </c>
      <c r="AU121" s="85"/>
      <c r="AV121" s="86">
        <f t="shared" si="3"/>
        <v>463.99999999999994</v>
      </c>
    </row>
    <row r="122" spans="1:48" ht="15" customHeight="1" x14ac:dyDescent="0.3">
      <c r="A122" s="280" t="s">
        <v>7</v>
      </c>
      <c r="B122" s="281" t="s">
        <v>119</v>
      </c>
      <c r="C122" s="378"/>
      <c r="D122" s="259"/>
      <c r="E122" s="226"/>
      <c r="F122" s="253"/>
      <c r="G122" s="126"/>
      <c r="H122" s="419"/>
      <c r="I122" s="259">
        <v>300</v>
      </c>
      <c r="J122" s="226">
        <v>1</v>
      </c>
      <c r="K122" s="256">
        <v>1</v>
      </c>
      <c r="L122" s="138">
        <v>150</v>
      </c>
      <c r="M122" s="118"/>
      <c r="N122" s="190"/>
      <c r="O122" s="103"/>
      <c r="P122" s="419"/>
      <c r="Q122" s="259"/>
      <c r="R122" s="138"/>
      <c r="S122" s="126"/>
      <c r="T122" s="419"/>
      <c r="U122" s="259"/>
      <c r="V122" s="138"/>
      <c r="W122" s="126"/>
      <c r="X122" s="126"/>
      <c r="Y122" s="126"/>
      <c r="Z122" s="126"/>
      <c r="AA122" s="378"/>
      <c r="AB122" s="259" t="s">
        <v>95</v>
      </c>
      <c r="AC122" s="138"/>
      <c r="AD122" s="126"/>
      <c r="AE122" s="378"/>
      <c r="AF122" s="154"/>
      <c r="AG122" s="228"/>
      <c r="AH122" s="167"/>
      <c r="AI122" s="118"/>
      <c r="AJ122" s="118"/>
      <c r="AK122" s="118"/>
      <c r="AL122" s="118"/>
      <c r="AM122" s="128">
        <v>87</v>
      </c>
      <c r="AN122" s="80" t="s">
        <v>66</v>
      </c>
      <c r="AO122" s="94"/>
      <c r="AP122" s="82">
        <v>116</v>
      </c>
      <c r="AQ122" s="83">
        <v>2</v>
      </c>
      <c r="AR122" s="94"/>
      <c r="AS122" s="82">
        <v>70</v>
      </c>
      <c r="AT122" s="83">
        <v>1</v>
      </c>
      <c r="AU122" s="85"/>
      <c r="AV122" s="86">
        <f t="shared" si="3"/>
        <v>70</v>
      </c>
    </row>
    <row r="123" spans="1:48" ht="15" customHeight="1" x14ac:dyDescent="0.3">
      <c r="A123" s="13" t="s">
        <v>7</v>
      </c>
      <c r="B123" s="120" t="s">
        <v>63</v>
      </c>
      <c r="C123" s="378"/>
      <c r="D123" s="259">
        <v>420</v>
      </c>
      <c r="E123" s="226">
        <v>2</v>
      </c>
      <c r="F123" s="253">
        <v>200</v>
      </c>
      <c r="G123" s="126"/>
      <c r="H123" s="419"/>
      <c r="I123" s="259">
        <v>450</v>
      </c>
      <c r="J123" s="226">
        <v>1</v>
      </c>
      <c r="K123" s="256">
        <v>1</v>
      </c>
      <c r="L123" s="138">
        <v>150</v>
      </c>
      <c r="M123" s="118"/>
      <c r="N123" s="187">
        <f t="shared" ref="N123:N130" si="7">(I123-D123)/D123</f>
        <v>7.1428571428571425E-2</v>
      </c>
      <c r="O123" s="103"/>
      <c r="P123" s="419"/>
      <c r="Q123" s="259"/>
      <c r="R123" s="138"/>
      <c r="S123" s="126"/>
      <c r="T123" s="419"/>
      <c r="U123" s="259"/>
      <c r="V123" s="138"/>
      <c r="W123" s="126"/>
      <c r="X123" s="126"/>
      <c r="Y123" s="126"/>
      <c r="Z123" s="126"/>
      <c r="AA123" s="378"/>
      <c r="AB123" s="259" t="s">
        <v>95</v>
      </c>
      <c r="AC123" s="138"/>
      <c r="AD123" s="126"/>
      <c r="AE123" s="378"/>
      <c r="AF123" s="154"/>
      <c r="AG123" s="228"/>
      <c r="AH123" s="167"/>
      <c r="AI123" s="118"/>
      <c r="AJ123" s="118"/>
      <c r="AK123" s="118"/>
      <c r="AL123" s="118"/>
      <c r="AM123" s="128">
        <v>231.99999999999997</v>
      </c>
      <c r="AN123" s="80" t="s">
        <v>66</v>
      </c>
      <c r="AO123" s="94"/>
      <c r="AP123" s="82">
        <v>348</v>
      </c>
      <c r="AQ123" s="83">
        <v>2</v>
      </c>
      <c r="AR123" s="94"/>
      <c r="AS123" s="82">
        <v>270</v>
      </c>
      <c r="AT123" s="83">
        <v>1</v>
      </c>
      <c r="AU123" s="85"/>
      <c r="AV123" s="86">
        <f t="shared" si="3"/>
        <v>231.99999999999997</v>
      </c>
    </row>
    <row r="124" spans="1:48" ht="15" customHeight="1" x14ac:dyDescent="0.3">
      <c r="A124" s="13" t="s">
        <v>7</v>
      </c>
      <c r="B124" s="120" t="s">
        <v>8</v>
      </c>
      <c r="C124" s="378"/>
      <c r="D124" s="259">
        <v>400</v>
      </c>
      <c r="E124" s="226">
        <v>1</v>
      </c>
      <c r="F124" s="253">
        <v>200</v>
      </c>
      <c r="G124" s="126"/>
      <c r="H124" s="419"/>
      <c r="I124" s="259">
        <v>350</v>
      </c>
      <c r="J124" s="226">
        <v>1</v>
      </c>
      <c r="K124" s="256">
        <v>1</v>
      </c>
      <c r="L124" s="138">
        <v>150</v>
      </c>
      <c r="M124" s="118"/>
      <c r="N124" s="184">
        <f t="shared" si="7"/>
        <v>-0.125</v>
      </c>
      <c r="O124" s="103"/>
      <c r="P124" s="419"/>
      <c r="Q124" s="259"/>
      <c r="R124" s="138"/>
      <c r="S124" s="126"/>
      <c r="T124" s="419"/>
      <c r="U124" s="259"/>
      <c r="V124" s="138"/>
      <c r="W124" s="126"/>
      <c r="X124" s="126"/>
      <c r="Y124" s="126"/>
      <c r="Z124" s="126"/>
      <c r="AA124" s="378"/>
      <c r="AB124" s="259">
        <v>500</v>
      </c>
      <c r="AC124" s="138"/>
      <c r="AD124" s="126"/>
      <c r="AE124" s="378"/>
      <c r="AF124" s="154"/>
      <c r="AG124" s="228"/>
      <c r="AH124" s="167"/>
      <c r="AI124" s="118"/>
      <c r="AJ124" s="118"/>
      <c r="AK124" s="118"/>
      <c r="AL124" s="118"/>
      <c r="AM124" s="128">
        <v>1102</v>
      </c>
      <c r="AN124" s="87" t="s">
        <v>66</v>
      </c>
      <c r="AO124" s="94"/>
      <c r="AP124" s="82"/>
      <c r="AQ124" s="83">
        <v>2</v>
      </c>
      <c r="AR124" s="94"/>
      <c r="AS124" s="82">
        <v>1050</v>
      </c>
      <c r="AT124" s="83">
        <v>4</v>
      </c>
      <c r="AU124" s="85"/>
      <c r="AV124" s="86">
        <f t="shared" si="3"/>
        <v>1050</v>
      </c>
    </row>
    <row r="125" spans="1:48" ht="15" customHeight="1" x14ac:dyDescent="0.3">
      <c r="A125" s="13" t="s">
        <v>7</v>
      </c>
      <c r="B125" s="120" t="s">
        <v>11</v>
      </c>
      <c r="C125" s="378"/>
      <c r="D125" s="259">
        <v>70</v>
      </c>
      <c r="E125" s="226">
        <v>1</v>
      </c>
      <c r="F125" s="253">
        <v>200</v>
      </c>
      <c r="G125" s="126"/>
      <c r="H125" s="419"/>
      <c r="I125" s="259">
        <v>75</v>
      </c>
      <c r="J125" s="226">
        <v>1</v>
      </c>
      <c r="K125" s="256">
        <v>1</v>
      </c>
      <c r="L125" s="138">
        <v>150</v>
      </c>
      <c r="M125" s="118"/>
      <c r="N125" s="187">
        <f t="shared" si="7"/>
        <v>7.1428571428571425E-2</v>
      </c>
      <c r="O125" s="103"/>
      <c r="P125" s="419"/>
      <c r="Q125" s="259"/>
      <c r="R125" s="138"/>
      <c r="S125" s="126"/>
      <c r="T125" s="419"/>
      <c r="U125" s="259"/>
      <c r="V125" s="138"/>
      <c r="W125" s="126"/>
      <c r="X125" s="126"/>
      <c r="Y125" s="126"/>
      <c r="Z125" s="126"/>
      <c r="AA125" s="378"/>
      <c r="AB125" s="259">
        <v>75</v>
      </c>
      <c r="AC125" s="138"/>
      <c r="AD125" s="126"/>
      <c r="AE125" s="378"/>
      <c r="AF125" s="154"/>
      <c r="AG125" s="228"/>
      <c r="AH125" s="167"/>
      <c r="AI125" s="118"/>
      <c r="AJ125" s="118"/>
      <c r="AK125" s="118"/>
      <c r="AL125" s="118"/>
      <c r="AM125" s="128">
        <v>487.2</v>
      </c>
      <c r="AN125" s="80" t="s">
        <v>67</v>
      </c>
      <c r="AO125" s="94"/>
      <c r="AP125" s="82"/>
      <c r="AQ125" s="83">
        <v>7</v>
      </c>
      <c r="AR125" s="94"/>
      <c r="AS125" s="82"/>
      <c r="AT125" s="83">
        <v>4</v>
      </c>
      <c r="AU125" s="85"/>
      <c r="AV125" s="86">
        <f t="shared" si="3"/>
        <v>487.2</v>
      </c>
    </row>
    <row r="126" spans="1:48" ht="15" customHeight="1" x14ac:dyDescent="0.3">
      <c r="A126" s="13" t="s">
        <v>7</v>
      </c>
      <c r="B126" s="120" t="s">
        <v>118</v>
      </c>
      <c r="C126" s="378"/>
      <c r="D126" s="259">
        <v>420</v>
      </c>
      <c r="E126" s="226">
        <v>1</v>
      </c>
      <c r="F126" s="253">
        <v>200</v>
      </c>
      <c r="G126" s="126"/>
      <c r="H126" s="419"/>
      <c r="I126" s="259">
        <v>350</v>
      </c>
      <c r="J126" s="226">
        <v>1</v>
      </c>
      <c r="K126" s="256">
        <v>1</v>
      </c>
      <c r="L126" s="138">
        <v>150</v>
      </c>
      <c r="M126" s="118"/>
      <c r="N126" s="184">
        <f t="shared" si="7"/>
        <v>-0.16666666666666666</v>
      </c>
      <c r="O126" s="103"/>
      <c r="P126" s="419"/>
      <c r="Q126" s="259"/>
      <c r="R126" s="138"/>
      <c r="S126" s="126"/>
      <c r="T126" s="419"/>
      <c r="U126" s="259"/>
      <c r="V126" s="138"/>
      <c r="W126" s="126"/>
      <c r="X126" s="126"/>
      <c r="Y126" s="126"/>
      <c r="Z126" s="126"/>
      <c r="AA126" s="378"/>
      <c r="AB126" s="259">
        <v>250</v>
      </c>
      <c r="AC126" s="138"/>
      <c r="AD126" s="126"/>
      <c r="AE126" s="378"/>
      <c r="AF126" s="154"/>
      <c r="AG126" s="228"/>
      <c r="AH126" s="167"/>
      <c r="AI126" s="118"/>
      <c r="AJ126" s="118"/>
      <c r="AK126" s="118"/>
      <c r="AL126" s="118"/>
      <c r="AM126" s="128">
        <v>487.2</v>
      </c>
      <c r="AN126" s="87" t="s">
        <v>66</v>
      </c>
      <c r="AO126" s="94"/>
      <c r="AP126" s="82"/>
      <c r="AQ126" s="83">
        <v>7</v>
      </c>
      <c r="AR126" s="94"/>
      <c r="AS126" s="82">
        <v>1000</v>
      </c>
      <c r="AT126" s="83">
        <v>4</v>
      </c>
      <c r="AU126" s="85"/>
      <c r="AV126" s="86">
        <f t="shared" si="3"/>
        <v>487.2</v>
      </c>
    </row>
    <row r="127" spans="1:48" ht="15" customHeight="1" x14ac:dyDescent="0.3">
      <c r="A127" s="13" t="s">
        <v>7</v>
      </c>
      <c r="B127" s="120" t="s">
        <v>64</v>
      </c>
      <c r="C127" s="378"/>
      <c r="D127" s="259">
        <v>420</v>
      </c>
      <c r="E127" s="226">
        <v>1</v>
      </c>
      <c r="F127" s="253">
        <v>200</v>
      </c>
      <c r="G127" s="126"/>
      <c r="H127" s="419"/>
      <c r="I127" s="259">
        <v>1000</v>
      </c>
      <c r="J127" s="226">
        <v>3</v>
      </c>
      <c r="K127" s="256">
        <v>1</v>
      </c>
      <c r="L127" s="138">
        <v>150</v>
      </c>
      <c r="M127" s="118"/>
      <c r="N127" s="187">
        <f t="shared" si="7"/>
        <v>1.3809523809523809</v>
      </c>
      <c r="O127" s="103"/>
      <c r="P127" s="419"/>
      <c r="Q127" s="259"/>
      <c r="R127" s="138"/>
      <c r="S127" s="126"/>
      <c r="T127" s="419"/>
      <c r="U127" s="259"/>
      <c r="V127" s="138"/>
      <c r="W127" s="126"/>
      <c r="X127" s="126"/>
      <c r="Y127" s="126"/>
      <c r="Z127" s="126"/>
      <c r="AA127" s="378"/>
      <c r="AB127" s="259">
        <v>1000</v>
      </c>
      <c r="AC127" s="138"/>
      <c r="AD127" s="126"/>
      <c r="AE127" s="378"/>
      <c r="AF127" s="154"/>
      <c r="AG127" s="228"/>
      <c r="AH127" s="167"/>
      <c r="AI127" s="118"/>
      <c r="AJ127" s="118"/>
      <c r="AK127" s="118"/>
      <c r="AL127" s="118"/>
      <c r="AM127" s="128">
        <v>232</v>
      </c>
      <c r="AN127" s="80" t="s">
        <v>68</v>
      </c>
      <c r="AO127" s="94"/>
      <c r="AP127" s="82">
        <v>429.2</v>
      </c>
      <c r="AQ127" s="83">
        <v>2</v>
      </c>
      <c r="AR127" s="94"/>
      <c r="AS127" s="82">
        <v>350</v>
      </c>
      <c r="AT127" s="83">
        <v>1</v>
      </c>
      <c r="AU127" s="85"/>
      <c r="AV127" s="86">
        <f t="shared" si="3"/>
        <v>232</v>
      </c>
    </row>
    <row r="128" spans="1:48" ht="15" customHeight="1" x14ac:dyDescent="0.3">
      <c r="A128" s="13" t="s">
        <v>7</v>
      </c>
      <c r="B128" s="120" t="s">
        <v>9</v>
      </c>
      <c r="C128" s="378"/>
      <c r="D128" s="259">
        <v>75</v>
      </c>
      <c r="E128" s="226">
        <v>1</v>
      </c>
      <c r="F128" s="253">
        <v>200</v>
      </c>
      <c r="G128" s="126"/>
      <c r="H128" s="419"/>
      <c r="I128" s="259">
        <v>85</v>
      </c>
      <c r="J128" s="226">
        <v>1</v>
      </c>
      <c r="K128" s="256">
        <v>1</v>
      </c>
      <c r="L128" s="138">
        <v>150</v>
      </c>
      <c r="M128" s="118"/>
      <c r="N128" s="187">
        <f t="shared" si="7"/>
        <v>0.13333333333333333</v>
      </c>
      <c r="O128" s="103"/>
      <c r="P128" s="419"/>
      <c r="Q128" s="259"/>
      <c r="R128" s="138"/>
      <c r="S128" s="126"/>
      <c r="T128" s="419"/>
      <c r="U128" s="259"/>
      <c r="V128" s="138"/>
      <c r="W128" s="126"/>
      <c r="X128" s="126"/>
      <c r="Y128" s="126"/>
      <c r="Z128" s="126"/>
      <c r="AA128" s="378"/>
      <c r="AB128" s="259">
        <v>70</v>
      </c>
      <c r="AC128" s="138"/>
      <c r="AD128" s="126"/>
      <c r="AE128" s="378"/>
      <c r="AF128" s="154"/>
      <c r="AG128" s="228"/>
      <c r="AH128" s="167"/>
      <c r="AI128" s="118"/>
      <c r="AJ128" s="118"/>
      <c r="AK128" s="118"/>
      <c r="AL128" s="118"/>
      <c r="AM128" s="128">
        <v>487.2</v>
      </c>
      <c r="AN128" s="80" t="s">
        <v>66</v>
      </c>
      <c r="AO128" s="94"/>
      <c r="AP128" s="82">
        <v>429.2</v>
      </c>
      <c r="AQ128" s="83">
        <v>2</v>
      </c>
      <c r="AR128" s="94"/>
      <c r="AS128" s="82">
        <v>250</v>
      </c>
      <c r="AT128" s="83">
        <v>1</v>
      </c>
      <c r="AU128" s="85"/>
      <c r="AV128" s="86">
        <f t="shared" si="3"/>
        <v>250</v>
      </c>
    </row>
    <row r="129" spans="1:48" ht="15" customHeight="1" x14ac:dyDescent="0.3">
      <c r="A129" s="13" t="s">
        <v>7</v>
      </c>
      <c r="B129" s="120" t="s">
        <v>62</v>
      </c>
      <c r="C129" s="378"/>
      <c r="D129" s="259">
        <v>200</v>
      </c>
      <c r="E129" s="226">
        <v>1</v>
      </c>
      <c r="F129" s="253">
        <v>200</v>
      </c>
      <c r="G129" s="126"/>
      <c r="H129" s="419"/>
      <c r="I129" s="259">
        <v>300</v>
      </c>
      <c r="J129" s="226">
        <v>1</v>
      </c>
      <c r="K129" s="256">
        <v>1</v>
      </c>
      <c r="L129" s="138">
        <v>150</v>
      </c>
      <c r="M129" s="118"/>
      <c r="N129" s="187">
        <f t="shared" si="7"/>
        <v>0.5</v>
      </c>
      <c r="O129" s="103"/>
      <c r="P129" s="419"/>
      <c r="Q129" s="259"/>
      <c r="R129" s="138"/>
      <c r="S129" s="126"/>
      <c r="T129" s="419"/>
      <c r="U129" s="259"/>
      <c r="V129" s="138"/>
      <c r="W129" s="126"/>
      <c r="X129" s="126"/>
      <c r="Y129" s="126"/>
      <c r="Z129" s="126"/>
      <c r="AA129" s="378"/>
      <c r="AB129" s="259">
        <v>270</v>
      </c>
      <c r="AC129" s="138"/>
      <c r="AD129" s="126"/>
      <c r="AE129" s="378"/>
      <c r="AF129" s="154"/>
      <c r="AG129" s="228"/>
      <c r="AH129" s="167"/>
      <c r="AI129" s="118"/>
      <c r="AJ129" s="118"/>
      <c r="AK129" s="118"/>
      <c r="AL129" s="118"/>
      <c r="AM129" s="128">
        <v>81.2</v>
      </c>
      <c r="AN129" s="80" t="s">
        <v>66</v>
      </c>
      <c r="AO129" s="94"/>
      <c r="AP129" s="82"/>
      <c r="AQ129" s="83">
        <v>2</v>
      </c>
      <c r="AR129" s="94"/>
      <c r="AS129" s="82">
        <v>75</v>
      </c>
      <c r="AT129" s="83">
        <v>1</v>
      </c>
      <c r="AU129" s="85"/>
      <c r="AV129" s="86">
        <f t="shared" si="3"/>
        <v>75</v>
      </c>
    </row>
    <row r="130" spans="1:48" s="69" customFormat="1" ht="15" customHeight="1" thickBot="1" x14ac:dyDescent="0.35">
      <c r="A130" s="14" t="s">
        <v>7</v>
      </c>
      <c r="B130" s="121" t="s">
        <v>65</v>
      </c>
      <c r="C130" s="379"/>
      <c r="D130" s="260">
        <v>200</v>
      </c>
      <c r="E130" s="227">
        <v>3</v>
      </c>
      <c r="F130" s="254">
        <v>200</v>
      </c>
      <c r="G130" s="126"/>
      <c r="H130" s="420"/>
      <c r="I130" s="260">
        <v>300</v>
      </c>
      <c r="J130" s="227">
        <v>1</v>
      </c>
      <c r="K130" s="257">
        <v>1</v>
      </c>
      <c r="L130" s="139">
        <v>150</v>
      </c>
      <c r="M130" s="89"/>
      <c r="N130" s="235">
        <f t="shared" si="7"/>
        <v>0.5</v>
      </c>
      <c r="O130" s="89"/>
      <c r="P130" s="420"/>
      <c r="Q130" s="260"/>
      <c r="R130" s="139"/>
      <c r="S130" s="126"/>
      <c r="T130" s="420"/>
      <c r="U130" s="260"/>
      <c r="V130" s="139"/>
      <c r="W130" s="126"/>
      <c r="X130" s="126"/>
      <c r="Y130" s="126"/>
      <c r="Z130" s="126"/>
      <c r="AA130" s="379"/>
      <c r="AB130" s="260">
        <v>350</v>
      </c>
      <c r="AC130" s="139"/>
      <c r="AD130" s="126"/>
      <c r="AE130" s="379"/>
      <c r="AF130" s="156"/>
      <c r="AG130" s="229"/>
      <c r="AH130" s="157"/>
      <c r="AI130" s="89"/>
      <c r="AJ130" s="89"/>
      <c r="AK130" s="89"/>
      <c r="AL130" s="89"/>
      <c r="AM130" s="101"/>
      <c r="AN130" s="102"/>
      <c r="AO130" s="101"/>
      <c r="AP130" s="29"/>
      <c r="AQ130" s="29"/>
      <c r="AR130" s="101"/>
      <c r="AS130" s="29"/>
      <c r="AT130" s="29"/>
    </row>
    <row r="131" spans="1:48" s="69" customFormat="1" ht="15" customHeight="1" x14ac:dyDescent="0.3">
      <c r="A131" s="88"/>
      <c r="B131" s="88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1"/>
      <c r="AN131" s="101"/>
      <c r="AO131" s="101"/>
      <c r="AP131" s="29"/>
      <c r="AQ131" s="29"/>
      <c r="AR131" s="101"/>
      <c r="AS131" s="29"/>
      <c r="AT131" s="29"/>
    </row>
    <row r="132" spans="1:48" ht="15" customHeight="1" x14ac:dyDescent="0.35">
      <c r="AM132" s="397" t="s">
        <v>73</v>
      </c>
      <c r="AN132" s="398"/>
      <c r="AO132" s="57"/>
      <c r="AP132" s="397" t="s">
        <v>54</v>
      </c>
      <c r="AQ132" s="398"/>
      <c r="AR132" s="29"/>
      <c r="AS132" s="399" t="s">
        <v>74</v>
      </c>
      <c r="AT132" s="399"/>
      <c r="AU132" s="399"/>
      <c r="AV132" s="104"/>
    </row>
    <row r="133" spans="1:48" ht="15" customHeight="1" x14ac:dyDescent="0.3">
      <c r="AM133" s="400" t="s">
        <v>40</v>
      </c>
      <c r="AN133" s="400"/>
      <c r="AO133" s="57"/>
      <c r="AP133" s="400" t="s">
        <v>40</v>
      </c>
      <c r="AQ133" s="400"/>
      <c r="AR133" s="29"/>
      <c r="AS133" s="400" t="s">
        <v>40</v>
      </c>
      <c r="AT133" s="400"/>
      <c r="AU133" s="400"/>
      <c r="AV133" s="105"/>
    </row>
    <row r="134" spans="1:48" ht="15" customHeight="1" x14ac:dyDescent="0.3">
      <c r="AM134" s="401" t="s">
        <v>88</v>
      </c>
      <c r="AN134" s="402"/>
      <c r="AO134" s="57"/>
      <c r="AP134" s="106" t="s">
        <v>34</v>
      </c>
      <c r="AQ134" s="107"/>
      <c r="AR134" s="29"/>
      <c r="AS134" s="407" t="s">
        <v>85</v>
      </c>
      <c r="AT134" s="408"/>
      <c r="AU134" s="409"/>
      <c r="AV134" s="261"/>
    </row>
    <row r="135" spans="1:48" ht="15" customHeight="1" x14ac:dyDescent="0.3">
      <c r="AM135" s="403"/>
      <c r="AN135" s="404"/>
      <c r="AO135" s="57"/>
      <c r="AP135" s="106" t="s">
        <v>35</v>
      </c>
      <c r="AQ135" s="107"/>
      <c r="AR135" s="29"/>
      <c r="AS135" s="410"/>
      <c r="AT135" s="411"/>
      <c r="AU135" s="412"/>
      <c r="AV135" s="261"/>
    </row>
    <row r="136" spans="1:48" ht="15" customHeight="1" x14ac:dyDescent="0.3">
      <c r="AM136" s="403"/>
      <c r="AN136" s="404"/>
      <c r="AO136" s="57"/>
      <c r="AP136" s="106" t="s">
        <v>36</v>
      </c>
      <c r="AQ136" s="107"/>
      <c r="AR136" s="29"/>
      <c r="AS136" s="410"/>
      <c r="AT136" s="411"/>
      <c r="AU136" s="412"/>
      <c r="AV136" s="261"/>
    </row>
    <row r="137" spans="1:48" ht="15" customHeight="1" x14ac:dyDescent="0.3">
      <c r="AM137" s="403"/>
      <c r="AN137" s="404"/>
      <c r="AO137" s="57"/>
      <c r="AP137" s="106" t="s">
        <v>37</v>
      </c>
      <c r="AQ137" s="107"/>
      <c r="AR137" s="29"/>
      <c r="AS137" s="410"/>
      <c r="AT137" s="411"/>
      <c r="AU137" s="412"/>
      <c r="AV137" s="261"/>
    </row>
    <row r="138" spans="1:48" ht="15" customHeight="1" x14ac:dyDescent="0.3">
      <c r="AM138" s="403"/>
      <c r="AN138" s="404"/>
      <c r="AO138" s="57"/>
      <c r="AP138" s="106" t="s">
        <v>38</v>
      </c>
      <c r="AQ138" s="107"/>
      <c r="AR138" s="29"/>
      <c r="AS138" s="410"/>
      <c r="AT138" s="411"/>
      <c r="AU138" s="412"/>
      <c r="AV138" s="261"/>
    </row>
    <row r="139" spans="1:48" ht="15" customHeight="1" x14ac:dyDescent="0.3">
      <c r="AM139" s="405"/>
      <c r="AN139" s="406"/>
      <c r="AO139" s="57"/>
      <c r="AP139" s="108" t="s">
        <v>39</v>
      </c>
      <c r="AQ139" s="109"/>
      <c r="AR139" s="29"/>
      <c r="AS139" s="413"/>
      <c r="AT139" s="414"/>
      <c r="AU139" s="415"/>
      <c r="AV139" s="261"/>
    </row>
    <row r="140" spans="1:48" ht="15" customHeight="1" x14ac:dyDescent="0.3">
      <c r="AM140" s="29"/>
      <c r="AN140" s="56"/>
      <c r="AO140" s="57"/>
      <c r="AP140" s="29"/>
      <c r="AQ140" s="29"/>
      <c r="AR140" s="29"/>
      <c r="AS140" s="91"/>
      <c r="AT140" s="91"/>
      <c r="AU140" s="91"/>
      <c r="AV140" s="91"/>
    </row>
    <row r="141" spans="1:48" ht="15" customHeight="1" x14ac:dyDescent="0.3">
      <c r="AM141" s="416" t="s">
        <v>53</v>
      </c>
      <c r="AN141" s="416"/>
      <c r="AO141" s="57"/>
      <c r="AP141" s="416" t="s">
        <v>53</v>
      </c>
      <c r="AQ141" s="416"/>
      <c r="AR141" s="29"/>
      <c r="AS141" s="417" t="s">
        <v>53</v>
      </c>
      <c r="AT141" s="417"/>
      <c r="AU141" s="417"/>
      <c r="AV141" s="110"/>
    </row>
    <row r="142" spans="1:48" ht="15" customHeight="1" x14ac:dyDescent="0.3">
      <c r="AM142" s="394" t="s">
        <v>69</v>
      </c>
      <c r="AN142" s="395"/>
      <c r="AO142" s="57"/>
      <c r="AP142" s="394" t="s">
        <v>83</v>
      </c>
      <c r="AQ142" s="395"/>
      <c r="AR142" s="29"/>
      <c r="AS142" s="394" t="s">
        <v>57</v>
      </c>
      <c r="AT142" s="396"/>
      <c r="AU142" s="395"/>
      <c r="AV142" s="111"/>
    </row>
    <row r="143" spans="1:48" x14ac:dyDescent="0.3">
      <c r="AM143" s="101"/>
      <c r="AN143" s="101"/>
    </row>
    <row r="144" spans="1:48" x14ac:dyDescent="0.3">
      <c r="AM144" s="101"/>
      <c r="AN144" s="101"/>
    </row>
    <row r="145" spans="39:40" x14ac:dyDescent="0.3">
      <c r="AM145" s="101"/>
      <c r="AN145" s="101"/>
    </row>
    <row r="146" spans="39:40" x14ac:dyDescent="0.3">
      <c r="AM146" s="101"/>
      <c r="AN146" s="101"/>
    </row>
    <row r="147" spans="39:40" x14ac:dyDescent="0.3">
      <c r="AN147" s="101"/>
    </row>
    <row r="148" spans="39:40" x14ac:dyDescent="0.3">
      <c r="AN148" s="101"/>
    </row>
  </sheetData>
  <autoFilter ref="A2:AV13"/>
  <mergeCells count="82">
    <mergeCell ref="AA3:AA13"/>
    <mergeCell ref="AF1:AH1"/>
    <mergeCell ref="AE3:AE13"/>
    <mergeCell ref="D1:F1"/>
    <mergeCell ref="I1:L1"/>
    <mergeCell ref="Q1:R1"/>
    <mergeCell ref="U1:V1"/>
    <mergeCell ref="AB1:AC1"/>
    <mergeCell ref="C16:C26"/>
    <mergeCell ref="H16:H26"/>
    <mergeCell ref="P16:P26"/>
    <mergeCell ref="T16:T26"/>
    <mergeCell ref="C3:C13"/>
    <mergeCell ref="H3:H13"/>
    <mergeCell ref="P3:P13"/>
    <mergeCell ref="T3:T13"/>
    <mergeCell ref="C30:C40"/>
    <mergeCell ref="H30:H40"/>
    <mergeCell ref="P30:P40"/>
    <mergeCell ref="T30:T40"/>
    <mergeCell ref="AA30:AA40"/>
    <mergeCell ref="D28:E28"/>
    <mergeCell ref="I28:J28"/>
    <mergeCell ref="AE30:AE40"/>
    <mergeCell ref="AA42:AA52"/>
    <mergeCell ref="AE42:AE52"/>
    <mergeCell ref="AA55:AA65"/>
    <mergeCell ref="H68:H78"/>
    <mergeCell ref="P68:P78"/>
    <mergeCell ref="AA16:AA26"/>
    <mergeCell ref="AE16:AE26"/>
    <mergeCell ref="AE55:AE65"/>
    <mergeCell ref="AA68:AA78"/>
    <mergeCell ref="AE68:AE78"/>
    <mergeCell ref="C42:C52"/>
    <mergeCell ref="H42:H52"/>
    <mergeCell ref="P42:P52"/>
    <mergeCell ref="T42:T52"/>
    <mergeCell ref="T68:T78"/>
    <mergeCell ref="C68:C78"/>
    <mergeCell ref="C55:C65"/>
    <mergeCell ref="H55:H65"/>
    <mergeCell ref="P55:P65"/>
    <mergeCell ref="T55:T65"/>
    <mergeCell ref="AA81:AA91"/>
    <mergeCell ref="AE81:AE91"/>
    <mergeCell ref="C94:C104"/>
    <mergeCell ref="H94:H104"/>
    <mergeCell ref="P94:P104"/>
    <mergeCell ref="T94:T104"/>
    <mergeCell ref="AA94:AA104"/>
    <mergeCell ref="AE94:AE104"/>
    <mergeCell ref="C81:C91"/>
    <mergeCell ref="H81:H91"/>
    <mergeCell ref="P81:P91"/>
    <mergeCell ref="T81:T91"/>
    <mergeCell ref="AA107:AA117"/>
    <mergeCell ref="AE107:AE117"/>
    <mergeCell ref="C120:C130"/>
    <mergeCell ref="H120:H130"/>
    <mergeCell ref="P120:P130"/>
    <mergeCell ref="T120:T130"/>
    <mergeCell ref="AA120:AA130"/>
    <mergeCell ref="AE120:AE130"/>
    <mergeCell ref="C107:C117"/>
    <mergeCell ref="H107:H117"/>
    <mergeCell ref="P107:P117"/>
    <mergeCell ref="T107:T117"/>
    <mergeCell ref="AM142:AN142"/>
    <mergeCell ref="AP142:AQ142"/>
    <mergeCell ref="AS142:AU142"/>
    <mergeCell ref="AM132:AN132"/>
    <mergeCell ref="AP132:AQ132"/>
    <mergeCell ref="AS132:AU132"/>
    <mergeCell ref="AM133:AN133"/>
    <mergeCell ref="AP133:AQ133"/>
    <mergeCell ref="AS133:AU133"/>
    <mergeCell ref="AM134:AN139"/>
    <mergeCell ref="AS134:AU139"/>
    <mergeCell ref="AM141:AN141"/>
    <mergeCell ref="AP141:AQ141"/>
    <mergeCell ref="AS141:AU141"/>
  </mergeCells>
  <conditionalFormatting sqref="AP16:AP28 AP107:AP116 AP120:AP128 AP94:AP105 AP68:AP92 AP55:AP66 AP42:AP53 AP30:AP40 AP3:AP14">
    <cfRule type="expression" dxfId="36" priority="5">
      <formula>$AP3=$AV3</formula>
    </cfRule>
  </conditionalFormatting>
  <conditionalFormatting sqref="AS16:AS28 AS107:AS116 AS120:AS129 AS94:AS105 AS68:AS92 AS55:AS66 AS42:AS53 AS30:AS40 AS3:AS14">
    <cfRule type="expression" dxfId="35" priority="4">
      <formula>$AS3=$AV3</formula>
    </cfRule>
  </conditionalFormatting>
  <conditionalFormatting sqref="AM16:AM28 AM120:AM129 AM68:AM116 AM42:AM66 AM3:AM14">
    <cfRule type="expression" dxfId="34" priority="3">
      <formula>$AM3=$AV3</formula>
    </cfRule>
  </conditionalFormatting>
  <conditionalFormatting sqref="AM16:AM28 AM107:AM116 AM120:AM129 AM94:AM105 AM68:AM92 AM55:AM66 AM42:AM53 AM3:AM14">
    <cfRule type="expression" dxfId="33" priority="6">
      <formula>$AM3=#REF!</formula>
    </cfRule>
  </conditionalFormatting>
  <conditionalFormatting sqref="N1 N3:N14 N68:N79 N81:N92 N94:N105 N107:N118 N120:N1048576 N55:N66 N16:N53">
    <cfRule type="expression" dxfId="32" priority="2">
      <formula>"&gt;0"</formula>
    </cfRule>
  </conditionalFormatting>
  <conditionalFormatting sqref="AJ3:AJ13">
    <cfRule type="expression" dxfId="31" priority="1">
      <formula>"&gt;0"</formula>
    </cfRule>
  </conditionalFormatting>
  <pageMargins left="0.25" right="0.25" top="0.75" bottom="0.75" header="0.3" footer="0.3"/>
  <pageSetup scale="69" fitToHeight="0" orientation="portrait" r:id="rId1"/>
  <headerFooter alignWithMargins="0"/>
  <rowBreaks count="2" manualBreakCount="2">
    <brk id="52" max="34" man="1"/>
    <brk id="91" max="10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workbookViewId="0">
      <pane ySplit="3" topLeftCell="A4" activePane="bottomLeft" state="frozen"/>
      <selection pane="bottomLeft" activeCell="P27" sqref="P27"/>
    </sheetView>
  </sheetViews>
  <sheetFormatPr defaultRowHeight="13" x14ac:dyDescent="0.3"/>
  <cols>
    <col min="1" max="1" width="12.54296875" bestFit="1" customWidth="1"/>
    <col min="2" max="2" width="10.7265625" bestFit="1" customWidth="1"/>
    <col min="3" max="3" width="10.81640625" bestFit="1" customWidth="1"/>
    <col min="4" max="4" width="9.90625" customWidth="1"/>
    <col min="5" max="5" width="10" customWidth="1"/>
    <col min="7" max="7" width="13.453125" customWidth="1"/>
    <col min="13" max="13" width="9.1796875" style="338"/>
    <col min="14" max="14" width="6" customWidth="1"/>
  </cols>
  <sheetData>
    <row r="1" spans="1:13" ht="18.5" x14ac:dyDescent="0.45">
      <c r="B1" s="364" t="s">
        <v>221</v>
      </c>
      <c r="C1" s="364"/>
      <c r="D1" s="364"/>
      <c r="E1" s="364"/>
      <c r="H1" s="439" t="s">
        <v>223</v>
      </c>
      <c r="I1" s="439"/>
      <c r="J1" s="439"/>
      <c r="K1" s="439"/>
      <c r="L1" s="439"/>
      <c r="M1" s="439"/>
    </row>
    <row r="2" spans="1:13" ht="13.5" customHeight="1" thickBot="1" x14ac:dyDescent="0.3">
      <c r="H2" s="440" t="s">
        <v>168</v>
      </c>
      <c r="I2" s="440"/>
      <c r="J2" s="441"/>
      <c r="K2" s="437" t="s">
        <v>148</v>
      </c>
      <c r="L2" s="438"/>
      <c r="M2" s="442"/>
    </row>
    <row r="3" spans="1:13" ht="39.5" thickBot="1" x14ac:dyDescent="0.3">
      <c r="A3" s="289" t="s">
        <v>1</v>
      </c>
      <c r="B3" s="294" t="s">
        <v>170</v>
      </c>
      <c r="C3" s="290" t="s">
        <v>3</v>
      </c>
      <c r="D3" s="291" t="s">
        <v>166</v>
      </c>
      <c r="E3" s="292" t="s">
        <v>150</v>
      </c>
      <c r="F3" s="291" t="s">
        <v>167</v>
      </c>
      <c r="G3" s="300" t="s">
        <v>219</v>
      </c>
      <c r="H3" s="287" t="s">
        <v>96</v>
      </c>
      <c r="I3" s="246" t="s">
        <v>97</v>
      </c>
      <c r="J3" s="148" t="s">
        <v>134</v>
      </c>
      <c r="K3" s="282" t="s">
        <v>96</v>
      </c>
      <c r="L3" s="283" t="s">
        <v>97</v>
      </c>
      <c r="M3" s="283" t="s">
        <v>134</v>
      </c>
    </row>
    <row r="4" spans="1:13" x14ac:dyDescent="0.3">
      <c r="A4" s="31" t="s">
        <v>7</v>
      </c>
      <c r="B4" s="31" t="s">
        <v>70</v>
      </c>
      <c r="C4" s="32" t="s">
        <v>71</v>
      </c>
      <c r="D4" s="377" t="s">
        <v>149</v>
      </c>
      <c r="E4" s="443" t="s">
        <v>158</v>
      </c>
      <c r="F4" s="443" t="s">
        <v>151</v>
      </c>
      <c r="G4" s="322">
        <v>4</v>
      </c>
      <c r="H4" s="243">
        <v>3800</v>
      </c>
      <c r="I4" s="244">
        <v>8</v>
      </c>
      <c r="J4" s="245">
        <v>185</v>
      </c>
      <c r="K4" s="162">
        <v>4400</v>
      </c>
      <c r="L4" s="284">
        <v>7</v>
      </c>
      <c r="M4" s="247">
        <v>200</v>
      </c>
    </row>
    <row r="5" spans="1:13" x14ac:dyDescent="0.3">
      <c r="A5" s="268" t="s">
        <v>7</v>
      </c>
      <c r="B5" s="268" t="s">
        <v>21</v>
      </c>
      <c r="C5" s="269" t="s">
        <v>23</v>
      </c>
      <c r="D5" s="378"/>
      <c r="E5" s="444"/>
      <c r="F5" s="444"/>
      <c r="G5" s="322">
        <v>10</v>
      </c>
      <c r="H5" s="33">
        <v>4000</v>
      </c>
      <c r="I5" s="217">
        <v>7</v>
      </c>
      <c r="J5" s="34">
        <v>185</v>
      </c>
      <c r="K5" s="285">
        <v>5900</v>
      </c>
      <c r="L5" s="226">
        <v>8</v>
      </c>
      <c r="M5" s="217">
        <v>200</v>
      </c>
    </row>
    <row r="6" spans="1:13" x14ac:dyDescent="0.3">
      <c r="A6" s="268" t="s">
        <v>7</v>
      </c>
      <c r="B6" s="268" t="s">
        <v>21</v>
      </c>
      <c r="C6" s="269" t="s">
        <v>72</v>
      </c>
      <c r="D6" s="378"/>
      <c r="E6" s="444"/>
      <c r="F6" s="444"/>
      <c r="G6" s="322">
        <v>10</v>
      </c>
      <c r="H6" s="33">
        <v>8000</v>
      </c>
      <c r="I6" s="217">
        <v>14</v>
      </c>
      <c r="J6" s="34">
        <v>185</v>
      </c>
      <c r="K6" s="285">
        <v>7000</v>
      </c>
      <c r="L6" s="226">
        <v>12</v>
      </c>
      <c r="M6" s="217">
        <v>200</v>
      </c>
    </row>
    <row r="7" spans="1:13" x14ac:dyDescent="0.3">
      <c r="A7" s="268" t="s">
        <v>7</v>
      </c>
      <c r="B7" s="268" t="s">
        <v>21</v>
      </c>
      <c r="C7" s="269" t="s">
        <v>22</v>
      </c>
      <c r="D7" s="378"/>
      <c r="E7" s="444"/>
      <c r="F7" s="444"/>
      <c r="G7" s="322">
        <v>10</v>
      </c>
      <c r="H7" s="33">
        <v>4100</v>
      </c>
      <c r="I7" s="217">
        <v>7</v>
      </c>
      <c r="J7" s="34">
        <v>185</v>
      </c>
      <c r="K7" s="285">
        <v>4500</v>
      </c>
      <c r="L7" s="226">
        <v>7</v>
      </c>
      <c r="M7" s="217">
        <v>200</v>
      </c>
    </row>
    <row r="8" spans="1:13" x14ac:dyDescent="0.3">
      <c r="A8" s="268" t="s">
        <v>7</v>
      </c>
      <c r="B8" s="268" t="s">
        <v>21</v>
      </c>
      <c r="C8" s="269" t="s">
        <v>92</v>
      </c>
      <c r="D8" s="378"/>
      <c r="E8" s="444"/>
      <c r="F8" s="444"/>
      <c r="G8" s="322">
        <v>4</v>
      </c>
      <c r="H8" s="33">
        <v>3500</v>
      </c>
      <c r="I8" s="217">
        <v>5</v>
      </c>
      <c r="J8" s="34">
        <v>185</v>
      </c>
      <c r="K8" s="285">
        <v>4000</v>
      </c>
      <c r="L8" s="226">
        <v>7</v>
      </c>
      <c r="M8" s="217">
        <v>300</v>
      </c>
    </row>
    <row r="9" spans="1:13" x14ac:dyDescent="0.3">
      <c r="A9" s="268" t="s">
        <v>7</v>
      </c>
      <c r="B9" s="268" t="s">
        <v>93</v>
      </c>
      <c r="C9" s="269" t="s">
        <v>94</v>
      </c>
      <c r="D9" s="378"/>
      <c r="E9" s="444"/>
      <c r="F9" s="444"/>
      <c r="G9" s="322">
        <v>4</v>
      </c>
      <c r="H9" s="33">
        <v>6000</v>
      </c>
      <c r="I9" s="217">
        <v>6</v>
      </c>
      <c r="J9" s="34">
        <v>185</v>
      </c>
      <c r="K9" s="285">
        <v>6500</v>
      </c>
      <c r="L9" s="226">
        <v>8</v>
      </c>
      <c r="M9" s="217">
        <v>200</v>
      </c>
    </row>
    <row r="10" spans="1:13" x14ac:dyDescent="0.3">
      <c r="A10" s="268" t="s">
        <v>7</v>
      </c>
      <c r="B10" s="268" t="s">
        <v>19</v>
      </c>
      <c r="C10" s="269" t="s">
        <v>20</v>
      </c>
      <c r="D10" s="378"/>
      <c r="E10" s="444"/>
      <c r="F10" s="444"/>
      <c r="G10" s="322">
        <v>3</v>
      </c>
      <c r="H10" s="33">
        <v>1450</v>
      </c>
      <c r="I10" s="217">
        <v>3</v>
      </c>
      <c r="J10" s="34">
        <v>185</v>
      </c>
      <c r="K10" s="285">
        <v>1500</v>
      </c>
      <c r="L10" s="226">
        <v>3</v>
      </c>
      <c r="M10" s="217">
        <v>200</v>
      </c>
    </row>
    <row r="11" spans="1:13" x14ac:dyDescent="0.3">
      <c r="A11" s="40" t="s">
        <v>7</v>
      </c>
      <c r="B11" s="40" t="s">
        <v>144</v>
      </c>
      <c r="C11" s="41" t="s">
        <v>143</v>
      </c>
      <c r="D11" s="378"/>
      <c r="E11" s="444"/>
      <c r="F11" s="444"/>
      <c r="G11" s="322">
        <v>9</v>
      </c>
      <c r="H11" s="33">
        <v>3000</v>
      </c>
      <c r="I11" s="217">
        <v>5</v>
      </c>
      <c r="J11" s="34">
        <v>185</v>
      </c>
      <c r="K11" s="285">
        <v>3800</v>
      </c>
      <c r="L11" s="226">
        <v>4</v>
      </c>
      <c r="M11" s="217">
        <v>300</v>
      </c>
    </row>
    <row r="12" spans="1:13" x14ac:dyDescent="0.3">
      <c r="A12" s="40" t="s">
        <v>7</v>
      </c>
      <c r="B12" s="40" t="s">
        <v>17</v>
      </c>
      <c r="C12" s="41" t="s">
        <v>18</v>
      </c>
      <c r="D12" s="378"/>
      <c r="E12" s="444"/>
      <c r="F12" s="444"/>
      <c r="G12" s="322">
        <v>5</v>
      </c>
      <c r="H12" s="33">
        <v>2700</v>
      </c>
      <c r="I12" s="217">
        <v>7</v>
      </c>
      <c r="J12" s="34">
        <v>185</v>
      </c>
      <c r="K12" s="285">
        <v>2700</v>
      </c>
      <c r="L12" s="226">
        <v>6</v>
      </c>
      <c r="M12" s="217">
        <v>200</v>
      </c>
    </row>
    <row r="13" spans="1:13" ht="13.5" thickBot="1" x14ac:dyDescent="0.35">
      <c r="A13" s="44" t="s">
        <v>5</v>
      </c>
      <c r="B13" s="44" t="s">
        <v>17</v>
      </c>
      <c r="C13" s="45" t="s">
        <v>18</v>
      </c>
      <c r="D13" s="379"/>
      <c r="E13" s="445"/>
      <c r="F13" s="445"/>
      <c r="G13" s="323">
        <v>5</v>
      </c>
      <c r="H13" s="46">
        <v>3300</v>
      </c>
      <c r="I13" s="218">
        <v>8</v>
      </c>
      <c r="J13" s="47">
        <v>185</v>
      </c>
      <c r="K13" s="161">
        <v>2700</v>
      </c>
      <c r="L13" s="227">
        <v>7</v>
      </c>
      <c r="M13" s="218">
        <v>200</v>
      </c>
    </row>
    <row r="14" spans="1:13" ht="13.5" thickBot="1" x14ac:dyDescent="0.35">
      <c r="A14" s="456"/>
      <c r="B14" s="456"/>
      <c r="C14" s="456"/>
      <c r="D14" s="456"/>
      <c r="E14" s="456"/>
      <c r="F14" s="456"/>
      <c r="G14" s="456"/>
      <c r="H14" s="456"/>
      <c r="I14" s="456"/>
      <c r="J14" s="456"/>
      <c r="K14" s="457"/>
      <c r="L14" s="457"/>
      <c r="M14" s="458"/>
    </row>
    <row r="15" spans="1:13" ht="39.5" thickBot="1" x14ac:dyDescent="0.3">
      <c r="A15" s="289" t="s">
        <v>1</v>
      </c>
      <c r="B15" s="294" t="s">
        <v>170</v>
      </c>
      <c r="C15" s="290" t="s">
        <v>3</v>
      </c>
      <c r="D15" s="300" t="s">
        <v>166</v>
      </c>
      <c r="E15" s="301" t="s">
        <v>150</v>
      </c>
      <c r="F15" s="300" t="s">
        <v>167</v>
      </c>
      <c r="G15" s="300" t="s">
        <v>219</v>
      </c>
      <c r="H15" s="287" t="s">
        <v>96</v>
      </c>
      <c r="I15" s="246" t="s">
        <v>97</v>
      </c>
      <c r="J15" s="148" t="s">
        <v>134</v>
      </c>
      <c r="K15" s="282" t="s">
        <v>96</v>
      </c>
      <c r="L15" s="283" t="s">
        <v>97</v>
      </c>
      <c r="M15" s="283" t="s">
        <v>134</v>
      </c>
    </row>
    <row r="16" spans="1:13" x14ac:dyDescent="0.3">
      <c r="A16" s="31" t="s">
        <v>7</v>
      </c>
      <c r="B16" s="31" t="s">
        <v>70</v>
      </c>
      <c r="C16" s="295" t="s">
        <v>71</v>
      </c>
      <c r="D16" s="446" t="s">
        <v>112</v>
      </c>
      <c r="E16" s="448" t="s">
        <v>157</v>
      </c>
      <c r="F16" s="449" t="s">
        <v>169</v>
      </c>
      <c r="G16" s="322">
        <v>4</v>
      </c>
      <c r="H16" s="337"/>
      <c r="I16" s="244">
        <v>8</v>
      </c>
      <c r="J16" s="245">
        <v>200</v>
      </c>
      <c r="K16" s="162">
        <v>4400</v>
      </c>
      <c r="L16" s="284">
        <v>7</v>
      </c>
      <c r="M16" s="247">
        <v>200</v>
      </c>
    </row>
    <row r="17" spans="1:15" ht="12.75" customHeight="1" x14ac:dyDescent="0.3">
      <c r="A17" s="268" t="s">
        <v>7</v>
      </c>
      <c r="B17" s="268" t="s">
        <v>21</v>
      </c>
      <c r="C17" s="296" t="s">
        <v>23</v>
      </c>
      <c r="D17" s="447"/>
      <c r="E17" s="448"/>
      <c r="F17" s="449"/>
      <c r="G17" s="322">
        <v>10</v>
      </c>
      <c r="H17" s="299">
        <v>5000</v>
      </c>
      <c r="I17" s="217">
        <v>7</v>
      </c>
      <c r="J17" s="34">
        <v>200</v>
      </c>
      <c r="K17" s="285">
        <v>4000</v>
      </c>
      <c r="L17" s="226">
        <v>8</v>
      </c>
      <c r="M17" s="217">
        <v>300</v>
      </c>
    </row>
    <row r="18" spans="1:15" x14ac:dyDescent="0.3">
      <c r="A18" s="268" t="s">
        <v>7</v>
      </c>
      <c r="B18" s="268" t="s">
        <v>21</v>
      </c>
      <c r="C18" s="296" t="s">
        <v>72</v>
      </c>
      <c r="D18" s="447"/>
      <c r="E18" s="448"/>
      <c r="F18" s="449"/>
      <c r="G18" s="322">
        <v>10</v>
      </c>
      <c r="H18" s="299">
        <v>8500</v>
      </c>
      <c r="I18" s="217">
        <v>14</v>
      </c>
      <c r="J18" s="34">
        <v>200</v>
      </c>
      <c r="K18" s="285">
        <v>7000</v>
      </c>
      <c r="L18" s="226">
        <v>12</v>
      </c>
      <c r="M18" s="217">
        <v>200</v>
      </c>
    </row>
    <row r="19" spans="1:15" x14ac:dyDescent="0.3">
      <c r="A19" s="268" t="s">
        <v>7</v>
      </c>
      <c r="B19" s="268" t="s">
        <v>21</v>
      </c>
      <c r="C19" s="296" t="s">
        <v>22</v>
      </c>
      <c r="D19" s="447"/>
      <c r="E19" s="448"/>
      <c r="F19" s="449"/>
      <c r="G19" s="322">
        <v>10</v>
      </c>
      <c r="H19" s="299">
        <v>5200</v>
      </c>
      <c r="I19" s="217">
        <v>7</v>
      </c>
      <c r="J19" s="34">
        <v>200</v>
      </c>
      <c r="K19" s="285">
        <v>4500</v>
      </c>
      <c r="L19" s="226">
        <v>7</v>
      </c>
      <c r="M19" s="217">
        <v>200</v>
      </c>
    </row>
    <row r="20" spans="1:15" x14ac:dyDescent="0.3">
      <c r="A20" s="268" t="s">
        <v>7</v>
      </c>
      <c r="B20" s="268" t="s">
        <v>21</v>
      </c>
      <c r="C20" s="296" t="s">
        <v>92</v>
      </c>
      <c r="D20" s="447"/>
      <c r="E20" s="448"/>
      <c r="F20" s="449"/>
      <c r="G20" s="322">
        <v>4</v>
      </c>
      <c r="H20" s="362">
        <v>4000</v>
      </c>
      <c r="I20" s="217">
        <v>5</v>
      </c>
      <c r="J20" s="34">
        <v>200</v>
      </c>
      <c r="K20" s="285">
        <v>4000</v>
      </c>
      <c r="L20" s="226">
        <v>7</v>
      </c>
      <c r="M20" s="217">
        <v>300</v>
      </c>
      <c r="N20" s="363"/>
      <c r="O20" s="334"/>
    </row>
    <row r="21" spans="1:15" x14ac:dyDescent="0.3">
      <c r="A21" s="268" t="s">
        <v>7</v>
      </c>
      <c r="B21" s="268" t="s">
        <v>93</v>
      </c>
      <c r="C21" s="296" t="s">
        <v>94</v>
      </c>
      <c r="D21" s="447"/>
      <c r="E21" s="448"/>
      <c r="F21" s="449"/>
      <c r="G21" s="322">
        <v>4</v>
      </c>
      <c r="H21" s="299">
        <v>7500</v>
      </c>
      <c r="I21" s="217">
        <v>6</v>
      </c>
      <c r="J21" s="34">
        <v>200</v>
      </c>
      <c r="K21" s="285">
        <v>6500</v>
      </c>
      <c r="L21" s="226">
        <v>8</v>
      </c>
      <c r="M21" s="217">
        <v>200</v>
      </c>
    </row>
    <row r="22" spans="1:15" x14ac:dyDescent="0.3">
      <c r="A22" s="268" t="s">
        <v>7</v>
      </c>
      <c r="B22" s="268" t="s">
        <v>19</v>
      </c>
      <c r="C22" s="296" t="s">
        <v>20</v>
      </c>
      <c r="D22" s="447"/>
      <c r="E22" s="448"/>
      <c r="F22" s="449"/>
      <c r="G22" s="322">
        <v>3</v>
      </c>
      <c r="H22" s="299">
        <v>1800</v>
      </c>
      <c r="I22" s="217">
        <v>3</v>
      </c>
      <c r="J22" s="34">
        <v>200</v>
      </c>
      <c r="K22" s="285">
        <v>1500</v>
      </c>
      <c r="L22" s="226">
        <v>3</v>
      </c>
      <c r="M22" s="217">
        <v>200</v>
      </c>
    </row>
    <row r="23" spans="1:15" x14ac:dyDescent="0.3">
      <c r="A23" s="40" t="s">
        <v>7</v>
      </c>
      <c r="B23" s="40" t="s">
        <v>144</v>
      </c>
      <c r="C23" s="297" t="s">
        <v>143</v>
      </c>
      <c r="D23" s="447"/>
      <c r="E23" s="448"/>
      <c r="F23" s="449"/>
      <c r="G23" s="322">
        <v>9</v>
      </c>
      <c r="H23" s="356">
        <v>4200</v>
      </c>
      <c r="I23" s="217">
        <v>5</v>
      </c>
      <c r="J23" s="34">
        <v>200</v>
      </c>
      <c r="K23" s="285">
        <v>4684</v>
      </c>
      <c r="L23" s="226">
        <v>4</v>
      </c>
      <c r="M23" s="217">
        <v>300</v>
      </c>
    </row>
    <row r="24" spans="1:15" x14ac:dyDescent="0.3">
      <c r="A24" s="40" t="s">
        <v>7</v>
      </c>
      <c r="B24" s="40" t="s">
        <v>17</v>
      </c>
      <c r="C24" s="297" t="s">
        <v>18</v>
      </c>
      <c r="D24" s="447"/>
      <c r="E24" s="448"/>
      <c r="F24" s="449"/>
      <c r="G24" s="288">
        <v>5</v>
      </c>
      <c r="H24" s="357">
        <v>2700</v>
      </c>
      <c r="I24" s="354">
        <v>7</v>
      </c>
      <c r="J24" s="34">
        <v>200</v>
      </c>
      <c r="K24" s="285">
        <v>2900</v>
      </c>
      <c r="L24" s="226">
        <v>6</v>
      </c>
      <c r="M24" s="217">
        <v>300</v>
      </c>
      <c r="N24" s="361"/>
      <c r="O24" s="334" t="s">
        <v>217</v>
      </c>
    </row>
    <row r="25" spans="1:15" ht="13.5" thickBot="1" x14ac:dyDescent="0.35">
      <c r="A25" s="44" t="s">
        <v>5</v>
      </c>
      <c r="B25" s="44" t="s">
        <v>17</v>
      </c>
      <c r="C25" s="298" t="s">
        <v>18</v>
      </c>
      <c r="D25" s="447"/>
      <c r="E25" s="448"/>
      <c r="F25" s="449"/>
      <c r="G25" s="353">
        <v>5</v>
      </c>
      <c r="H25" s="459">
        <v>3300</v>
      </c>
      <c r="I25" s="355">
        <v>8</v>
      </c>
      <c r="J25" s="47">
        <v>200</v>
      </c>
      <c r="K25" s="161">
        <v>3700</v>
      </c>
      <c r="L25" s="227">
        <v>7</v>
      </c>
      <c r="M25" s="218">
        <v>300</v>
      </c>
    </row>
    <row r="26" spans="1:15" ht="13.5" thickBot="1" x14ac:dyDescent="0.35">
      <c r="A26" s="456"/>
      <c r="B26" s="456"/>
      <c r="C26" s="456"/>
      <c r="D26" s="456"/>
      <c r="E26" s="456"/>
      <c r="F26" s="456"/>
      <c r="G26" s="456"/>
      <c r="H26" s="456"/>
      <c r="I26" s="456"/>
      <c r="J26" s="456"/>
      <c r="K26" s="457"/>
      <c r="L26" s="457"/>
      <c r="M26" s="458"/>
    </row>
    <row r="27" spans="1:15" ht="39.5" thickBot="1" x14ac:dyDescent="0.3">
      <c r="A27" s="289" t="s">
        <v>1</v>
      </c>
      <c r="B27" s="294" t="s">
        <v>170</v>
      </c>
      <c r="C27" s="290" t="s">
        <v>3</v>
      </c>
      <c r="D27" s="291" t="s">
        <v>166</v>
      </c>
      <c r="E27" s="292" t="s">
        <v>150</v>
      </c>
      <c r="F27" s="291" t="s">
        <v>167</v>
      </c>
      <c r="G27" s="300" t="s">
        <v>219</v>
      </c>
      <c r="H27" s="287" t="s">
        <v>96</v>
      </c>
      <c r="I27" s="246" t="s">
        <v>97</v>
      </c>
      <c r="J27" s="148" t="s">
        <v>134</v>
      </c>
      <c r="K27" s="282" t="s">
        <v>96</v>
      </c>
      <c r="L27" s="283" t="s">
        <v>97</v>
      </c>
      <c r="M27" s="283" t="s">
        <v>134</v>
      </c>
    </row>
    <row r="28" spans="1:15" x14ac:dyDescent="0.3">
      <c r="A28" s="31" t="s">
        <v>7</v>
      </c>
      <c r="B28" s="31" t="s">
        <v>70</v>
      </c>
      <c r="C28" s="32" t="s">
        <v>71</v>
      </c>
      <c r="D28" s="377" t="s">
        <v>13</v>
      </c>
      <c r="E28" s="443" t="s">
        <v>155</v>
      </c>
      <c r="F28" s="443" t="s">
        <v>156</v>
      </c>
      <c r="G28" s="322">
        <v>4</v>
      </c>
      <c r="H28" s="243">
        <v>4950</v>
      </c>
      <c r="I28" s="244">
        <v>8</v>
      </c>
      <c r="J28" s="245">
        <v>200</v>
      </c>
      <c r="K28" s="162">
        <v>5700</v>
      </c>
      <c r="L28" s="284">
        <v>7</v>
      </c>
      <c r="M28" s="247">
        <v>200</v>
      </c>
    </row>
    <row r="29" spans="1:15" x14ac:dyDescent="0.3">
      <c r="A29" s="268" t="s">
        <v>7</v>
      </c>
      <c r="B29" s="268" t="s">
        <v>21</v>
      </c>
      <c r="C29" s="269" t="s">
        <v>23</v>
      </c>
      <c r="D29" s="378"/>
      <c r="E29" s="444"/>
      <c r="F29" s="444"/>
      <c r="G29" s="322">
        <v>10</v>
      </c>
      <c r="H29" s="33">
        <v>4950</v>
      </c>
      <c r="I29" s="217">
        <v>7</v>
      </c>
      <c r="J29" s="34">
        <v>200</v>
      </c>
      <c r="K29" s="285">
        <v>5700</v>
      </c>
      <c r="L29" s="226">
        <v>8</v>
      </c>
      <c r="M29" s="217">
        <v>200</v>
      </c>
    </row>
    <row r="30" spans="1:15" x14ac:dyDescent="0.3">
      <c r="A30" s="268" t="s">
        <v>7</v>
      </c>
      <c r="B30" s="268" t="s">
        <v>21</v>
      </c>
      <c r="C30" s="269" t="s">
        <v>72</v>
      </c>
      <c r="D30" s="378"/>
      <c r="E30" s="444"/>
      <c r="F30" s="444"/>
      <c r="G30" s="322">
        <v>10</v>
      </c>
      <c r="H30" s="33">
        <v>8500</v>
      </c>
      <c r="I30" s="217">
        <v>14</v>
      </c>
      <c r="J30" s="34">
        <v>200</v>
      </c>
      <c r="K30" s="285">
        <v>8700</v>
      </c>
      <c r="L30" s="226">
        <v>12</v>
      </c>
      <c r="M30" s="217">
        <v>200</v>
      </c>
    </row>
    <row r="31" spans="1:15" x14ac:dyDescent="0.3">
      <c r="A31" s="268" t="s">
        <v>7</v>
      </c>
      <c r="B31" s="268" t="s">
        <v>21</v>
      </c>
      <c r="C31" s="269" t="s">
        <v>22</v>
      </c>
      <c r="D31" s="378"/>
      <c r="E31" s="444"/>
      <c r="F31" s="444"/>
      <c r="G31" s="322">
        <v>10</v>
      </c>
      <c r="H31" s="33">
        <v>4980</v>
      </c>
      <c r="I31" s="217">
        <v>7</v>
      </c>
      <c r="J31" s="34">
        <v>200</v>
      </c>
      <c r="K31" s="285">
        <v>5300</v>
      </c>
      <c r="L31" s="226">
        <v>7</v>
      </c>
      <c r="M31" s="217">
        <v>200</v>
      </c>
    </row>
    <row r="32" spans="1:15" x14ac:dyDescent="0.3">
      <c r="A32" s="268" t="s">
        <v>7</v>
      </c>
      <c r="B32" s="268" t="s">
        <v>21</v>
      </c>
      <c r="C32" s="269" t="s">
        <v>92</v>
      </c>
      <c r="D32" s="378"/>
      <c r="E32" s="444"/>
      <c r="F32" s="444"/>
      <c r="G32" s="322">
        <v>4</v>
      </c>
      <c r="H32" s="33">
        <v>4500</v>
      </c>
      <c r="I32" s="217">
        <v>5</v>
      </c>
      <c r="J32" s="34">
        <v>200</v>
      </c>
      <c r="K32" s="285">
        <v>5300</v>
      </c>
      <c r="L32" s="226">
        <v>7</v>
      </c>
      <c r="M32" s="217">
        <v>300</v>
      </c>
    </row>
    <row r="33" spans="1:15" x14ac:dyDescent="0.3">
      <c r="A33" s="268" t="s">
        <v>7</v>
      </c>
      <c r="B33" s="268" t="s">
        <v>93</v>
      </c>
      <c r="C33" s="269" t="s">
        <v>94</v>
      </c>
      <c r="D33" s="378"/>
      <c r="E33" s="444"/>
      <c r="F33" s="444"/>
      <c r="G33" s="322">
        <v>4</v>
      </c>
      <c r="H33" s="33">
        <v>8500</v>
      </c>
      <c r="I33" s="217">
        <v>6</v>
      </c>
      <c r="J33" s="34">
        <v>200</v>
      </c>
      <c r="K33" s="285">
        <v>8700</v>
      </c>
      <c r="L33" s="226">
        <v>8</v>
      </c>
      <c r="M33" s="217">
        <v>200</v>
      </c>
    </row>
    <row r="34" spans="1:15" x14ac:dyDescent="0.3">
      <c r="A34" s="268" t="s">
        <v>7</v>
      </c>
      <c r="B34" s="268" t="s">
        <v>19</v>
      </c>
      <c r="C34" s="269" t="s">
        <v>20</v>
      </c>
      <c r="D34" s="378"/>
      <c r="E34" s="444"/>
      <c r="F34" s="444"/>
      <c r="G34" s="322">
        <v>3</v>
      </c>
      <c r="H34" s="33">
        <v>1750</v>
      </c>
      <c r="I34" s="217">
        <v>3</v>
      </c>
      <c r="J34" s="34">
        <v>200</v>
      </c>
      <c r="K34" s="286">
        <v>2300</v>
      </c>
      <c r="L34" s="226">
        <v>3</v>
      </c>
      <c r="M34" s="217">
        <v>200</v>
      </c>
    </row>
    <row r="35" spans="1:15" x14ac:dyDescent="0.3">
      <c r="A35" s="40" t="s">
        <v>7</v>
      </c>
      <c r="B35" s="40" t="s">
        <v>144</v>
      </c>
      <c r="C35" s="41" t="s">
        <v>143</v>
      </c>
      <c r="D35" s="378"/>
      <c r="E35" s="444"/>
      <c r="F35" s="444"/>
      <c r="G35" s="322">
        <v>9</v>
      </c>
      <c r="H35" s="33">
        <v>4500</v>
      </c>
      <c r="I35" s="217">
        <v>5</v>
      </c>
      <c r="J35" s="34">
        <v>200</v>
      </c>
      <c r="K35" s="285">
        <v>4700</v>
      </c>
      <c r="L35" s="226">
        <v>4</v>
      </c>
      <c r="M35" s="217">
        <v>300</v>
      </c>
    </row>
    <row r="36" spans="1:15" x14ac:dyDescent="0.3">
      <c r="A36" s="40" t="s">
        <v>7</v>
      </c>
      <c r="B36" s="40" t="s">
        <v>17</v>
      </c>
      <c r="C36" s="41" t="s">
        <v>18</v>
      </c>
      <c r="D36" s="378"/>
      <c r="E36" s="444"/>
      <c r="F36" s="444"/>
      <c r="G36" s="322">
        <v>5</v>
      </c>
      <c r="H36" s="33">
        <v>3900</v>
      </c>
      <c r="I36" s="217">
        <v>7</v>
      </c>
      <c r="J36" s="34">
        <v>200</v>
      </c>
      <c r="K36" s="285">
        <v>3900</v>
      </c>
      <c r="L36" s="226">
        <v>6</v>
      </c>
      <c r="M36" s="217">
        <v>200</v>
      </c>
    </row>
    <row r="37" spans="1:15" ht="13.5" thickBot="1" x14ac:dyDescent="0.35">
      <c r="A37" s="44" t="s">
        <v>5</v>
      </c>
      <c r="B37" s="44" t="s">
        <v>17</v>
      </c>
      <c r="C37" s="45" t="s">
        <v>18</v>
      </c>
      <c r="D37" s="379"/>
      <c r="E37" s="445"/>
      <c r="F37" s="445"/>
      <c r="G37" s="323">
        <v>5</v>
      </c>
      <c r="H37" s="46">
        <v>4600</v>
      </c>
      <c r="I37" s="218">
        <v>8</v>
      </c>
      <c r="J37" s="47">
        <v>200</v>
      </c>
      <c r="K37" s="161">
        <v>4600</v>
      </c>
      <c r="L37" s="227">
        <v>7</v>
      </c>
      <c r="M37" s="218">
        <v>200</v>
      </c>
    </row>
    <row r="38" spans="1:15" ht="13.5" thickBot="1" x14ac:dyDescent="0.35">
      <c r="A38" s="456"/>
      <c r="B38" s="456"/>
      <c r="C38" s="456"/>
      <c r="D38" s="456"/>
      <c r="E38" s="456"/>
      <c r="F38" s="456"/>
      <c r="G38" s="456"/>
      <c r="H38" s="456"/>
      <c r="I38" s="456"/>
      <c r="J38" s="456"/>
      <c r="K38" s="457"/>
      <c r="L38" s="457"/>
      <c r="M38" s="458"/>
    </row>
    <row r="39" spans="1:15" ht="39.5" thickBot="1" x14ac:dyDescent="0.3">
      <c r="A39" s="289" t="s">
        <v>1</v>
      </c>
      <c r="B39" s="294" t="s">
        <v>170</v>
      </c>
      <c r="C39" s="290" t="s">
        <v>3</v>
      </c>
      <c r="D39" s="291" t="s">
        <v>166</v>
      </c>
      <c r="E39" s="292" t="s">
        <v>150</v>
      </c>
      <c r="F39" s="291" t="s">
        <v>167</v>
      </c>
      <c r="G39" s="300" t="s">
        <v>219</v>
      </c>
      <c r="H39" s="287" t="s">
        <v>96</v>
      </c>
      <c r="I39" s="246" t="s">
        <v>97</v>
      </c>
      <c r="J39" s="148" t="s">
        <v>134</v>
      </c>
      <c r="K39" s="282" t="s">
        <v>96</v>
      </c>
      <c r="L39" s="283" t="s">
        <v>97</v>
      </c>
      <c r="M39" s="283" t="s">
        <v>134</v>
      </c>
    </row>
    <row r="40" spans="1:15" x14ac:dyDescent="0.3">
      <c r="A40" s="31" t="s">
        <v>7</v>
      </c>
      <c r="B40" s="31" t="s">
        <v>70</v>
      </c>
      <c r="C40" s="32" t="s">
        <v>71</v>
      </c>
      <c r="D40" s="450" t="s">
        <v>100</v>
      </c>
      <c r="E40" s="443" t="s">
        <v>154</v>
      </c>
      <c r="F40" s="443" t="s">
        <v>152</v>
      </c>
      <c r="G40" s="322">
        <v>4</v>
      </c>
      <c r="H40" s="243">
        <v>8150</v>
      </c>
      <c r="I40" s="244">
        <v>8</v>
      </c>
      <c r="J40" s="245">
        <v>250</v>
      </c>
      <c r="K40" s="162">
        <v>5700</v>
      </c>
      <c r="L40" s="284">
        <v>7</v>
      </c>
      <c r="M40" s="247">
        <v>200</v>
      </c>
    </row>
    <row r="41" spans="1:15" x14ac:dyDescent="0.3">
      <c r="A41" s="268" t="s">
        <v>7</v>
      </c>
      <c r="B41" s="268" t="s">
        <v>21</v>
      </c>
      <c r="C41" s="269" t="s">
        <v>23</v>
      </c>
      <c r="D41" s="451"/>
      <c r="E41" s="444"/>
      <c r="F41" s="444"/>
      <c r="G41" s="322">
        <v>10</v>
      </c>
      <c r="H41" s="33">
        <v>7500</v>
      </c>
      <c r="I41" s="217">
        <v>7</v>
      </c>
      <c r="J41" s="34">
        <v>250</v>
      </c>
      <c r="K41" s="285">
        <v>5700</v>
      </c>
      <c r="L41" s="226">
        <v>8</v>
      </c>
      <c r="M41" s="217">
        <v>200</v>
      </c>
    </row>
    <row r="42" spans="1:15" x14ac:dyDescent="0.3">
      <c r="A42" s="268" t="s">
        <v>7</v>
      </c>
      <c r="B42" s="268" t="s">
        <v>21</v>
      </c>
      <c r="C42" s="269" t="s">
        <v>72</v>
      </c>
      <c r="D42" s="451"/>
      <c r="E42" s="444"/>
      <c r="F42" s="444"/>
      <c r="G42" s="322">
        <v>10</v>
      </c>
      <c r="H42" s="33">
        <v>14100</v>
      </c>
      <c r="I42" s="217">
        <v>14</v>
      </c>
      <c r="J42" s="34">
        <v>250</v>
      </c>
      <c r="K42" s="285">
        <v>8700</v>
      </c>
      <c r="L42" s="226">
        <v>12</v>
      </c>
      <c r="M42" s="217">
        <v>300</v>
      </c>
    </row>
    <row r="43" spans="1:15" x14ac:dyDescent="0.3">
      <c r="A43" s="268" t="s">
        <v>7</v>
      </c>
      <c r="B43" s="268" t="s">
        <v>21</v>
      </c>
      <c r="C43" s="269" t="s">
        <v>22</v>
      </c>
      <c r="D43" s="451"/>
      <c r="E43" s="444"/>
      <c r="F43" s="444"/>
      <c r="G43" s="322">
        <v>10</v>
      </c>
      <c r="H43" s="33">
        <v>7400</v>
      </c>
      <c r="I43" s="217">
        <v>7</v>
      </c>
      <c r="J43" s="34">
        <v>250</v>
      </c>
      <c r="K43" s="285">
        <v>5300</v>
      </c>
      <c r="L43" s="226">
        <v>7</v>
      </c>
      <c r="M43" s="217">
        <v>200</v>
      </c>
    </row>
    <row r="44" spans="1:15" x14ac:dyDescent="0.3">
      <c r="A44" s="268" t="s">
        <v>7</v>
      </c>
      <c r="B44" s="268" t="s">
        <v>21</v>
      </c>
      <c r="C44" s="269" t="s">
        <v>92</v>
      </c>
      <c r="D44" s="451"/>
      <c r="E44" s="444"/>
      <c r="F44" s="444"/>
      <c r="G44" s="322">
        <v>4</v>
      </c>
      <c r="H44" s="33">
        <v>6500</v>
      </c>
      <c r="I44" s="217">
        <v>5</v>
      </c>
      <c r="J44" s="34">
        <v>250</v>
      </c>
      <c r="K44" s="285">
        <v>5300</v>
      </c>
      <c r="L44" s="226">
        <v>7</v>
      </c>
      <c r="M44" s="217">
        <v>300</v>
      </c>
    </row>
    <row r="45" spans="1:15" x14ac:dyDescent="0.3">
      <c r="A45" s="268" t="s">
        <v>7</v>
      </c>
      <c r="B45" s="268" t="s">
        <v>93</v>
      </c>
      <c r="C45" s="269" t="s">
        <v>94</v>
      </c>
      <c r="D45" s="451"/>
      <c r="E45" s="444"/>
      <c r="F45" s="444"/>
      <c r="G45" s="322">
        <v>4</v>
      </c>
      <c r="H45" s="33">
        <v>10900</v>
      </c>
      <c r="I45" s="217">
        <v>6</v>
      </c>
      <c r="J45" s="34">
        <v>250</v>
      </c>
      <c r="K45" s="285">
        <v>8700</v>
      </c>
      <c r="L45" s="226">
        <v>8</v>
      </c>
      <c r="M45" s="217">
        <v>200</v>
      </c>
    </row>
    <row r="46" spans="1:15" x14ac:dyDescent="0.3">
      <c r="A46" s="268" t="s">
        <v>7</v>
      </c>
      <c r="B46" s="268" t="s">
        <v>19</v>
      </c>
      <c r="C46" s="269" t="s">
        <v>20</v>
      </c>
      <c r="D46" s="451"/>
      <c r="E46" s="444"/>
      <c r="F46" s="444"/>
      <c r="G46" s="322">
        <v>3</v>
      </c>
      <c r="H46" s="33">
        <v>3000</v>
      </c>
      <c r="I46" s="217">
        <v>3</v>
      </c>
      <c r="J46" s="34">
        <v>250</v>
      </c>
      <c r="K46" s="286">
        <v>2300</v>
      </c>
      <c r="L46" s="226">
        <v>3</v>
      </c>
      <c r="M46" s="217">
        <v>200</v>
      </c>
    </row>
    <row r="47" spans="1:15" x14ac:dyDescent="0.3">
      <c r="A47" s="40" t="s">
        <v>7</v>
      </c>
      <c r="B47" s="40" t="s">
        <v>144</v>
      </c>
      <c r="C47" s="41" t="s">
        <v>143</v>
      </c>
      <c r="D47" s="451"/>
      <c r="E47" s="444"/>
      <c r="F47" s="444"/>
      <c r="G47" s="322">
        <v>9</v>
      </c>
      <c r="H47" s="33">
        <v>6000</v>
      </c>
      <c r="I47" s="217">
        <v>5</v>
      </c>
      <c r="J47" s="34">
        <v>250</v>
      </c>
      <c r="K47" s="285">
        <v>4700</v>
      </c>
      <c r="L47" s="226">
        <v>4</v>
      </c>
      <c r="M47" s="217">
        <v>300</v>
      </c>
    </row>
    <row r="48" spans="1:15" x14ac:dyDescent="0.3">
      <c r="A48" s="40" t="s">
        <v>7</v>
      </c>
      <c r="B48" s="40" t="s">
        <v>17</v>
      </c>
      <c r="C48" s="41" t="s">
        <v>18</v>
      </c>
      <c r="D48" s="451"/>
      <c r="E48" s="444"/>
      <c r="F48" s="444"/>
      <c r="G48" s="322">
        <v>5</v>
      </c>
      <c r="H48" s="358">
        <v>3900</v>
      </c>
      <c r="I48" s="217">
        <v>7</v>
      </c>
      <c r="J48" s="34">
        <v>250</v>
      </c>
      <c r="K48" s="285">
        <v>3900</v>
      </c>
      <c r="L48" s="226">
        <v>6</v>
      </c>
      <c r="M48" s="217">
        <v>200</v>
      </c>
      <c r="N48" s="360"/>
      <c r="O48" s="334" t="s">
        <v>217</v>
      </c>
    </row>
    <row r="49" spans="1:13" ht="13.5" thickBot="1" x14ac:dyDescent="0.35">
      <c r="A49" s="44" t="s">
        <v>5</v>
      </c>
      <c r="B49" s="44" t="s">
        <v>17</v>
      </c>
      <c r="C49" s="45" t="s">
        <v>18</v>
      </c>
      <c r="D49" s="452"/>
      <c r="E49" s="445"/>
      <c r="F49" s="445"/>
      <c r="G49" s="323">
        <v>5</v>
      </c>
      <c r="H49" s="359">
        <v>4600</v>
      </c>
      <c r="I49" s="218">
        <v>8</v>
      </c>
      <c r="J49" s="47">
        <v>250</v>
      </c>
      <c r="K49" s="161">
        <v>4600</v>
      </c>
      <c r="L49" s="227">
        <v>7</v>
      </c>
      <c r="M49" s="218">
        <v>200</v>
      </c>
    </row>
    <row r="50" spans="1:13" ht="13.5" thickBot="1" x14ac:dyDescent="0.35">
      <c r="A50" s="456"/>
      <c r="B50" s="456"/>
      <c r="C50" s="456"/>
      <c r="D50" s="456"/>
      <c r="E50" s="456"/>
      <c r="F50" s="456"/>
      <c r="G50" s="456"/>
      <c r="H50" s="456"/>
      <c r="I50" s="456"/>
      <c r="J50" s="456"/>
      <c r="K50" s="457"/>
      <c r="L50" s="457"/>
      <c r="M50" s="458"/>
    </row>
    <row r="51" spans="1:13" ht="39.5" thickBot="1" x14ac:dyDescent="0.3">
      <c r="A51" s="289" t="s">
        <v>1</v>
      </c>
      <c r="B51" s="294" t="s">
        <v>170</v>
      </c>
      <c r="C51" s="290" t="s">
        <v>3</v>
      </c>
      <c r="D51" s="291" t="s">
        <v>166</v>
      </c>
      <c r="E51" s="292" t="s">
        <v>150</v>
      </c>
      <c r="F51" s="291" t="s">
        <v>167</v>
      </c>
      <c r="G51" s="300" t="s">
        <v>219</v>
      </c>
      <c r="H51" s="287" t="s">
        <v>96</v>
      </c>
      <c r="I51" s="246" t="s">
        <v>97</v>
      </c>
      <c r="J51" s="148" t="s">
        <v>134</v>
      </c>
      <c r="K51" s="282" t="s">
        <v>96</v>
      </c>
      <c r="L51" s="283" t="s">
        <v>97</v>
      </c>
      <c r="M51" s="283" t="s">
        <v>134</v>
      </c>
    </row>
    <row r="52" spans="1:13" ht="12.75" customHeight="1" x14ac:dyDescent="0.3">
      <c r="A52" s="31" t="s">
        <v>7</v>
      </c>
      <c r="B52" s="31" t="s">
        <v>70</v>
      </c>
      <c r="C52" s="32" t="s">
        <v>71</v>
      </c>
      <c r="D52" s="421" t="s">
        <v>216</v>
      </c>
      <c r="E52" s="443" t="s">
        <v>154</v>
      </c>
      <c r="F52" s="443" t="s">
        <v>152</v>
      </c>
      <c r="G52" s="322">
        <v>4</v>
      </c>
      <c r="H52" s="243">
        <v>4200</v>
      </c>
      <c r="I52" s="244">
        <v>6</v>
      </c>
      <c r="J52" s="276">
        <v>200</v>
      </c>
      <c r="K52" s="330"/>
      <c r="L52" s="331"/>
      <c r="M52" s="332"/>
    </row>
    <row r="53" spans="1:13" x14ac:dyDescent="0.3">
      <c r="A53" s="268" t="s">
        <v>7</v>
      </c>
      <c r="B53" s="268" t="s">
        <v>21</v>
      </c>
      <c r="C53" s="269" t="s">
        <v>23</v>
      </c>
      <c r="D53" s="422"/>
      <c r="E53" s="444"/>
      <c r="F53" s="444"/>
      <c r="G53" s="322">
        <v>10</v>
      </c>
      <c r="H53" s="33">
        <v>4000</v>
      </c>
      <c r="I53" s="217">
        <v>6</v>
      </c>
      <c r="J53" s="209">
        <v>200</v>
      </c>
      <c r="K53" s="330"/>
      <c r="L53" s="333"/>
      <c r="M53" s="332"/>
    </row>
    <row r="54" spans="1:13" x14ac:dyDescent="0.3">
      <c r="A54" s="268" t="s">
        <v>7</v>
      </c>
      <c r="B54" s="268" t="s">
        <v>21</v>
      </c>
      <c r="C54" s="269" t="s">
        <v>72</v>
      </c>
      <c r="D54" s="422"/>
      <c r="E54" s="444"/>
      <c r="F54" s="444"/>
      <c r="G54" s="322">
        <v>10</v>
      </c>
      <c r="H54" s="33">
        <v>6900</v>
      </c>
      <c r="I54" s="217">
        <v>12</v>
      </c>
      <c r="J54" s="209">
        <v>200</v>
      </c>
      <c r="K54" s="330"/>
      <c r="L54" s="333"/>
      <c r="M54" s="332"/>
    </row>
    <row r="55" spans="1:13" x14ac:dyDescent="0.3">
      <c r="A55" s="268" t="s">
        <v>7</v>
      </c>
      <c r="B55" s="268" t="s">
        <v>21</v>
      </c>
      <c r="C55" s="269" t="s">
        <v>22</v>
      </c>
      <c r="D55" s="422"/>
      <c r="E55" s="444"/>
      <c r="F55" s="444"/>
      <c r="G55" s="322">
        <v>10</v>
      </c>
      <c r="H55" s="33">
        <v>4200</v>
      </c>
      <c r="I55" s="217">
        <v>7</v>
      </c>
      <c r="J55" s="209">
        <v>200</v>
      </c>
      <c r="K55" s="330"/>
      <c r="L55" s="333"/>
      <c r="M55" s="332"/>
    </row>
    <row r="56" spans="1:13" x14ac:dyDescent="0.3">
      <c r="A56" s="268" t="s">
        <v>7</v>
      </c>
      <c r="B56" s="268" t="s">
        <v>21</v>
      </c>
      <c r="C56" s="269" t="s">
        <v>92</v>
      </c>
      <c r="D56" s="422"/>
      <c r="E56" s="444"/>
      <c r="F56" s="444"/>
      <c r="G56" s="322">
        <v>4</v>
      </c>
      <c r="H56" s="33">
        <v>3300</v>
      </c>
      <c r="I56" s="217">
        <v>5</v>
      </c>
      <c r="J56" s="209">
        <v>200</v>
      </c>
      <c r="K56" s="330"/>
      <c r="L56" s="333"/>
      <c r="M56" s="332"/>
    </row>
    <row r="57" spans="1:13" x14ac:dyDescent="0.3">
      <c r="A57" s="268" t="s">
        <v>7</v>
      </c>
      <c r="B57" s="268" t="s">
        <v>93</v>
      </c>
      <c r="C57" s="269" t="s">
        <v>94</v>
      </c>
      <c r="D57" s="422"/>
      <c r="E57" s="444"/>
      <c r="F57" s="444"/>
      <c r="G57" s="322">
        <v>4</v>
      </c>
      <c r="H57" s="33">
        <v>6000</v>
      </c>
      <c r="I57" s="217">
        <v>5</v>
      </c>
      <c r="J57" s="209">
        <v>200</v>
      </c>
      <c r="K57" s="330"/>
      <c r="L57" s="333"/>
      <c r="M57" s="332"/>
    </row>
    <row r="58" spans="1:13" x14ac:dyDescent="0.3">
      <c r="A58" s="268" t="s">
        <v>7</v>
      </c>
      <c r="B58" s="268" t="s">
        <v>19</v>
      </c>
      <c r="C58" s="269" t="s">
        <v>20</v>
      </c>
      <c r="D58" s="422"/>
      <c r="E58" s="444"/>
      <c r="F58" s="444"/>
      <c r="G58" s="322">
        <v>3</v>
      </c>
      <c r="H58" s="33">
        <v>1540</v>
      </c>
      <c r="I58" s="217">
        <v>2</v>
      </c>
      <c r="J58" s="209">
        <v>200</v>
      </c>
      <c r="K58" s="339"/>
      <c r="L58" s="333"/>
      <c r="M58" s="332"/>
    </row>
    <row r="59" spans="1:13" x14ac:dyDescent="0.3">
      <c r="A59" s="40" t="s">
        <v>7</v>
      </c>
      <c r="B59" s="40" t="s">
        <v>144</v>
      </c>
      <c r="C59" s="41" t="s">
        <v>143</v>
      </c>
      <c r="D59" s="422"/>
      <c r="E59" s="444"/>
      <c r="F59" s="444"/>
      <c r="G59" s="322">
        <v>9</v>
      </c>
      <c r="H59" s="33">
        <v>6000</v>
      </c>
      <c r="I59" s="217">
        <v>5</v>
      </c>
      <c r="J59" s="209">
        <v>200</v>
      </c>
      <c r="K59" s="330"/>
      <c r="L59" s="333"/>
      <c r="M59" s="332"/>
    </row>
    <row r="60" spans="1:13" x14ac:dyDescent="0.3">
      <c r="A60" s="40" t="s">
        <v>7</v>
      </c>
      <c r="B60" s="40" t="s">
        <v>17</v>
      </c>
      <c r="C60" s="41" t="s">
        <v>18</v>
      </c>
      <c r="D60" s="422"/>
      <c r="E60" s="444"/>
      <c r="F60" s="444"/>
      <c r="G60" s="322">
        <v>5</v>
      </c>
      <c r="H60" s="33">
        <v>3300</v>
      </c>
      <c r="I60" s="217">
        <v>6</v>
      </c>
      <c r="J60" s="209">
        <v>200</v>
      </c>
      <c r="K60" s="340"/>
      <c r="L60" s="333"/>
      <c r="M60" s="332"/>
    </row>
    <row r="61" spans="1:13" ht="13.5" thickBot="1" x14ac:dyDescent="0.35">
      <c r="A61" s="44" t="s">
        <v>5</v>
      </c>
      <c r="B61" s="44" t="s">
        <v>17</v>
      </c>
      <c r="C61" s="45" t="s">
        <v>18</v>
      </c>
      <c r="D61" s="423"/>
      <c r="E61" s="445"/>
      <c r="F61" s="445"/>
      <c r="G61" s="323">
        <v>5</v>
      </c>
      <c r="H61" s="46">
        <v>3500</v>
      </c>
      <c r="I61" s="218">
        <v>6</v>
      </c>
      <c r="J61" s="210">
        <v>200</v>
      </c>
      <c r="K61" s="330"/>
      <c r="L61" s="333"/>
      <c r="M61" s="332"/>
    </row>
    <row r="62" spans="1:13" ht="13.5" thickBot="1" x14ac:dyDescent="0.35">
      <c r="A62" s="456"/>
      <c r="B62" s="456"/>
      <c r="C62" s="456"/>
      <c r="D62" s="456"/>
      <c r="E62" s="456"/>
      <c r="F62" s="456"/>
      <c r="G62" s="456"/>
      <c r="H62" s="456"/>
      <c r="I62" s="456"/>
      <c r="J62" s="456"/>
      <c r="K62" s="457"/>
      <c r="L62" s="457"/>
      <c r="M62" s="458"/>
    </row>
    <row r="63" spans="1:13" ht="39.5" thickBot="1" x14ac:dyDescent="0.3">
      <c r="A63" s="289" t="s">
        <v>1</v>
      </c>
      <c r="B63" s="294" t="s">
        <v>170</v>
      </c>
      <c r="C63" s="290" t="s">
        <v>3</v>
      </c>
      <c r="D63" s="291" t="s">
        <v>166</v>
      </c>
      <c r="E63" s="292" t="s">
        <v>150</v>
      </c>
      <c r="F63" s="291" t="s">
        <v>167</v>
      </c>
      <c r="G63" s="300" t="s">
        <v>219</v>
      </c>
      <c r="H63" s="287" t="s">
        <v>96</v>
      </c>
      <c r="I63" s="246" t="s">
        <v>97</v>
      </c>
      <c r="J63" s="148" t="s">
        <v>134</v>
      </c>
      <c r="K63" s="282" t="s">
        <v>96</v>
      </c>
      <c r="L63" s="283" t="s">
        <v>97</v>
      </c>
      <c r="M63" s="283" t="s">
        <v>134</v>
      </c>
    </row>
    <row r="64" spans="1:13" x14ac:dyDescent="0.3">
      <c r="A64" s="31" t="s">
        <v>7</v>
      </c>
      <c r="B64" s="31" t="s">
        <v>70</v>
      </c>
      <c r="C64" s="32" t="s">
        <v>71</v>
      </c>
      <c r="D64" s="377" t="s">
        <v>114</v>
      </c>
      <c r="E64" s="443" t="s">
        <v>153</v>
      </c>
      <c r="F64" s="443" t="s">
        <v>159</v>
      </c>
      <c r="G64" s="322">
        <v>4</v>
      </c>
      <c r="H64" s="243">
        <v>4200</v>
      </c>
      <c r="I64" s="244">
        <v>6</v>
      </c>
      <c r="J64" s="276">
        <v>200</v>
      </c>
      <c r="K64" s="336">
        <v>4000</v>
      </c>
      <c r="L64" s="335">
        <v>7</v>
      </c>
      <c r="M64" s="336">
        <v>300</v>
      </c>
    </row>
    <row r="65" spans="1:13" x14ac:dyDescent="0.3">
      <c r="A65" s="268" t="s">
        <v>7</v>
      </c>
      <c r="B65" s="268" t="s">
        <v>21</v>
      </c>
      <c r="C65" s="269" t="s">
        <v>23</v>
      </c>
      <c r="D65" s="378"/>
      <c r="E65" s="444"/>
      <c r="F65" s="444"/>
      <c r="G65" s="322">
        <v>10</v>
      </c>
      <c r="H65" s="33">
        <v>3500</v>
      </c>
      <c r="I65" s="217">
        <v>6</v>
      </c>
      <c r="J65" s="209">
        <v>200</v>
      </c>
      <c r="K65" s="336">
        <v>3500</v>
      </c>
      <c r="L65" s="336">
        <v>8</v>
      </c>
      <c r="M65" s="336">
        <v>200</v>
      </c>
    </row>
    <row r="66" spans="1:13" x14ac:dyDescent="0.3">
      <c r="A66" s="268" t="s">
        <v>7</v>
      </c>
      <c r="B66" s="268" t="s">
        <v>21</v>
      </c>
      <c r="C66" s="269" t="s">
        <v>72</v>
      </c>
      <c r="D66" s="378"/>
      <c r="E66" s="444"/>
      <c r="F66" s="444"/>
      <c r="G66" s="322">
        <v>10</v>
      </c>
      <c r="H66" s="33">
        <v>6900</v>
      </c>
      <c r="I66" s="217">
        <v>12</v>
      </c>
      <c r="J66" s="209">
        <v>200</v>
      </c>
      <c r="K66" s="336">
        <v>8700</v>
      </c>
      <c r="L66" s="336">
        <v>12</v>
      </c>
      <c r="M66" s="336">
        <v>300</v>
      </c>
    </row>
    <row r="67" spans="1:13" x14ac:dyDescent="0.3">
      <c r="A67" s="268" t="s">
        <v>7</v>
      </c>
      <c r="B67" s="268" t="s">
        <v>21</v>
      </c>
      <c r="C67" s="269" t="s">
        <v>22</v>
      </c>
      <c r="D67" s="378"/>
      <c r="E67" s="444"/>
      <c r="F67" s="444"/>
      <c r="G67" s="322">
        <v>10</v>
      </c>
      <c r="H67" s="33">
        <v>4200</v>
      </c>
      <c r="I67" s="217">
        <v>7</v>
      </c>
      <c r="J67" s="209">
        <v>200</v>
      </c>
      <c r="K67" s="336">
        <v>4000</v>
      </c>
      <c r="L67" s="336">
        <v>7</v>
      </c>
      <c r="M67" s="336">
        <v>200</v>
      </c>
    </row>
    <row r="68" spans="1:13" x14ac:dyDescent="0.3">
      <c r="A68" s="268" t="s">
        <v>7</v>
      </c>
      <c r="B68" s="268" t="s">
        <v>21</v>
      </c>
      <c r="C68" s="269" t="s">
        <v>92</v>
      </c>
      <c r="D68" s="378"/>
      <c r="E68" s="444"/>
      <c r="F68" s="444"/>
      <c r="G68" s="322">
        <v>4</v>
      </c>
      <c r="H68" s="33">
        <v>3980</v>
      </c>
      <c r="I68" s="217">
        <v>5</v>
      </c>
      <c r="J68" s="209">
        <v>200</v>
      </c>
      <c r="K68" s="336">
        <v>3500</v>
      </c>
      <c r="L68" s="336">
        <v>7</v>
      </c>
      <c r="M68" s="336">
        <v>300</v>
      </c>
    </row>
    <row r="69" spans="1:13" x14ac:dyDescent="0.3">
      <c r="A69" s="268" t="s">
        <v>7</v>
      </c>
      <c r="B69" s="268" t="s">
        <v>93</v>
      </c>
      <c r="C69" s="269" t="s">
        <v>94</v>
      </c>
      <c r="D69" s="378"/>
      <c r="E69" s="444"/>
      <c r="F69" s="444"/>
      <c r="G69" s="322">
        <v>4</v>
      </c>
      <c r="H69" s="33">
        <v>5000</v>
      </c>
      <c r="I69" s="217">
        <v>5</v>
      </c>
      <c r="J69" s="209">
        <v>200</v>
      </c>
      <c r="K69" s="336">
        <v>6000</v>
      </c>
      <c r="L69" s="336">
        <v>8</v>
      </c>
      <c r="M69" s="336">
        <v>300</v>
      </c>
    </row>
    <row r="70" spans="1:13" x14ac:dyDescent="0.3">
      <c r="A70" s="268" t="s">
        <v>7</v>
      </c>
      <c r="B70" s="268" t="s">
        <v>19</v>
      </c>
      <c r="C70" s="269" t="s">
        <v>20</v>
      </c>
      <c r="D70" s="378"/>
      <c r="E70" s="444"/>
      <c r="F70" s="444"/>
      <c r="G70" s="322">
        <v>3</v>
      </c>
      <c r="H70" s="33">
        <v>1200</v>
      </c>
      <c r="I70" s="217">
        <v>2</v>
      </c>
      <c r="J70" s="209">
        <v>200</v>
      </c>
      <c r="K70" s="336">
        <v>2300</v>
      </c>
      <c r="L70" s="336">
        <v>3</v>
      </c>
      <c r="M70" s="336">
        <v>300</v>
      </c>
    </row>
    <row r="71" spans="1:13" x14ac:dyDescent="0.3">
      <c r="A71" s="40" t="s">
        <v>7</v>
      </c>
      <c r="B71" s="40" t="s">
        <v>144</v>
      </c>
      <c r="C71" s="41" t="s">
        <v>143</v>
      </c>
      <c r="D71" s="378"/>
      <c r="E71" s="444"/>
      <c r="F71" s="444"/>
      <c r="G71" s="322">
        <v>9</v>
      </c>
      <c r="H71" s="33">
        <v>2950</v>
      </c>
      <c r="I71" s="217">
        <v>5</v>
      </c>
      <c r="J71" s="209">
        <v>200</v>
      </c>
      <c r="K71" s="336">
        <v>3700</v>
      </c>
      <c r="L71" s="336">
        <v>4</v>
      </c>
      <c r="M71" s="336">
        <v>300</v>
      </c>
    </row>
    <row r="72" spans="1:13" x14ac:dyDescent="0.3">
      <c r="A72" s="40" t="s">
        <v>7</v>
      </c>
      <c r="B72" s="40" t="s">
        <v>17</v>
      </c>
      <c r="C72" s="41" t="s">
        <v>18</v>
      </c>
      <c r="D72" s="378"/>
      <c r="E72" s="444"/>
      <c r="F72" s="444"/>
      <c r="G72" s="322">
        <v>5</v>
      </c>
      <c r="H72" s="33">
        <v>2400</v>
      </c>
      <c r="I72" s="217">
        <v>6</v>
      </c>
      <c r="J72" s="209">
        <v>200</v>
      </c>
      <c r="K72" s="336">
        <v>3000</v>
      </c>
      <c r="L72" s="336">
        <v>6</v>
      </c>
      <c r="M72" s="336">
        <v>200</v>
      </c>
    </row>
    <row r="73" spans="1:13" ht="13.5" thickBot="1" x14ac:dyDescent="0.35">
      <c r="A73" s="44" t="s">
        <v>5</v>
      </c>
      <c r="B73" s="44" t="s">
        <v>17</v>
      </c>
      <c r="C73" s="45" t="s">
        <v>18</v>
      </c>
      <c r="D73" s="379"/>
      <c r="E73" s="445"/>
      <c r="F73" s="445"/>
      <c r="G73" s="323">
        <v>5</v>
      </c>
      <c r="H73" s="46">
        <v>3000</v>
      </c>
      <c r="I73" s="218">
        <v>6</v>
      </c>
      <c r="J73" s="210">
        <v>200</v>
      </c>
      <c r="K73" s="336">
        <v>3000</v>
      </c>
      <c r="L73" s="336">
        <v>7</v>
      </c>
      <c r="M73" s="336">
        <v>300</v>
      </c>
    </row>
    <row r="74" spans="1:13" ht="13.5" thickBot="1" x14ac:dyDescent="0.35">
      <c r="A74" s="456"/>
      <c r="B74" s="456"/>
      <c r="C74" s="456"/>
      <c r="D74" s="456"/>
      <c r="E74" s="456"/>
      <c r="F74" s="456"/>
      <c r="G74" s="456"/>
      <c r="H74" s="456"/>
      <c r="I74" s="456"/>
      <c r="J74" s="456"/>
      <c r="K74" s="457"/>
      <c r="L74" s="457"/>
      <c r="M74" s="458"/>
    </row>
    <row r="75" spans="1:13" ht="39.5" thickBot="1" x14ac:dyDescent="0.3">
      <c r="A75" s="289" t="s">
        <v>1</v>
      </c>
      <c r="B75" s="294" t="s">
        <v>170</v>
      </c>
      <c r="C75" s="290" t="s">
        <v>3</v>
      </c>
      <c r="D75" s="291" t="s">
        <v>166</v>
      </c>
      <c r="E75" s="292" t="s">
        <v>150</v>
      </c>
      <c r="F75" s="291" t="s">
        <v>167</v>
      </c>
      <c r="G75" s="300" t="s">
        <v>219</v>
      </c>
      <c r="H75" s="287" t="s">
        <v>96</v>
      </c>
      <c r="I75" s="246" t="s">
        <v>97</v>
      </c>
      <c r="J75" s="148" t="s">
        <v>134</v>
      </c>
      <c r="K75" s="282" t="s">
        <v>96</v>
      </c>
      <c r="L75" s="283" t="s">
        <v>97</v>
      </c>
      <c r="M75" s="283" t="s">
        <v>134</v>
      </c>
    </row>
    <row r="76" spans="1:13" x14ac:dyDescent="0.3">
      <c r="A76" s="31" t="s">
        <v>7</v>
      </c>
      <c r="B76" s="31" t="s">
        <v>70</v>
      </c>
      <c r="C76" s="32" t="s">
        <v>71</v>
      </c>
      <c r="D76" s="377" t="s">
        <v>145</v>
      </c>
      <c r="E76" s="443" t="s">
        <v>160</v>
      </c>
      <c r="F76" s="443" t="s">
        <v>161</v>
      </c>
      <c r="G76" s="322">
        <v>4</v>
      </c>
      <c r="H76" s="243">
        <v>3200</v>
      </c>
      <c r="I76" s="244">
        <v>6</v>
      </c>
      <c r="J76" s="276">
        <v>185</v>
      </c>
      <c r="K76" s="330"/>
      <c r="L76" s="331"/>
      <c r="M76" s="332"/>
    </row>
    <row r="77" spans="1:13" x14ac:dyDescent="0.3">
      <c r="A77" s="268" t="s">
        <v>7</v>
      </c>
      <c r="B77" s="268" t="s">
        <v>21</v>
      </c>
      <c r="C77" s="269" t="s">
        <v>23</v>
      </c>
      <c r="D77" s="378"/>
      <c r="E77" s="444"/>
      <c r="F77" s="444"/>
      <c r="G77" s="322">
        <v>10</v>
      </c>
      <c r="H77" s="33">
        <v>3200</v>
      </c>
      <c r="I77" s="217">
        <v>6</v>
      </c>
      <c r="J77" s="209">
        <v>185</v>
      </c>
      <c r="K77" s="330"/>
      <c r="L77" s="333"/>
      <c r="M77" s="332"/>
    </row>
    <row r="78" spans="1:13" x14ac:dyDescent="0.3">
      <c r="A78" s="268" t="s">
        <v>7</v>
      </c>
      <c r="B78" s="268" t="s">
        <v>21</v>
      </c>
      <c r="C78" s="269" t="s">
        <v>72</v>
      </c>
      <c r="D78" s="378"/>
      <c r="E78" s="444"/>
      <c r="F78" s="444"/>
      <c r="G78" s="322">
        <v>10</v>
      </c>
      <c r="H78" s="33">
        <v>5900</v>
      </c>
      <c r="I78" s="217">
        <v>12</v>
      </c>
      <c r="J78" s="34">
        <v>185</v>
      </c>
      <c r="K78" s="351">
        <f>6700+$O$1</f>
        <v>6700</v>
      </c>
      <c r="L78" s="352">
        <v>12</v>
      </c>
      <c r="M78" s="244">
        <v>200</v>
      </c>
    </row>
    <row r="79" spans="1:13" x14ac:dyDescent="0.3">
      <c r="A79" s="268" t="s">
        <v>7</v>
      </c>
      <c r="B79" s="268" t="s">
        <v>21</v>
      </c>
      <c r="C79" s="269" t="s">
        <v>22</v>
      </c>
      <c r="D79" s="378"/>
      <c r="E79" s="444"/>
      <c r="F79" s="444"/>
      <c r="G79" s="322">
        <v>10</v>
      </c>
      <c r="H79" s="33">
        <v>3400</v>
      </c>
      <c r="I79" s="217">
        <v>7</v>
      </c>
      <c r="J79" s="34">
        <v>185</v>
      </c>
      <c r="K79" s="285">
        <v>4300</v>
      </c>
      <c r="L79" s="226">
        <v>7</v>
      </c>
      <c r="M79" s="217">
        <v>300</v>
      </c>
    </row>
    <row r="80" spans="1:13" x14ac:dyDescent="0.3">
      <c r="A80" s="268" t="s">
        <v>7</v>
      </c>
      <c r="B80" s="268" t="s">
        <v>21</v>
      </c>
      <c r="C80" s="269" t="s">
        <v>92</v>
      </c>
      <c r="D80" s="378"/>
      <c r="E80" s="444"/>
      <c r="F80" s="444"/>
      <c r="G80" s="322">
        <v>4</v>
      </c>
      <c r="H80" s="33">
        <v>3980</v>
      </c>
      <c r="I80" s="217">
        <v>5</v>
      </c>
      <c r="J80" s="34">
        <v>185</v>
      </c>
      <c r="K80" s="285">
        <v>3700</v>
      </c>
      <c r="L80" s="226">
        <v>7</v>
      </c>
      <c r="M80" s="217">
        <v>300</v>
      </c>
    </row>
    <row r="81" spans="1:13" x14ac:dyDescent="0.3">
      <c r="A81" s="268" t="s">
        <v>7</v>
      </c>
      <c r="B81" s="268" t="s">
        <v>93</v>
      </c>
      <c r="C81" s="269" t="s">
        <v>94</v>
      </c>
      <c r="D81" s="378"/>
      <c r="E81" s="444"/>
      <c r="F81" s="444"/>
      <c r="G81" s="322">
        <v>4</v>
      </c>
      <c r="H81" s="33">
        <v>5000</v>
      </c>
      <c r="I81" s="217">
        <v>5</v>
      </c>
      <c r="J81" s="34">
        <v>185</v>
      </c>
      <c r="K81" s="285">
        <v>6700</v>
      </c>
      <c r="L81" s="226">
        <v>8</v>
      </c>
      <c r="M81" s="217">
        <v>200</v>
      </c>
    </row>
    <row r="82" spans="1:13" x14ac:dyDescent="0.3">
      <c r="A82" s="268" t="s">
        <v>7</v>
      </c>
      <c r="B82" s="268" t="s">
        <v>19</v>
      </c>
      <c r="C82" s="269" t="s">
        <v>20</v>
      </c>
      <c r="D82" s="378"/>
      <c r="E82" s="444"/>
      <c r="F82" s="444"/>
      <c r="G82" s="322">
        <v>3</v>
      </c>
      <c r="H82" s="33">
        <v>1050</v>
      </c>
      <c r="I82" s="217">
        <v>2</v>
      </c>
      <c r="J82" s="34">
        <v>185</v>
      </c>
      <c r="K82" s="285">
        <f>1400+$O$1</f>
        <v>1400</v>
      </c>
      <c r="L82" s="226">
        <v>3</v>
      </c>
      <c r="M82" s="217">
        <v>200</v>
      </c>
    </row>
    <row r="83" spans="1:13" x14ac:dyDescent="0.3">
      <c r="A83" s="40" t="s">
        <v>7</v>
      </c>
      <c r="B83" s="40" t="s">
        <v>144</v>
      </c>
      <c r="C83" s="41" t="s">
        <v>143</v>
      </c>
      <c r="D83" s="378"/>
      <c r="E83" s="444"/>
      <c r="F83" s="444"/>
      <c r="G83" s="322">
        <v>9</v>
      </c>
      <c r="H83" s="33">
        <v>2500</v>
      </c>
      <c r="I83" s="217">
        <v>5</v>
      </c>
      <c r="J83" s="34">
        <v>185</v>
      </c>
      <c r="K83" s="285">
        <v>3700</v>
      </c>
      <c r="L83" s="226">
        <v>4</v>
      </c>
      <c r="M83" s="217">
        <v>300</v>
      </c>
    </row>
    <row r="84" spans="1:13" x14ac:dyDescent="0.3">
      <c r="A84" s="40" t="s">
        <v>7</v>
      </c>
      <c r="B84" s="40" t="s">
        <v>17</v>
      </c>
      <c r="C84" s="41" t="s">
        <v>18</v>
      </c>
      <c r="D84" s="378"/>
      <c r="E84" s="444"/>
      <c r="F84" s="444"/>
      <c r="G84" s="322">
        <v>5</v>
      </c>
      <c r="H84" s="33">
        <v>2400</v>
      </c>
      <c r="I84" s="217">
        <v>5</v>
      </c>
      <c r="J84" s="34">
        <v>185</v>
      </c>
      <c r="K84" s="285">
        <v>3200</v>
      </c>
      <c r="L84" s="226">
        <v>6</v>
      </c>
      <c r="M84" s="217">
        <v>200</v>
      </c>
    </row>
    <row r="85" spans="1:13" ht="13.5" thickBot="1" x14ac:dyDescent="0.35">
      <c r="A85" s="44" t="s">
        <v>5</v>
      </c>
      <c r="B85" s="44" t="s">
        <v>17</v>
      </c>
      <c r="C85" s="45" t="s">
        <v>18</v>
      </c>
      <c r="D85" s="379"/>
      <c r="E85" s="445"/>
      <c r="F85" s="445"/>
      <c r="G85" s="323">
        <v>5</v>
      </c>
      <c r="H85" s="46">
        <v>3000</v>
      </c>
      <c r="I85" s="218">
        <v>6</v>
      </c>
      <c r="J85" s="47">
        <v>185</v>
      </c>
      <c r="K85" s="161">
        <v>3200</v>
      </c>
      <c r="L85" s="227">
        <v>7</v>
      </c>
      <c r="M85" s="218">
        <v>200</v>
      </c>
    </row>
    <row r="86" spans="1:13" ht="13.5" thickBot="1" x14ac:dyDescent="0.35">
      <c r="A86" s="456"/>
      <c r="B86" s="456"/>
      <c r="C86" s="456"/>
      <c r="D86" s="456"/>
      <c r="E86" s="456"/>
      <c r="F86" s="456"/>
      <c r="G86" s="456"/>
      <c r="H86" s="456"/>
      <c r="I86" s="456"/>
      <c r="J86" s="456"/>
      <c r="K86" s="457"/>
      <c r="L86" s="457"/>
      <c r="M86" s="458"/>
    </row>
    <row r="87" spans="1:13" ht="39.5" thickBot="1" x14ac:dyDescent="0.3">
      <c r="A87" s="289" t="s">
        <v>1</v>
      </c>
      <c r="B87" s="294" t="s">
        <v>170</v>
      </c>
      <c r="C87" s="290" t="s">
        <v>3</v>
      </c>
      <c r="D87" s="291" t="s">
        <v>166</v>
      </c>
      <c r="E87" s="292" t="s">
        <v>150</v>
      </c>
      <c r="F87" s="291" t="s">
        <v>167</v>
      </c>
      <c r="G87" s="300" t="s">
        <v>219</v>
      </c>
      <c r="H87" s="287" t="s">
        <v>96</v>
      </c>
      <c r="I87" s="246" t="s">
        <v>97</v>
      </c>
      <c r="J87" s="148" t="s">
        <v>134</v>
      </c>
      <c r="K87" s="293" t="s">
        <v>96</v>
      </c>
      <c r="L87" s="246" t="s">
        <v>97</v>
      </c>
      <c r="M87" s="246" t="s">
        <v>134</v>
      </c>
    </row>
    <row r="88" spans="1:13" x14ac:dyDescent="0.3">
      <c r="A88" s="31" t="s">
        <v>7</v>
      </c>
      <c r="B88" s="31" t="s">
        <v>70</v>
      </c>
      <c r="C88" s="32" t="s">
        <v>71</v>
      </c>
      <c r="D88" s="377" t="s">
        <v>146</v>
      </c>
      <c r="E88" s="443" t="s">
        <v>162</v>
      </c>
      <c r="F88" s="443" t="s">
        <v>163</v>
      </c>
      <c r="G88" s="322">
        <v>4</v>
      </c>
      <c r="H88" s="243">
        <v>3000</v>
      </c>
      <c r="I88" s="244">
        <v>6</v>
      </c>
      <c r="J88" s="245">
        <v>150</v>
      </c>
      <c r="K88" s="162">
        <v>4200</v>
      </c>
      <c r="L88" s="284">
        <v>7</v>
      </c>
      <c r="M88" s="247">
        <v>200</v>
      </c>
    </row>
    <row r="89" spans="1:13" x14ac:dyDescent="0.3">
      <c r="A89" s="268" t="s">
        <v>7</v>
      </c>
      <c r="B89" s="268" t="s">
        <v>21</v>
      </c>
      <c r="C89" s="269" t="s">
        <v>23</v>
      </c>
      <c r="D89" s="378"/>
      <c r="E89" s="444"/>
      <c r="F89" s="444"/>
      <c r="G89" s="322">
        <v>10</v>
      </c>
      <c r="H89" s="33">
        <v>3000</v>
      </c>
      <c r="I89" s="217">
        <v>6</v>
      </c>
      <c r="J89" s="34">
        <v>150</v>
      </c>
      <c r="K89" s="285">
        <v>3700</v>
      </c>
      <c r="L89" s="226">
        <v>8</v>
      </c>
      <c r="M89" s="217">
        <v>200</v>
      </c>
    </row>
    <row r="90" spans="1:13" x14ac:dyDescent="0.3">
      <c r="A90" s="268" t="s">
        <v>7</v>
      </c>
      <c r="B90" s="268" t="s">
        <v>21</v>
      </c>
      <c r="C90" s="269" t="s">
        <v>72</v>
      </c>
      <c r="D90" s="378"/>
      <c r="E90" s="444"/>
      <c r="F90" s="444"/>
      <c r="G90" s="322">
        <v>10</v>
      </c>
      <c r="H90" s="33">
        <v>5700</v>
      </c>
      <c r="I90" s="217">
        <v>12</v>
      </c>
      <c r="J90" s="34">
        <v>150</v>
      </c>
      <c r="K90" s="285">
        <f>6700+$O$1</f>
        <v>6700</v>
      </c>
      <c r="L90" s="226">
        <v>12</v>
      </c>
      <c r="M90" s="217">
        <v>300</v>
      </c>
    </row>
    <row r="91" spans="1:13" x14ac:dyDescent="0.3">
      <c r="A91" s="268" t="s">
        <v>7</v>
      </c>
      <c r="B91" s="268" t="s">
        <v>21</v>
      </c>
      <c r="C91" s="269" t="s">
        <v>22</v>
      </c>
      <c r="D91" s="378"/>
      <c r="E91" s="444"/>
      <c r="F91" s="444"/>
      <c r="G91" s="322">
        <v>10</v>
      </c>
      <c r="H91" s="33">
        <v>3200</v>
      </c>
      <c r="I91" s="217">
        <v>7</v>
      </c>
      <c r="J91" s="34">
        <v>150</v>
      </c>
      <c r="K91" s="285">
        <v>4200</v>
      </c>
      <c r="L91" s="226">
        <v>7</v>
      </c>
      <c r="M91" s="217">
        <v>300</v>
      </c>
    </row>
    <row r="92" spans="1:13" x14ac:dyDescent="0.3">
      <c r="A92" s="268" t="s">
        <v>7</v>
      </c>
      <c r="B92" s="268" t="s">
        <v>21</v>
      </c>
      <c r="C92" s="269" t="s">
        <v>92</v>
      </c>
      <c r="D92" s="378"/>
      <c r="E92" s="444"/>
      <c r="F92" s="444"/>
      <c r="G92" s="322">
        <v>4</v>
      </c>
      <c r="H92" s="33">
        <v>3000</v>
      </c>
      <c r="I92" s="217">
        <v>5</v>
      </c>
      <c r="J92" s="34">
        <v>150</v>
      </c>
      <c r="K92" s="285">
        <v>3700</v>
      </c>
      <c r="L92" s="226">
        <v>7</v>
      </c>
      <c r="M92" s="217">
        <v>300</v>
      </c>
    </row>
    <row r="93" spans="1:13" x14ac:dyDescent="0.3">
      <c r="A93" s="268" t="s">
        <v>7</v>
      </c>
      <c r="B93" s="268" t="s">
        <v>93</v>
      </c>
      <c r="C93" s="269" t="s">
        <v>94</v>
      </c>
      <c r="D93" s="378"/>
      <c r="E93" s="444"/>
      <c r="F93" s="444"/>
      <c r="G93" s="322">
        <v>4</v>
      </c>
      <c r="H93" s="33">
        <v>4500</v>
      </c>
      <c r="I93" s="217">
        <v>5</v>
      </c>
      <c r="J93" s="34">
        <v>150</v>
      </c>
      <c r="K93" s="285">
        <f>6200+$O$1</f>
        <v>6200</v>
      </c>
      <c r="L93" s="226">
        <v>8</v>
      </c>
      <c r="M93" s="217">
        <v>200</v>
      </c>
    </row>
    <row r="94" spans="1:13" x14ac:dyDescent="0.3">
      <c r="A94" s="268" t="s">
        <v>7</v>
      </c>
      <c r="B94" s="268" t="s">
        <v>19</v>
      </c>
      <c r="C94" s="269" t="s">
        <v>20</v>
      </c>
      <c r="D94" s="378"/>
      <c r="E94" s="444"/>
      <c r="F94" s="444"/>
      <c r="G94" s="322">
        <v>3</v>
      </c>
      <c r="H94" s="33">
        <v>950</v>
      </c>
      <c r="I94" s="217">
        <v>2</v>
      </c>
      <c r="J94" s="34">
        <v>150</v>
      </c>
      <c r="K94" s="285">
        <f>1400+$O$1</f>
        <v>1400</v>
      </c>
      <c r="L94" s="226">
        <v>3</v>
      </c>
      <c r="M94" s="217">
        <v>200</v>
      </c>
    </row>
    <row r="95" spans="1:13" x14ac:dyDescent="0.3">
      <c r="A95" s="40" t="s">
        <v>7</v>
      </c>
      <c r="B95" s="40" t="s">
        <v>144</v>
      </c>
      <c r="C95" s="41" t="s">
        <v>143</v>
      </c>
      <c r="D95" s="378"/>
      <c r="E95" s="444"/>
      <c r="F95" s="444"/>
      <c r="G95" s="322">
        <v>9</v>
      </c>
      <c r="H95" s="33">
        <v>2400</v>
      </c>
      <c r="I95" s="217">
        <v>5</v>
      </c>
      <c r="J95" s="34">
        <v>150</v>
      </c>
      <c r="K95" s="285">
        <v>3700</v>
      </c>
      <c r="L95" s="226">
        <v>4</v>
      </c>
      <c r="M95" s="217">
        <v>300</v>
      </c>
    </row>
    <row r="96" spans="1:13" x14ac:dyDescent="0.3">
      <c r="A96" s="40" t="s">
        <v>7</v>
      </c>
      <c r="B96" s="40" t="s">
        <v>17</v>
      </c>
      <c r="C96" s="41" t="s">
        <v>18</v>
      </c>
      <c r="D96" s="378"/>
      <c r="E96" s="444"/>
      <c r="F96" s="444"/>
      <c r="G96" s="322">
        <v>5</v>
      </c>
      <c r="H96" s="33">
        <v>2200</v>
      </c>
      <c r="I96" s="217">
        <v>5</v>
      </c>
      <c r="J96" s="34">
        <v>150</v>
      </c>
      <c r="K96" s="285">
        <v>3200</v>
      </c>
      <c r="L96" s="226">
        <v>6</v>
      </c>
      <c r="M96" s="217">
        <v>200</v>
      </c>
    </row>
    <row r="97" spans="1:13" ht="13.5" thickBot="1" x14ac:dyDescent="0.35">
      <c r="A97" s="44" t="s">
        <v>5</v>
      </c>
      <c r="B97" s="44" t="s">
        <v>17</v>
      </c>
      <c r="C97" s="45" t="s">
        <v>18</v>
      </c>
      <c r="D97" s="379"/>
      <c r="E97" s="445"/>
      <c r="F97" s="445"/>
      <c r="G97" s="323">
        <v>5</v>
      </c>
      <c r="H97" s="46">
        <v>2700</v>
      </c>
      <c r="I97" s="218">
        <v>6</v>
      </c>
      <c r="J97" s="47">
        <v>150</v>
      </c>
      <c r="K97" s="161">
        <v>3200</v>
      </c>
      <c r="L97" s="227">
        <v>7</v>
      </c>
      <c r="M97" s="218">
        <v>200</v>
      </c>
    </row>
    <row r="98" spans="1:13" ht="13.5" thickBot="1" x14ac:dyDescent="0.35">
      <c r="A98" s="456"/>
      <c r="B98" s="456"/>
      <c r="C98" s="456"/>
      <c r="D98" s="456"/>
      <c r="E98" s="456"/>
      <c r="F98" s="456"/>
      <c r="G98" s="456"/>
      <c r="H98" s="456"/>
      <c r="I98" s="456"/>
      <c r="J98" s="456"/>
      <c r="K98" s="457"/>
      <c r="L98" s="457"/>
      <c r="M98" s="458"/>
    </row>
    <row r="99" spans="1:13" ht="39.5" thickBot="1" x14ac:dyDescent="0.3">
      <c r="A99" s="289" t="s">
        <v>1</v>
      </c>
      <c r="B99" s="294" t="s">
        <v>170</v>
      </c>
      <c r="C99" s="290" t="s">
        <v>3</v>
      </c>
      <c r="D99" s="291" t="s">
        <v>166</v>
      </c>
      <c r="E99" s="292" t="s">
        <v>150</v>
      </c>
      <c r="F99" s="291" t="s">
        <v>167</v>
      </c>
      <c r="G99" s="300" t="s">
        <v>219</v>
      </c>
      <c r="H99" s="287" t="s">
        <v>96</v>
      </c>
      <c r="I99" s="246" t="s">
        <v>97</v>
      </c>
      <c r="J99" s="148" t="s">
        <v>134</v>
      </c>
      <c r="K99" s="293" t="s">
        <v>96</v>
      </c>
      <c r="L99" s="246" t="s">
        <v>97</v>
      </c>
      <c r="M99" s="246" t="s">
        <v>134</v>
      </c>
    </row>
    <row r="100" spans="1:13" x14ac:dyDescent="0.3">
      <c r="A100" s="31" t="s">
        <v>7</v>
      </c>
      <c r="B100" s="31" t="s">
        <v>70</v>
      </c>
      <c r="C100" s="32" t="s">
        <v>71</v>
      </c>
      <c r="D100" s="377" t="s">
        <v>147</v>
      </c>
      <c r="E100" s="443" t="s">
        <v>165</v>
      </c>
      <c r="F100" s="443" t="s">
        <v>164</v>
      </c>
      <c r="G100" s="322">
        <v>4</v>
      </c>
      <c r="H100" s="243">
        <v>3000</v>
      </c>
      <c r="I100" s="244">
        <v>6</v>
      </c>
      <c r="J100" s="245">
        <v>150</v>
      </c>
      <c r="K100" s="162">
        <v>4200</v>
      </c>
      <c r="L100" s="284">
        <v>7</v>
      </c>
      <c r="M100" s="247">
        <v>200</v>
      </c>
    </row>
    <row r="101" spans="1:13" x14ac:dyDescent="0.3">
      <c r="A101" s="268" t="s">
        <v>7</v>
      </c>
      <c r="B101" s="268" t="s">
        <v>21</v>
      </c>
      <c r="C101" s="269" t="s">
        <v>23</v>
      </c>
      <c r="D101" s="378"/>
      <c r="E101" s="444"/>
      <c r="F101" s="444"/>
      <c r="G101" s="322">
        <v>10</v>
      </c>
      <c r="H101" s="33">
        <v>2900</v>
      </c>
      <c r="I101" s="217">
        <v>6</v>
      </c>
      <c r="J101" s="34">
        <v>150</v>
      </c>
      <c r="K101" s="285">
        <v>3700</v>
      </c>
      <c r="L101" s="226">
        <v>8</v>
      </c>
      <c r="M101" s="217">
        <v>200</v>
      </c>
    </row>
    <row r="102" spans="1:13" x14ac:dyDescent="0.3">
      <c r="A102" s="268" t="s">
        <v>7</v>
      </c>
      <c r="B102" s="268" t="s">
        <v>21</v>
      </c>
      <c r="C102" s="269" t="s">
        <v>72</v>
      </c>
      <c r="D102" s="378"/>
      <c r="E102" s="444"/>
      <c r="F102" s="444"/>
      <c r="G102" s="322">
        <v>10</v>
      </c>
      <c r="H102" s="33">
        <v>5700</v>
      </c>
      <c r="I102" s="217">
        <v>12</v>
      </c>
      <c r="J102" s="34">
        <v>150</v>
      </c>
      <c r="K102" s="285">
        <f>6700+$O$1</f>
        <v>6700</v>
      </c>
      <c r="L102" s="226">
        <v>12</v>
      </c>
      <c r="M102" s="217">
        <v>300</v>
      </c>
    </row>
    <row r="103" spans="1:13" x14ac:dyDescent="0.3">
      <c r="A103" s="268" t="s">
        <v>7</v>
      </c>
      <c r="B103" s="268" t="s">
        <v>21</v>
      </c>
      <c r="C103" s="269" t="s">
        <v>22</v>
      </c>
      <c r="D103" s="378"/>
      <c r="E103" s="444"/>
      <c r="F103" s="444"/>
      <c r="G103" s="322">
        <v>10</v>
      </c>
      <c r="H103" s="33">
        <v>3100</v>
      </c>
      <c r="I103" s="217">
        <v>7</v>
      </c>
      <c r="J103" s="34">
        <v>150</v>
      </c>
      <c r="K103" s="285">
        <v>4200</v>
      </c>
      <c r="L103" s="226">
        <v>7</v>
      </c>
      <c r="M103" s="217">
        <v>300</v>
      </c>
    </row>
    <row r="104" spans="1:13" x14ac:dyDescent="0.3">
      <c r="A104" s="268" t="s">
        <v>7</v>
      </c>
      <c r="B104" s="268" t="s">
        <v>21</v>
      </c>
      <c r="C104" s="269" t="s">
        <v>92</v>
      </c>
      <c r="D104" s="378"/>
      <c r="E104" s="444"/>
      <c r="F104" s="444"/>
      <c r="G104" s="322">
        <v>4</v>
      </c>
      <c r="H104" s="33">
        <v>3000</v>
      </c>
      <c r="I104" s="217">
        <v>5</v>
      </c>
      <c r="J104" s="34">
        <v>150</v>
      </c>
      <c r="K104" s="285">
        <v>3700</v>
      </c>
      <c r="L104" s="226">
        <v>7</v>
      </c>
      <c r="M104" s="217">
        <v>300</v>
      </c>
    </row>
    <row r="105" spans="1:13" x14ac:dyDescent="0.3">
      <c r="A105" s="268" t="s">
        <v>7</v>
      </c>
      <c r="B105" s="268" t="s">
        <v>93</v>
      </c>
      <c r="C105" s="269" t="s">
        <v>94</v>
      </c>
      <c r="D105" s="378"/>
      <c r="E105" s="444"/>
      <c r="F105" s="444"/>
      <c r="G105" s="322">
        <v>4</v>
      </c>
      <c r="H105" s="33">
        <v>4500</v>
      </c>
      <c r="I105" s="217">
        <v>5</v>
      </c>
      <c r="J105" s="34">
        <v>150</v>
      </c>
      <c r="K105" s="285">
        <f>6200+$O$1</f>
        <v>6200</v>
      </c>
      <c r="L105" s="226">
        <v>8</v>
      </c>
      <c r="M105" s="217">
        <v>200</v>
      </c>
    </row>
    <row r="106" spans="1:13" x14ac:dyDescent="0.3">
      <c r="A106" s="268" t="s">
        <v>7</v>
      </c>
      <c r="B106" s="268" t="s">
        <v>19</v>
      </c>
      <c r="C106" s="269" t="s">
        <v>20</v>
      </c>
      <c r="D106" s="378"/>
      <c r="E106" s="444"/>
      <c r="F106" s="444"/>
      <c r="G106" s="322">
        <v>3</v>
      </c>
      <c r="H106" s="33">
        <v>900</v>
      </c>
      <c r="I106" s="217">
        <v>2</v>
      </c>
      <c r="J106" s="34">
        <v>150</v>
      </c>
      <c r="K106" s="285">
        <f>1400+$O$1</f>
        <v>1400</v>
      </c>
      <c r="L106" s="226">
        <v>3</v>
      </c>
      <c r="M106" s="217">
        <v>200</v>
      </c>
    </row>
    <row r="107" spans="1:13" x14ac:dyDescent="0.3">
      <c r="A107" s="40" t="s">
        <v>7</v>
      </c>
      <c r="B107" s="40" t="s">
        <v>144</v>
      </c>
      <c r="C107" s="41" t="s">
        <v>143</v>
      </c>
      <c r="D107" s="378"/>
      <c r="E107" s="444"/>
      <c r="F107" s="444"/>
      <c r="G107" s="322">
        <v>9</v>
      </c>
      <c r="H107" s="33">
        <v>2300</v>
      </c>
      <c r="I107" s="217">
        <v>5</v>
      </c>
      <c r="J107" s="34">
        <v>150</v>
      </c>
      <c r="K107" s="285">
        <v>2700</v>
      </c>
      <c r="L107" s="226">
        <v>4</v>
      </c>
      <c r="M107" s="217">
        <v>300</v>
      </c>
    </row>
    <row r="108" spans="1:13" x14ac:dyDescent="0.3">
      <c r="A108" s="40" t="s">
        <v>7</v>
      </c>
      <c r="B108" s="40" t="s">
        <v>17</v>
      </c>
      <c r="C108" s="41" t="s">
        <v>18</v>
      </c>
      <c r="D108" s="378"/>
      <c r="E108" s="444"/>
      <c r="F108" s="444"/>
      <c r="G108" s="322">
        <v>5</v>
      </c>
      <c r="H108" s="33">
        <v>2200</v>
      </c>
      <c r="I108" s="217">
        <v>5</v>
      </c>
      <c r="J108" s="34">
        <v>150</v>
      </c>
      <c r="K108" s="285">
        <v>3200</v>
      </c>
      <c r="L108" s="226">
        <v>6</v>
      </c>
      <c r="M108" s="217">
        <v>200</v>
      </c>
    </row>
    <row r="109" spans="1:13" ht="13.5" thickBot="1" x14ac:dyDescent="0.35">
      <c r="A109" s="44" t="s">
        <v>5</v>
      </c>
      <c r="B109" s="44" t="s">
        <v>17</v>
      </c>
      <c r="C109" s="45" t="s">
        <v>18</v>
      </c>
      <c r="D109" s="379"/>
      <c r="E109" s="445"/>
      <c r="F109" s="445"/>
      <c r="G109" s="323">
        <v>5</v>
      </c>
      <c r="H109" s="46">
        <v>2700</v>
      </c>
      <c r="I109" s="218">
        <v>6</v>
      </c>
      <c r="J109" s="47">
        <v>150</v>
      </c>
      <c r="K109" s="161">
        <v>3200</v>
      </c>
      <c r="L109" s="227">
        <v>7</v>
      </c>
      <c r="M109" s="218">
        <v>200</v>
      </c>
    </row>
  </sheetData>
  <mergeCells count="30">
    <mergeCell ref="D100:D109"/>
    <mergeCell ref="E100:E109"/>
    <mergeCell ref="F100:F109"/>
    <mergeCell ref="D88:D97"/>
    <mergeCell ref="E88:E97"/>
    <mergeCell ref="F88:F97"/>
    <mergeCell ref="D76:D85"/>
    <mergeCell ref="E76:E85"/>
    <mergeCell ref="F76:F85"/>
    <mergeCell ref="D40:D49"/>
    <mergeCell ref="E40:E49"/>
    <mergeCell ref="F40:F49"/>
    <mergeCell ref="D64:D73"/>
    <mergeCell ref="E64:E73"/>
    <mergeCell ref="F64:F73"/>
    <mergeCell ref="D52:D61"/>
    <mergeCell ref="E52:E61"/>
    <mergeCell ref="F52:F61"/>
    <mergeCell ref="D16:D25"/>
    <mergeCell ref="E16:E25"/>
    <mergeCell ref="F16:F25"/>
    <mergeCell ref="D28:D37"/>
    <mergeCell ref="E28:E37"/>
    <mergeCell ref="F28:F37"/>
    <mergeCell ref="H1:M1"/>
    <mergeCell ref="H2:J2"/>
    <mergeCell ref="K2:M2"/>
    <mergeCell ref="D4:D13"/>
    <mergeCell ref="E4:E13"/>
    <mergeCell ref="F4:F13"/>
  </mergeCells>
  <conditionalFormatting sqref="H4:H13">
    <cfRule type="expression" dxfId="30" priority="9">
      <formula>#REF!=#REF!</formula>
    </cfRule>
  </conditionalFormatting>
  <conditionalFormatting sqref="H16:H25">
    <cfRule type="expression" dxfId="29" priority="8">
      <formula>#REF!=#REF!</formula>
    </cfRule>
  </conditionalFormatting>
  <conditionalFormatting sqref="H28:H37">
    <cfRule type="expression" dxfId="28" priority="7">
      <formula>#REF!=#REF!</formula>
    </cfRule>
  </conditionalFormatting>
  <conditionalFormatting sqref="H40:H49">
    <cfRule type="expression" dxfId="27" priority="6">
      <formula>#REF!=#REF!</formula>
    </cfRule>
  </conditionalFormatting>
  <conditionalFormatting sqref="H64:H73">
    <cfRule type="expression" dxfId="26" priority="5">
      <formula>#REF!=#REF!</formula>
    </cfRule>
  </conditionalFormatting>
  <conditionalFormatting sqref="H76:H85">
    <cfRule type="expression" dxfId="25" priority="4">
      <formula>#REF!=#REF!</formula>
    </cfRule>
  </conditionalFormatting>
  <conditionalFormatting sqref="H88:H97">
    <cfRule type="expression" dxfId="24" priority="3">
      <formula>#REF!=#REF!</formula>
    </cfRule>
  </conditionalFormatting>
  <conditionalFormatting sqref="H100:H109">
    <cfRule type="expression" dxfId="23" priority="2">
      <formula>#REF!=#REF!</formula>
    </cfRule>
  </conditionalFormatting>
  <conditionalFormatting sqref="H52:H61">
    <cfRule type="expression" dxfId="22" priority="1">
      <formula>#REF!=#REF!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4" topLeftCell="A5" activePane="bottomLeft" state="frozen"/>
      <selection pane="bottomLeft" activeCell="A5" sqref="A5:XFD5"/>
    </sheetView>
  </sheetViews>
  <sheetFormatPr defaultRowHeight="12.5" x14ac:dyDescent="0.25"/>
  <cols>
    <col min="1" max="1" width="23.54296875" bestFit="1" customWidth="1"/>
    <col min="2" max="2" width="11.1796875" customWidth="1"/>
    <col min="3" max="3" width="14.54296875" style="302" customWidth="1"/>
    <col min="4" max="4" width="13.453125" customWidth="1"/>
    <col min="5" max="5" width="14" bestFit="1" customWidth="1"/>
    <col min="6" max="6" width="12" bestFit="1" customWidth="1"/>
    <col min="8" max="8" width="14.81640625" customWidth="1"/>
  </cols>
  <sheetData>
    <row r="1" spans="1:8" ht="13" thickBot="1" x14ac:dyDescent="0.3">
      <c r="A1" s="341"/>
      <c r="B1" s="313"/>
      <c r="C1" s="342"/>
      <c r="D1" s="313"/>
      <c r="E1" s="313"/>
      <c r="F1" s="313"/>
      <c r="G1" s="313"/>
      <c r="H1" s="343"/>
    </row>
    <row r="2" spans="1:8" ht="13" thickBot="1" x14ac:dyDescent="0.3">
      <c r="A2" s="341"/>
      <c r="B2" s="455" t="s">
        <v>222</v>
      </c>
      <c r="C2" s="455"/>
      <c r="D2" s="455"/>
      <c r="E2" s="455"/>
      <c r="F2" s="163"/>
      <c r="G2" s="163"/>
      <c r="H2" s="163"/>
    </row>
    <row r="3" spans="1:8" ht="13.5" thickBot="1" x14ac:dyDescent="0.3">
      <c r="A3" s="347" t="s">
        <v>171</v>
      </c>
      <c r="B3" s="348"/>
      <c r="C3" s="453" t="s">
        <v>184</v>
      </c>
      <c r="D3" s="453"/>
      <c r="E3" s="453"/>
      <c r="F3" s="454" t="s">
        <v>185</v>
      </c>
      <c r="G3" s="454"/>
      <c r="H3" s="454"/>
    </row>
    <row r="4" spans="1:8" ht="39" x14ac:dyDescent="0.25">
      <c r="A4" s="324" t="s">
        <v>183</v>
      </c>
      <c r="B4" s="327" t="s">
        <v>219</v>
      </c>
      <c r="C4" s="325" t="s">
        <v>188</v>
      </c>
      <c r="D4" s="326" t="s">
        <v>187</v>
      </c>
      <c r="E4" s="327" t="s">
        <v>194</v>
      </c>
      <c r="F4" s="328" t="s">
        <v>172</v>
      </c>
      <c r="G4" s="326" t="s">
        <v>182</v>
      </c>
      <c r="H4" s="329" t="s">
        <v>173</v>
      </c>
    </row>
    <row r="5" spans="1:8" ht="13" x14ac:dyDescent="0.3">
      <c r="A5" s="316" t="s">
        <v>174</v>
      </c>
      <c r="B5" s="344">
        <v>5</v>
      </c>
      <c r="C5" s="370">
        <v>100</v>
      </c>
      <c r="D5" s="371">
        <v>1.85</v>
      </c>
      <c r="E5" s="372" t="s">
        <v>207</v>
      </c>
      <c r="F5" s="365">
        <v>80</v>
      </c>
      <c r="G5" s="366">
        <v>2.67</v>
      </c>
      <c r="H5" s="367" t="s">
        <v>218</v>
      </c>
    </row>
    <row r="6" spans="1:8" ht="13" x14ac:dyDescent="0.3">
      <c r="A6" s="316" t="s">
        <v>175</v>
      </c>
      <c r="B6" s="344">
        <v>10</v>
      </c>
      <c r="C6" s="370">
        <v>125</v>
      </c>
      <c r="D6" s="371">
        <v>1.85</v>
      </c>
      <c r="E6" s="372" t="s">
        <v>189</v>
      </c>
      <c r="F6" s="365">
        <v>80</v>
      </c>
      <c r="G6" s="366">
        <v>2.6</v>
      </c>
      <c r="H6" s="367" t="s">
        <v>208</v>
      </c>
    </row>
    <row r="7" spans="1:8" ht="13" x14ac:dyDescent="0.3">
      <c r="A7" s="316" t="s">
        <v>209</v>
      </c>
      <c r="B7" s="344">
        <v>9</v>
      </c>
      <c r="C7" s="370">
        <v>100</v>
      </c>
      <c r="D7" s="371">
        <v>1.25</v>
      </c>
      <c r="E7" s="372" t="s">
        <v>189</v>
      </c>
      <c r="F7" s="365"/>
      <c r="G7" s="366"/>
      <c r="H7" s="367" t="s">
        <v>218</v>
      </c>
    </row>
    <row r="8" spans="1:8" ht="13" x14ac:dyDescent="0.3">
      <c r="A8" s="316" t="s">
        <v>176</v>
      </c>
      <c r="B8" s="344">
        <v>9</v>
      </c>
      <c r="C8" s="370">
        <v>100</v>
      </c>
      <c r="D8" s="371">
        <v>1.25</v>
      </c>
      <c r="E8" s="372" t="s">
        <v>193</v>
      </c>
      <c r="F8" s="365">
        <v>115</v>
      </c>
      <c r="G8" s="366">
        <v>2.35</v>
      </c>
      <c r="H8" s="367" t="s">
        <v>218</v>
      </c>
    </row>
    <row r="9" spans="1:8" ht="13" x14ac:dyDescent="0.25">
      <c r="A9" s="316" t="s">
        <v>186</v>
      </c>
      <c r="B9" s="345">
        <v>10</v>
      </c>
      <c r="C9" s="370">
        <v>125</v>
      </c>
      <c r="D9" s="371">
        <v>2.4500000000000002</v>
      </c>
      <c r="E9" s="372" t="s">
        <v>191</v>
      </c>
      <c r="F9" s="365"/>
      <c r="G9" s="366"/>
      <c r="H9" s="367" t="s">
        <v>210</v>
      </c>
    </row>
    <row r="10" spans="1:8" ht="13" x14ac:dyDescent="0.3">
      <c r="A10" s="316" t="s">
        <v>177</v>
      </c>
      <c r="B10" s="344">
        <v>9</v>
      </c>
      <c r="C10" s="370">
        <v>125</v>
      </c>
      <c r="D10" s="371">
        <v>2.95</v>
      </c>
      <c r="E10" s="372" t="s">
        <v>191</v>
      </c>
      <c r="F10" s="365"/>
      <c r="G10" s="366"/>
      <c r="H10" s="367" t="s">
        <v>210</v>
      </c>
    </row>
    <row r="11" spans="1:8" ht="13" x14ac:dyDescent="0.3">
      <c r="A11" s="316" t="s">
        <v>178</v>
      </c>
      <c r="B11" s="344">
        <v>10</v>
      </c>
      <c r="C11" s="370">
        <v>125</v>
      </c>
      <c r="D11" s="371">
        <v>2.65</v>
      </c>
      <c r="E11" s="372" t="s">
        <v>191</v>
      </c>
      <c r="F11" s="365">
        <v>105</v>
      </c>
      <c r="G11" s="366">
        <v>3.52</v>
      </c>
      <c r="H11" s="367" t="s">
        <v>218</v>
      </c>
    </row>
    <row r="12" spans="1:8" ht="13" x14ac:dyDescent="0.3">
      <c r="A12" s="316" t="s">
        <v>179</v>
      </c>
      <c r="B12" s="344">
        <v>4</v>
      </c>
      <c r="C12" s="370">
        <v>100</v>
      </c>
      <c r="D12" s="371">
        <v>1.65</v>
      </c>
      <c r="E12" s="372" t="s">
        <v>192</v>
      </c>
      <c r="F12" s="365"/>
      <c r="G12" s="366">
        <v>3.2</v>
      </c>
      <c r="H12" s="367" t="s">
        <v>214</v>
      </c>
    </row>
    <row r="13" spans="1:8" ht="13" x14ac:dyDescent="0.3">
      <c r="A13" s="316" t="s">
        <v>180</v>
      </c>
      <c r="B13" s="344">
        <v>10</v>
      </c>
      <c r="C13" s="370">
        <v>150</v>
      </c>
      <c r="D13" s="371">
        <v>2.4500000000000002</v>
      </c>
      <c r="E13" s="372" t="s">
        <v>190</v>
      </c>
      <c r="F13" s="365"/>
      <c r="G13" s="366"/>
      <c r="H13" s="367" t="s">
        <v>211</v>
      </c>
    </row>
    <row r="14" spans="1:8" ht="13" x14ac:dyDescent="0.3">
      <c r="A14" s="316" t="s">
        <v>181</v>
      </c>
      <c r="B14" s="344">
        <v>9</v>
      </c>
      <c r="C14" s="370">
        <v>150</v>
      </c>
      <c r="D14" s="371">
        <v>2.4500000000000002</v>
      </c>
      <c r="E14" s="372" t="s">
        <v>190</v>
      </c>
      <c r="F14" s="365">
        <v>90</v>
      </c>
      <c r="G14" s="366">
        <v>2.92</v>
      </c>
      <c r="H14" s="367" t="s">
        <v>213</v>
      </c>
    </row>
    <row r="15" spans="1:8" ht="13" x14ac:dyDescent="0.25">
      <c r="A15" s="316" t="s">
        <v>195</v>
      </c>
      <c r="B15" s="350">
        <v>10</v>
      </c>
      <c r="C15" s="349"/>
      <c r="D15" s="314"/>
      <c r="E15" s="319"/>
      <c r="F15" s="365">
        <v>95</v>
      </c>
      <c r="G15" s="366">
        <v>3.2</v>
      </c>
      <c r="H15" s="367" t="s">
        <v>218</v>
      </c>
    </row>
    <row r="16" spans="1:8" ht="13" x14ac:dyDescent="0.25">
      <c r="A16" s="316" t="s">
        <v>196</v>
      </c>
      <c r="B16" s="350">
        <v>10</v>
      </c>
      <c r="C16" s="349"/>
      <c r="D16" s="314"/>
      <c r="E16" s="319"/>
      <c r="F16" s="365">
        <v>140</v>
      </c>
      <c r="G16" s="366">
        <v>3.2</v>
      </c>
      <c r="H16" s="367" t="s">
        <v>212</v>
      </c>
    </row>
    <row r="17" spans="1:11" ht="13" x14ac:dyDescent="0.25">
      <c r="A17" s="316" t="s">
        <v>197</v>
      </c>
      <c r="B17" s="345">
        <v>10</v>
      </c>
      <c r="C17" s="318"/>
      <c r="D17" s="314"/>
      <c r="E17" s="319"/>
      <c r="F17" s="365">
        <v>130</v>
      </c>
      <c r="G17" s="366">
        <v>4.32</v>
      </c>
      <c r="H17" s="367" t="s">
        <v>215</v>
      </c>
    </row>
    <row r="18" spans="1:11" ht="13" x14ac:dyDescent="0.3">
      <c r="A18" s="316" t="s">
        <v>198</v>
      </c>
      <c r="B18" s="344">
        <v>4</v>
      </c>
      <c r="C18" s="318"/>
      <c r="D18" s="314"/>
      <c r="E18" s="319"/>
      <c r="F18" s="365">
        <v>130</v>
      </c>
      <c r="G18" s="366">
        <v>4.32</v>
      </c>
      <c r="H18" s="367" t="s">
        <v>215</v>
      </c>
    </row>
    <row r="19" spans="1:11" ht="13" x14ac:dyDescent="0.3">
      <c r="A19" s="316" t="s">
        <v>199</v>
      </c>
      <c r="B19" s="344">
        <v>4</v>
      </c>
      <c r="C19" s="318"/>
      <c r="D19" s="314"/>
      <c r="E19" s="319"/>
      <c r="F19" s="365">
        <v>130</v>
      </c>
      <c r="G19" s="366">
        <v>4.32</v>
      </c>
      <c r="H19" s="367" t="s">
        <v>218</v>
      </c>
    </row>
    <row r="20" spans="1:11" ht="13" x14ac:dyDescent="0.3">
      <c r="A20" s="316" t="s">
        <v>200</v>
      </c>
      <c r="B20" s="344">
        <v>4</v>
      </c>
      <c r="C20" s="318"/>
      <c r="D20" s="314"/>
      <c r="E20" s="319"/>
      <c r="F20" s="365">
        <v>130</v>
      </c>
      <c r="G20" s="366">
        <v>2.27</v>
      </c>
      <c r="H20" s="367" t="s">
        <v>218</v>
      </c>
    </row>
    <row r="21" spans="1:11" ht="13" x14ac:dyDescent="0.3">
      <c r="A21" s="316" t="s">
        <v>201</v>
      </c>
      <c r="B21" s="344">
        <v>4</v>
      </c>
      <c r="C21" s="318"/>
      <c r="D21" s="314"/>
      <c r="E21" s="319"/>
      <c r="F21" s="365">
        <v>80</v>
      </c>
      <c r="G21" s="366">
        <v>2.57</v>
      </c>
      <c r="H21" s="367" t="s">
        <v>218</v>
      </c>
    </row>
    <row r="22" spans="1:11" ht="13.5" thickBot="1" x14ac:dyDescent="0.3">
      <c r="A22" s="317" t="s">
        <v>202</v>
      </c>
      <c r="B22" s="346">
        <v>3</v>
      </c>
      <c r="C22" s="320"/>
      <c r="D22" s="315"/>
      <c r="E22" s="321"/>
      <c r="F22" s="368">
        <v>60</v>
      </c>
      <c r="G22" s="369">
        <v>2.02</v>
      </c>
      <c r="H22" s="367" t="s">
        <v>218</v>
      </c>
    </row>
    <row r="25" spans="1:11" ht="14" x14ac:dyDescent="0.3">
      <c r="D25" s="303" t="s">
        <v>203</v>
      </c>
      <c r="F25" s="303"/>
      <c r="G25" s="304"/>
      <c r="H25" s="305"/>
    </row>
    <row r="26" spans="1:11" ht="14" x14ac:dyDescent="0.3">
      <c r="A26" s="311" t="s">
        <v>206</v>
      </c>
      <c r="B26" s="311"/>
      <c r="C26" s="312"/>
      <c r="D26" s="306" t="s">
        <v>204</v>
      </c>
      <c r="F26" s="306"/>
      <c r="G26" s="307"/>
      <c r="H26" s="308"/>
      <c r="I26" s="309"/>
    </row>
    <row r="27" spans="1:11" ht="14" x14ac:dyDescent="0.3">
      <c r="A27" s="311" t="s">
        <v>205</v>
      </c>
      <c r="B27" s="311"/>
      <c r="C27" s="312"/>
      <c r="D27" s="306" t="s">
        <v>220</v>
      </c>
      <c r="F27" s="306"/>
      <c r="G27" s="307"/>
      <c r="H27" s="308"/>
      <c r="I27" s="309"/>
      <c r="J27" s="309"/>
      <c r="K27" s="310"/>
    </row>
  </sheetData>
  <mergeCells count="3">
    <mergeCell ref="C3:E3"/>
    <mergeCell ref="F3:H3"/>
    <mergeCell ref="B2:E2"/>
  </mergeCells>
  <conditionalFormatting sqref="I26">
    <cfRule type="containsText" dxfId="21" priority="18" operator="containsText" text="Courier">
      <formula>NOT(ISERROR(SEARCH("Courier",I26)))</formula>
    </cfRule>
    <cfRule type="containsText" dxfId="20" priority="19" operator="containsText" text="Cargo Bags">
      <formula>NOT(ISERROR(SEARCH("Cargo Bags",I26)))</formula>
    </cfRule>
    <cfRule type="containsText" dxfId="19" priority="20" operator="containsText" text="Express Cargo">
      <formula>NOT(ISERROR(SEARCH("Express Cargo",I26)))</formula>
    </cfRule>
    <cfRule type="containsText" dxfId="18" priority="21" operator="containsText" text="Fresh Fruits &amp; Veg">
      <formula>NOT(ISERROR(SEARCH("Fresh Fruits &amp; Veg",I26)))</formula>
    </cfRule>
    <cfRule type="containsText" dxfId="17" priority="22" operator="containsText" text="Premium ">
      <formula>NOT(ISERROR(SEARCH("Premium ",I26)))</formula>
    </cfRule>
  </conditionalFormatting>
  <conditionalFormatting sqref="I26">
    <cfRule type="containsText" dxfId="16" priority="17" operator="containsText" text="Live Tropical Fish">
      <formula>NOT(ISERROR(SEARCH("Live Tropical Fish",I26)))</formula>
    </cfRule>
  </conditionalFormatting>
  <conditionalFormatting sqref="I26">
    <cfRule type="containsText" dxfId="15" priority="16" operator="containsText" text="Human Remains">
      <formula>NOT(ISERROR(SEARCH("Human Remains",I26)))</formula>
    </cfRule>
  </conditionalFormatting>
  <conditionalFormatting sqref="I27">
    <cfRule type="containsText" dxfId="14" priority="11" operator="containsText" text="Courier">
      <formula>NOT(ISERROR(SEARCH("Courier",I27)))</formula>
    </cfRule>
    <cfRule type="containsText" dxfId="13" priority="12" operator="containsText" text="Cargo Bags">
      <formula>NOT(ISERROR(SEARCH("Cargo Bags",I27)))</formula>
    </cfRule>
    <cfRule type="containsText" dxfId="12" priority="13" operator="containsText" text="Express Cargo">
      <formula>NOT(ISERROR(SEARCH("Express Cargo",I27)))</formula>
    </cfRule>
    <cfRule type="containsText" dxfId="11" priority="14" operator="containsText" text="Fresh Fruits &amp; Veg">
      <formula>NOT(ISERROR(SEARCH("Fresh Fruits &amp; Veg",I27)))</formula>
    </cfRule>
    <cfRule type="containsText" dxfId="10" priority="15" operator="containsText" text="Premium ">
      <formula>NOT(ISERROR(SEARCH("Premium ",I27)))</formula>
    </cfRule>
  </conditionalFormatting>
  <conditionalFormatting sqref="K27">
    <cfRule type="containsText" dxfId="9" priority="3" operator="containsText" text="$">
      <formula>NOT(ISERROR(SEARCH("$",K27)))</formula>
    </cfRule>
    <cfRule type="containsText" dxfId="8" priority="4" operator="containsText" text="KG">
      <formula>NOT(ISERROR(SEARCH("KG",K27)))</formula>
    </cfRule>
    <cfRule type="containsText" dxfId="7" priority="5" operator="containsText" text="TARIFF">
      <formula>NOT(ISERROR(SEARCH("TARIFF",K27)))</formula>
    </cfRule>
    <cfRule type="containsText" dxfId="6" priority="6" operator="containsText" text="N / A">
      <formula>NOT(ISERROR(SEARCH("N / A",K27)))</formula>
    </cfRule>
    <cfRule type="containsText" dxfId="5" priority="7" operator="containsText" text="IATA">
      <formula>NOT(ISERROR(SEARCH("IATA",K27)))</formula>
    </cfRule>
    <cfRule type="containsText" dxfId="4" priority="8" operator="containsText" text="TACT">
      <formula>NOT(ISERROR(SEARCH("TACT",K27)))</formula>
    </cfRule>
    <cfRule type="containsText" dxfId="3" priority="9" operator="containsText" text="NA">
      <formula>NOT(ISERROR(SEARCH("NA",K27)))</formula>
    </cfRule>
    <cfRule type="containsText" dxfId="2" priority="10" operator="containsText" text="N/A">
      <formula>NOT(ISERROR(SEARCH("N/A",K27)))</formula>
    </cfRule>
  </conditionalFormatting>
  <conditionalFormatting sqref="I27">
    <cfRule type="containsText" dxfId="1" priority="2" operator="containsText" text="Live Tropical Fish">
      <formula>NOT(ISERROR(SEARCH("Live Tropical Fish",I27)))</formula>
    </cfRule>
  </conditionalFormatting>
  <conditionalFormatting sqref="I27">
    <cfRule type="containsText" dxfId="0" priority="1" operator="containsText" text="Human Remains">
      <formula>NOT(ISERROR(SEARCH("Human Remains",I27)))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Inter Credible contact</vt:lpstr>
      <vt:lpstr>Dom Credible contract</vt:lpstr>
      <vt:lpstr>Transport rates international</vt:lpstr>
      <vt:lpstr>International Air Rates</vt:lpstr>
      <vt:lpstr>'Dom Credible contract'!Print_Area</vt:lpstr>
      <vt:lpstr>'Inter Credible contact'!Print_Area</vt:lpstr>
      <vt:lpstr>'Dom Credible contract'!Print_Titles</vt:lpstr>
      <vt:lpstr>'Inter Credible contact'!Print_Titles</vt:lpstr>
    </vt:vector>
  </TitlesOfParts>
  <Company>MSF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MSFUser</dc:creator>
  <cp:lastModifiedBy>MSFuser</cp:lastModifiedBy>
  <cp:lastPrinted>2017-12-08T07:04:09Z</cp:lastPrinted>
  <dcterms:created xsi:type="dcterms:W3CDTF">2014-05-23T06:33:33Z</dcterms:created>
  <dcterms:modified xsi:type="dcterms:W3CDTF">2020-01-21T18:01:02Z</dcterms:modified>
</cp:coreProperties>
</file>