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axxb\Documents\"/>
    </mc:Choice>
  </mc:AlternateContent>
  <bookViews>
    <workbookView xWindow="0" yWindow="0" windowWidth="19200" windowHeight="6950" tabRatio="667" activeTab="3"/>
  </bookViews>
  <sheets>
    <sheet name="Gastos" sheetId="1" r:id="rId1"/>
    <sheet name="Extracto Bancario 2206-1607" sheetId="2" state="hidden" r:id="rId2"/>
    <sheet name="Sheet4" sheetId="17" r:id="rId3"/>
    <sheet name="Inversiones" sheetId="3" r:id="rId4"/>
    <sheet name="MP-Fondo" sheetId="13" r:id="rId5"/>
    <sheet name="Sheet2" sheetId="11" r:id="rId6"/>
    <sheet name="Dolar" sheetId="7" r:id="rId7"/>
    <sheet name="Tabla Apoyo" sheetId="4" r:id="rId8"/>
    <sheet name="Graficos" sheetId="5" r:id="rId9"/>
    <sheet name="Sheet1" sheetId="6" r:id="rId10"/>
    <sheet name="Mudanza" sheetId="10" r:id="rId11"/>
    <sheet name="Sheet3" sheetId="18" r:id="rId12"/>
    <sheet name="Haberes" sheetId="15" r:id="rId13"/>
    <sheet name="Extracto Nov18" sheetId="14" state="hidden" r:id="rId14"/>
  </sheets>
  <definedNames>
    <definedName name="_xlnm._FilterDatabase" localSheetId="1" hidden="1">'Extracto Bancario 2206-1607'!$B$4:$G$36</definedName>
    <definedName name="_xlcn.WorksheetConnection_PlanilladeGastos.xlsxDolar" hidden="1">Dolar[]</definedName>
    <definedName name="_xlcn.WorksheetConnection_PlanilladeGastos.xlsxInversiones" hidden="1">Inversiones[]</definedName>
    <definedName name="Slicer_Acción">#N/A</definedName>
    <definedName name="Slicer_Fecha">#N/A</definedName>
    <definedName name="Slicer_Months">#N/A</definedName>
    <definedName name="Slicer_Nombre_Inversión">#N/A</definedName>
  </definedNames>
  <calcPr calcId="162913"/>
  <pivotCaches>
    <pivotCache cacheId="0" r:id="rId15"/>
    <pivotCache cacheId="1" r:id="rId16"/>
  </pivotCaches>
  <fileRecoveryPr repairLoad="1"/>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versiones" name="Inversiones" connection="WorksheetConnection_Planilla de Gastos.xlsx!Inversiones"/>
          <x15:modelTable id="Dolar" name="Dolar" connection="WorksheetConnection_Planilla de Gastos.xlsx!Dolar"/>
        </x15:modelTables>
        <x15:modelRelationships>
          <x15:modelRelationship fromTable="Inversiones" fromColumn="Fecha" toTable="Dolar" toColumn="fecha"/>
        </x15:modelRelationships>
        <x15:extLst>
          <ext xmlns:x16="http://schemas.microsoft.com/office/spreadsheetml/2014/11/main" uri="{9835A34E-60A6-4A7C-AAB8-D5F71C897F49}">
            <x16:modelTimeGroupings>
              <x16:modelTimeGrouping tableName="Dolar" columnName="fecha" columnId="fecha">
                <x16:calculatedTimeColumn columnName="fecha (Month Index)" columnId="fecha (Month Index)" contentType="monthsindex" isSelected="1"/>
                <x16:calculatedTimeColumn columnName="fecha (Month)" columnId="fecha (Month)" contentType="months" isSelected="1"/>
              </x16:modelTimeGrouping>
            </x16:modelTimeGroupings>
          </ext>
        </x15:extLst>
      </x15:dataModel>
    </ext>
  </extLst>
</workbook>
</file>

<file path=xl/calcChain.xml><?xml version="1.0" encoding="utf-8"?>
<calcChain xmlns="http://schemas.openxmlformats.org/spreadsheetml/2006/main">
  <c r="D5" i="3" l="1"/>
  <c r="K4" i="3"/>
  <c r="K3" i="3"/>
  <c r="D8" i="3"/>
  <c r="K7" i="3"/>
  <c r="K6" i="3"/>
  <c r="K10" i="3"/>
  <c r="K9" i="3"/>
  <c r="K12" i="3" l="1"/>
  <c r="K11" i="3"/>
  <c r="K14" i="3" l="1"/>
  <c r="K13" i="3"/>
  <c r="C5" i="10" l="1"/>
  <c r="C6" i="10"/>
  <c r="C3" i="10"/>
  <c r="H6" i="10"/>
  <c r="H5" i="10"/>
  <c r="F17" i="1" l="1"/>
  <c r="G17" i="1"/>
  <c r="F15" i="1"/>
  <c r="G15" i="1" s="1"/>
  <c r="E16" i="1"/>
  <c r="F16" i="1" s="1"/>
  <c r="G16" i="1" s="1"/>
  <c r="E17" i="1"/>
  <c r="E18" i="1"/>
  <c r="F18" i="1" s="1"/>
  <c r="G18" i="1" s="1"/>
  <c r="E19" i="1"/>
  <c r="F19" i="1" s="1"/>
  <c r="G19" i="1" s="1"/>
  <c r="E20" i="1"/>
  <c r="K20" i="1" s="1"/>
  <c r="D20" i="1"/>
  <c r="D19" i="1"/>
  <c r="D18" i="1"/>
  <c r="J20" i="1" s="1"/>
  <c r="D17" i="1"/>
  <c r="D16" i="1"/>
  <c r="F20" i="1" l="1"/>
  <c r="L20" i="1" l="1"/>
  <c r="G20" i="1"/>
  <c r="M20" i="1" s="1"/>
  <c r="K16" i="3"/>
  <c r="K15" i="3"/>
  <c r="E25" i="15" l="1"/>
  <c r="F25" i="15" s="1"/>
  <c r="F24" i="15"/>
  <c r="K18" i="3"/>
  <c r="K17" i="3"/>
  <c r="K19" i="3"/>
  <c r="G25" i="15" l="1"/>
  <c r="K20" i="3"/>
  <c r="J7" i="18"/>
  <c r="I5" i="18"/>
  <c r="J5" i="18" s="1"/>
  <c r="J4" i="18"/>
  <c r="J6" i="18" l="1"/>
  <c r="J8" i="18" s="1"/>
  <c r="C8" i="18"/>
  <c r="D8" i="18" s="1"/>
  <c r="D9" i="18" s="1"/>
  <c r="D23" i="3" l="1"/>
  <c r="K22" i="3"/>
  <c r="K21" i="3"/>
  <c r="K25" i="3"/>
  <c r="K24" i="3"/>
  <c r="K27" i="3" l="1"/>
  <c r="K26" i="3"/>
  <c r="D28" i="3"/>
  <c r="K30" i="3" l="1"/>
  <c r="K29" i="3"/>
  <c r="K32" i="3" l="1"/>
  <c r="K31" i="3"/>
  <c r="K34" i="3" l="1"/>
  <c r="K33" i="3"/>
  <c r="K36" i="3"/>
  <c r="K35" i="3"/>
  <c r="I6" i="15" l="1"/>
  <c r="I7" i="15"/>
  <c r="I8" i="15"/>
  <c r="I15" i="15" s="1"/>
  <c r="K15" i="15"/>
  <c r="J21" i="10"/>
  <c r="J22" i="10" s="1"/>
  <c r="J23" i="10" s="1"/>
  <c r="I11" i="15" l="1"/>
  <c r="I9" i="15"/>
  <c r="I10" i="15"/>
  <c r="I16" i="15"/>
  <c r="I13" i="15"/>
  <c r="I14" i="15"/>
  <c r="I12" i="15"/>
  <c r="I17" i="15" s="1"/>
  <c r="J35" i="10"/>
  <c r="J36" i="10" s="1"/>
  <c r="C17" i="10"/>
  <c r="D5" i="10"/>
  <c r="E5" i="10"/>
  <c r="G5" i="10" s="1"/>
  <c r="D6" i="10"/>
  <c r="E6" i="10"/>
  <c r="K251" i="3" l="1"/>
  <c r="K252" i="3"/>
  <c r="K253" i="3"/>
  <c r="K254" i="3"/>
  <c r="K255" i="3"/>
  <c r="K256" i="3"/>
  <c r="K257" i="3"/>
  <c r="K258" i="3"/>
  <c r="K259" i="3"/>
  <c r="K260" i="3"/>
  <c r="K261" i="3"/>
  <c r="K262" i="3"/>
  <c r="K263" i="3"/>
  <c r="K264" i="3"/>
  <c r="K265" i="3"/>
  <c r="K266" i="3"/>
  <c r="K267" i="3"/>
  <c r="K268" i="3"/>
  <c r="K269" i="3"/>
  <c r="K270" i="3"/>
  <c r="K271" i="3"/>
  <c r="K272" i="3"/>
  <c r="K250" i="3"/>
  <c r="K240" i="3"/>
  <c r="K38" i="3"/>
  <c r="K37" i="3"/>
  <c r="K40" i="3"/>
  <c r="K39" i="3"/>
  <c r="K43" i="3" l="1"/>
  <c r="K42" i="3"/>
  <c r="K41" i="3"/>
  <c r="K44" i="3"/>
  <c r="K47" i="3" l="1"/>
  <c r="K45" i="3"/>
  <c r="K32" i="10" l="1"/>
  <c r="L32" i="10" s="1"/>
  <c r="J37" i="10"/>
  <c r="J38" i="10" s="1"/>
  <c r="J39" i="10" s="1"/>
  <c r="K34" i="10"/>
  <c r="L34" i="10" s="1"/>
  <c r="K30" i="10"/>
  <c r="L30" i="10" s="1"/>
  <c r="K31" i="10"/>
  <c r="L31" i="10" s="1"/>
  <c r="K29" i="10"/>
  <c r="L29" i="10" s="1"/>
  <c r="D50" i="3" l="1"/>
  <c r="K49" i="3"/>
  <c r="K48" i="3"/>
  <c r="K52" i="3"/>
  <c r="K51" i="3"/>
  <c r="K54" i="3" l="1"/>
  <c r="K53" i="3"/>
  <c r="E7" i="6" l="1"/>
  <c r="D7" i="6"/>
  <c r="C7" i="6"/>
  <c r="K56" i="3"/>
  <c r="H57" i="3"/>
  <c r="G57" i="3" s="1"/>
  <c r="D57" i="3"/>
  <c r="K55" i="3"/>
  <c r="H56" i="3" l="1"/>
  <c r="F57" i="3"/>
  <c r="K65" i="3"/>
  <c r="K60" i="3"/>
  <c r="K58" i="3"/>
  <c r="K62" i="3"/>
  <c r="K61" i="3"/>
  <c r="K64" i="3"/>
  <c r="K63" i="3"/>
  <c r="K68" i="3"/>
  <c r="K67" i="3"/>
  <c r="K70" i="3"/>
  <c r="K69" i="3"/>
  <c r="K71" i="3"/>
  <c r="K73" i="3"/>
  <c r="K74" i="3"/>
  <c r="K76" i="3"/>
  <c r="K75" i="3"/>
  <c r="D59" i="3"/>
  <c r="D66" i="3"/>
  <c r="D74" i="3"/>
  <c r="D72" i="3"/>
  <c r="F56" i="3" l="1"/>
  <c r="G56" i="3"/>
  <c r="H54" i="3"/>
  <c r="H52" i="3" s="1"/>
  <c r="H49" i="3" s="1"/>
  <c r="H47" i="3" s="1"/>
  <c r="H44" i="3" s="1"/>
  <c r="H17" i="15"/>
  <c r="K9" i="15"/>
  <c r="K7" i="15"/>
  <c r="K6" i="15"/>
  <c r="E18" i="15"/>
  <c r="D18" i="15"/>
  <c r="F18" i="15"/>
  <c r="L20" i="10"/>
  <c r="K21" i="10"/>
  <c r="L21" i="10" s="1"/>
  <c r="J56" i="3" l="1"/>
  <c r="H42" i="3"/>
  <c r="H40" i="3" s="1"/>
  <c r="H38" i="3" s="1"/>
  <c r="H36" i="3" s="1"/>
  <c r="H34" i="3" s="1"/>
  <c r="H32" i="3" s="1"/>
  <c r="H30" i="3" s="1"/>
  <c r="H27" i="3" s="1"/>
  <c r="H25" i="3" s="1"/>
  <c r="H22" i="3" s="1"/>
  <c r="H20" i="3" s="1"/>
  <c r="H18" i="3" s="1"/>
  <c r="H16" i="3" s="1"/>
  <c r="H14" i="3" s="1"/>
  <c r="H12" i="3" s="1"/>
  <c r="H10" i="3" s="1"/>
  <c r="H7" i="3" s="1"/>
  <c r="H4" i="3" s="1"/>
  <c r="G44" i="3"/>
  <c r="G47" i="3"/>
  <c r="G49" i="3"/>
  <c r="G52" i="3"/>
  <c r="F54" i="3"/>
  <c r="F52" i="3" s="1"/>
  <c r="F49" i="3" s="1"/>
  <c r="F47" i="3" s="1"/>
  <c r="F44" i="3" s="1"/>
  <c r="G54" i="3"/>
  <c r="K16" i="15"/>
  <c r="K22" i="10"/>
  <c r="A6" i="6"/>
  <c r="D6" i="6" s="1"/>
  <c r="C5" i="6"/>
  <c r="D5" i="6"/>
  <c r="E5" i="6"/>
  <c r="F5" i="6" s="1"/>
  <c r="F15" i="6"/>
  <c r="G4" i="3" l="1"/>
  <c r="G7" i="3"/>
  <c r="G10" i="3"/>
  <c r="G12" i="3"/>
  <c r="G14" i="3"/>
  <c r="G16" i="3"/>
  <c r="G18" i="3"/>
  <c r="G20" i="3"/>
  <c r="G22" i="3"/>
  <c r="G25" i="3"/>
  <c r="G27" i="3"/>
  <c r="G30" i="3"/>
  <c r="G32" i="3"/>
  <c r="E6" i="6"/>
  <c r="F6" i="6" s="1"/>
  <c r="G34" i="3"/>
  <c r="G36" i="3"/>
  <c r="G38" i="3"/>
  <c r="G40" i="3"/>
  <c r="J44" i="3"/>
  <c r="G42" i="3"/>
  <c r="F42" i="3"/>
  <c r="F40" i="3" s="1"/>
  <c r="F38" i="3" s="1"/>
  <c r="F36" i="3" s="1"/>
  <c r="F34" i="3" s="1"/>
  <c r="F32" i="3" s="1"/>
  <c r="F30" i="3" s="1"/>
  <c r="F27" i="3" s="1"/>
  <c r="F25" i="3" s="1"/>
  <c r="F22" i="3" s="1"/>
  <c r="J47" i="3"/>
  <c r="J49" i="3"/>
  <c r="J52" i="3"/>
  <c r="J54" i="3"/>
  <c r="K23" i="10"/>
  <c r="L23" i="10" s="1"/>
  <c r="L22" i="10"/>
  <c r="C6" i="6"/>
  <c r="J249" i="3"/>
  <c r="J22" i="3" l="1"/>
  <c r="F20" i="3"/>
  <c r="J25" i="3"/>
  <c r="J27" i="3"/>
  <c r="J30" i="3"/>
  <c r="J32" i="3"/>
  <c r="J34" i="3"/>
  <c r="J36" i="3"/>
  <c r="J38" i="3"/>
  <c r="J42" i="3"/>
  <c r="J40" i="3"/>
  <c r="K77" i="3"/>
  <c r="K78" i="3"/>
  <c r="K81" i="3"/>
  <c r="D80" i="3"/>
  <c r="K79" i="3"/>
  <c r="J20" i="3" l="1"/>
  <c r="F18" i="3"/>
  <c r="D83" i="3"/>
  <c r="K82" i="3"/>
  <c r="K86" i="3"/>
  <c r="D85" i="3"/>
  <c r="K84" i="3"/>
  <c r="J18" i="3" l="1"/>
  <c r="F16" i="3"/>
  <c r="J16" i="3" s="1"/>
  <c r="K87" i="3"/>
  <c r="D89" i="3"/>
  <c r="K88" i="3"/>
  <c r="F14" i="3" l="1"/>
  <c r="B39" i="13"/>
  <c r="D91" i="3"/>
  <c r="K90" i="3"/>
  <c r="J14" i="3" l="1"/>
  <c r="F12" i="3"/>
  <c r="H278" i="3"/>
  <c r="H275" i="3"/>
  <c r="H274" i="3" s="1"/>
  <c r="H273" i="3" s="1"/>
  <c r="H272" i="3" s="1"/>
  <c r="H271" i="3" s="1"/>
  <c r="H268" i="3"/>
  <c r="H266" i="3" s="1"/>
  <c r="H264" i="3" s="1"/>
  <c r="H261" i="3" s="1"/>
  <c r="H259" i="3" s="1"/>
  <c r="H257" i="3" s="1"/>
  <c r="H255" i="3" s="1"/>
  <c r="H253" i="3" s="1"/>
  <c r="H251" i="3" s="1"/>
  <c r="H249" i="3" s="1"/>
  <c r="H220" i="3"/>
  <c r="H218" i="3" s="1"/>
  <c r="H216" i="3" s="1"/>
  <c r="H213" i="3" s="1"/>
  <c r="H211" i="3" s="1"/>
  <c r="H209" i="3" s="1"/>
  <c r="H207" i="3" s="1"/>
  <c r="H205" i="3" s="1"/>
  <c r="H203" i="3" s="1"/>
  <c r="H201" i="3" s="1"/>
  <c r="H199" i="3" s="1"/>
  <c r="H197" i="3" s="1"/>
  <c r="H195" i="3" s="1"/>
  <c r="H193" i="3" s="1"/>
  <c r="H191" i="3" s="1"/>
  <c r="H189" i="3" s="1"/>
  <c r="H187" i="3" s="1"/>
  <c r="H185" i="3" s="1"/>
  <c r="H183" i="3" s="1"/>
  <c r="H180" i="3" s="1"/>
  <c r="H178" i="3" s="1"/>
  <c r="H176" i="3" s="1"/>
  <c r="H174" i="3" s="1"/>
  <c r="H172" i="3" s="1"/>
  <c r="H170" i="3" s="1"/>
  <c r="H168" i="3" s="1"/>
  <c r="H165" i="3" s="1"/>
  <c r="H163" i="3" s="1"/>
  <c r="H161" i="3" s="1"/>
  <c r="H158" i="3" s="1"/>
  <c r="H156" i="3" s="1"/>
  <c r="H154" i="3" s="1"/>
  <c r="H151" i="3" s="1"/>
  <c r="H148" i="3" s="1"/>
  <c r="H146" i="3" s="1"/>
  <c r="H143" i="3" s="1"/>
  <c r="H139" i="3" s="1"/>
  <c r="H137" i="3" s="1"/>
  <c r="H134" i="3" s="1"/>
  <c r="H132" i="3" s="1"/>
  <c r="H130" i="3" s="1"/>
  <c r="H128" i="3" s="1"/>
  <c r="H125" i="3" s="1"/>
  <c r="H123" i="3" s="1"/>
  <c r="H120" i="3" s="1"/>
  <c r="H118" i="3" s="1"/>
  <c r="H116" i="3" s="1"/>
  <c r="H114" i="3" s="1"/>
  <c r="H111" i="3" s="1"/>
  <c r="H108" i="3" s="1"/>
  <c r="H106" i="3" s="1"/>
  <c r="H104" i="3" s="1"/>
  <c r="D93" i="3"/>
  <c r="K94" i="3"/>
  <c r="K92" i="3"/>
  <c r="J12" i="3" l="1"/>
  <c r="F10" i="3"/>
  <c r="F7" i="3" s="1"/>
  <c r="F4" i="3" s="1"/>
  <c r="J4" i="3" s="1"/>
  <c r="H269" i="3"/>
  <c r="H267" i="3" s="1"/>
  <c r="H265" i="3" s="1"/>
  <c r="H263" i="3" s="1"/>
  <c r="H262" i="3" s="1"/>
  <c r="H260" i="3" s="1"/>
  <c r="H258" i="3" s="1"/>
  <c r="H256" i="3" s="1"/>
  <c r="H254" i="3" s="1"/>
  <c r="H252" i="3" s="1"/>
  <c r="H250" i="3" s="1"/>
  <c r="H248" i="3" s="1"/>
  <c r="H247" i="3" s="1"/>
  <c r="H246" i="3" s="1"/>
  <c r="H245" i="3" s="1"/>
  <c r="H244" i="3" s="1"/>
  <c r="H243" i="3" s="1"/>
  <c r="H242" i="3" s="1"/>
  <c r="H241" i="3" s="1"/>
  <c r="H240" i="3" s="1"/>
  <c r="H239" i="3" s="1"/>
  <c r="H238" i="3" s="1"/>
  <c r="H237" i="3" s="1"/>
  <c r="H236" i="3" s="1"/>
  <c r="H235" i="3" s="1"/>
  <c r="H234" i="3" s="1"/>
  <c r="H233" i="3" s="1"/>
  <c r="H232" i="3" s="1"/>
  <c r="H231" i="3" s="1"/>
  <c r="H230" i="3" s="1"/>
  <c r="H229" i="3" s="1"/>
  <c r="H228" i="3" s="1"/>
  <c r="H227" i="3" s="1"/>
  <c r="H226" i="3" s="1"/>
  <c r="H225" i="3" s="1"/>
  <c r="H224" i="3" s="1"/>
  <c r="H223" i="3" s="1"/>
  <c r="H222" i="3" s="1"/>
  <c r="H221" i="3" s="1"/>
  <c r="H219" i="3" s="1"/>
  <c r="H217" i="3" s="1"/>
  <c r="H215" i="3" s="1"/>
  <c r="H214" i="3" s="1"/>
  <c r="H212" i="3" s="1"/>
  <c r="H210" i="3" s="1"/>
  <c r="H208" i="3" s="1"/>
  <c r="H206" i="3" s="1"/>
  <c r="H204" i="3" s="1"/>
  <c r="H202" i="3" s="1"/>
  <c r="H200" i="3" s="1"/>
  <c r="H198" i="3" s="1"/>
  <c r="H196" i="3" s="1"/>
  <c r="H194" i="3" s="1"/>
  <c r="H192" i="3" s="1"/>
  <c r="H190" i="3" s="1"/>
  <c r="H188" i="3" s="1"/>
  <c r="H186" i="3" s="1"/>
  <c r="H184" i="3" s="1"/>
  <c r="H182" i="3" s="1"/>
  <c r="H181" i="3" s="1"/>
  <c r="H179" i="3" s="1"/>
  <c r="H177" i="3" s="1"/>
  <c r="H175" i="3" s="1"/>
  <c r="H173" i="3" s="1"/>
  <c r="H171" i="3" s="1"/>
  <c r="H169" i="3" s="1"/>
  <c r="H167" i="3" s="1"/>
  <c r="H166" i="3" s="1"/>
  <c r="H164" i="3" s="1"/>
  <c r="H162" i="3" s="1"/>
  <c r="H160" i="3" s="1"/>
  <c r="H159" i="3" s="1"/>
  <c r="H157" i="3" s="1"/>
  <c r="H155" i="3" s="1"/>
  <c r="H153" i="3" s="1"/>
  <c r="H152" i="3" s="1"/>
  <c r="H150" i="3" s="1"/>
  <c r="H149" i="3" s="1"/>
  <c r="H147" i="3" s="1"/>
  <c r="H145" i="3" s="1"/>
  <c r="H144" i="3" s="1"/>
  <c r="H142" i="3" s="1"/>
  <c r="H141" i="3" s="1"/>
  <c r="H140" i="3" s="1"/>
  <c r="H138" i="3" s="1"/>
  <c r="H136" i="3" s="1"/>
  <c r="H135" i="3" s="1"/>
  <c r="H133" i="3" s="1"/>
  <c r="H131" i="3" s="1"/>
  <c r="H129" i="3" s="1"/>
  <c r="H127" i="3" s="1"/>
  <c r="H126" i="3" s="1"/>
  <c r="H124" i="3" s="1"/>
  <c r="H122" i="3" s="1"/>
  <c r="H121" i="3" s="1"/>
  <c r="H119" i="3" s="1"/>
  <c r="H117" i="3" s="1"/>
  <c r="H115" i="3" s="1"/>
  <c r="H113" i="3" s="1"/>
  <c r="H112" i="3" s="1"/>
  <c r="H110" i="3" s="1"/>
  <c r="H109" i="3" s="1"/>
  <c r="H107" i="3" s="1"/>
  <c r="H105" i="3" s="1"/>
  <c r="H102" i="3" s="1"/>
  <c r="H101" i="3" s="1"/>
  <c r="H100" i="3" s="1"/>
  <c r="H99" i="3" s="1"/>
  <c r="H98" i="3" s="1"/>
  <c r="H97" i="3" s="1"/>
  <c r="H96" i="3" s="1"/>
  <c r="H95" i="3" s="1"/>
  <c r="H94" i="3" s="1"/>
  <c r="H93" i="3" s="1"/>
  <c r="G93" i="3" s="1"/>
  <c r="H270" i="3"/>
  <c r="H276" i="3"/>
  <c r="H277" i="3"/>
  <c r="J7" i="3" l="1"/>
  <c r="J10" i="3"/>
  <c r="H92" i="3"/>
  <c r="H91" i="3" s="1"/>
  <c r="G91" i="3" s="1"/>
  <c r="G270" i="3"/>
  <c r="G277" i="3"/>
  <c r="H11" i="6"/>
  <c r="H90" i="3" l="1"/>
  <c r="H89" i="3" s="1"/>
  <c r="G89" i="3" s="1"/>
  <c r="K95" i="3"/>
  <c r="G90" i="3" l="1"/>
  <c r="J90" i="3" s="1"/>
  <c r="H88" i="3"/>
  <c r="H87" i="3" s="1"/>
  <c r="K96" i="3"/>
  <c r="K97" i="3"/>
  <c r="G88" i="3" l="1"/>
  <c r="J88" i="3" s="1"/>
  <c r="G87" i="3"/>
  <c r="H86" i="3"/>
  <c r="J9" i="10"/>
  <c r="G86" i="3" l="1"/>
  <c r="H85" i="3"/>
  <c r="D99" i="3"/>
  <c r="K98" i="3"/>
  <c r="G85" i="3" l="1"/>
  <c r="H84" i="3"/>
  <c r="F66" i="14"/>
  <c r="D66" i="14"/>
  <c r="C66" i="14"/>
  <c r="J55" i="14"/>
  <c r="J53" i="14"/>
  <c r="H83" i="3" l="1"/>
  <c r="G84" i="3"/>
  <c r="J58" i="14"/>
  <c r="K100" i="3"/>
  <c r="J84" i="3" l="1"/>
  <c r="G83" i="3"/>
  <c r="H82" i="3"/>
  <c r="H81" i="3" s="1"/>
  <c r="M8" i="10"/>
  <c r="N8" i="10" s="1"/>
  <c r="E13" i="10"/>
  <c r="D13" i="10"/>
  <c r="G81" i="3" l="1"/>
  <c r="H80" i="3"/>
  <c r="G82" i="3"/>
  <c r="K101" i="3"/>
  <c r="H79" i="3" l="1"/>
  <c r="G80" i="3"/>
  <c r="J82" i="3"/>
  <c r="E103" i="3"/>
  <c r="K105" i="3"/>
  <c r="K104" i="3"/>
  <c r="K102" i="3"/>
  <c r="E38" i="13"/>
  <c r="E37" i="13" s="1"/>
  <c r="E36" i="13" s="1"/>
  <c r="E35" i="13" s="1"/>
  <c r="E34" i="13" s="1"/>
  <c r="E33" i="13" s="1"/>
  <c r="E32" i="13" s="1"/>
  <c r="E31" i="13" s="1"/>
  <c r="E30" i="13" s="1"/>
  <c r="E29" i="13" s="1"/>
  <c r="E28" i="13" s="1"/>
  <c r="E27" i="13" s="1"/>
  <c r="E26" i="13" s="1"/>
  <c r="E25" i="13" s="1"/>
  <c r="E24" i="13" s="1"/>
  <c r="E23" i="13" s="1"/>
  <c r="E22" i="13" s="1"/>
  <c r="E21" i="13" s="1"/>
  <c r="E20" i="13" s="1"/>
  <c r="E19" i="13" s="1"/>
  <c r="E18" i="13" s="1"/>
  <c r="E17" i="13" s="1"/>
  <c r="E16" i="13" s="1"/>
  <c r="E15" i="13" s="1"/>
  <c r="E14" i="13" s="1"/>
  <c r="E13" i="13" s="1"/>
  <c r="E12" i="13" s="1"/>
  <c r="E11" i="13" s="1"/>
  <c r="E10" i="13" s="1"/>
  <c r="E9" i="13" s="1"/>
  <c r="E8" i="13" s="1"/>
  <c r="E7" i="13" s="1"/>
  <c r="D103" i="3" l="1"/>
  <c r="H103" i="3"/>
  <c r="E6" i="13"/>
  <c r="E5" i="13" s="1"/>
  <c r="E4" i="13" s="1"/>
  <c r="E3" i="13" s="1"/>
  <c r="H78" i="3"/>
  <c r="G79" i="3"/>
  <c r="J79" i="3" s="1"/>
  <c r="R109" i="3"/>
  <c r="H77" i="3" l="1"/>
  <c r="G78" i="3"/>
  <c r="G39" i="13"/>
  <c r="K107" i="3"/>
  <c r="K106" i="3"/>
  <c r="H76" i="3" l="1"/>
  <c r="G77" i="3"/>
  <c r="D110" i="3"/>
  <c r="K109" i="3"/>
  <c r="K108" i="3"/>
  <c r="G76" i="3" l="1"/>
  <c r="H75" i="3"/>
  <c r="D113" i="3"/>
  <c r="K112" i="3"/>
  <c r="K111" i="3"/>
  <c r="G75" i="3" l="1"/>
  <c r="H74" i="3"/>
  <c r="G74" i="3" s="1"/>
  <c r="K115" i="3"/>
  <c r="K114" i="3"/>
  <c r="H73" i="3" l="1"/>
  <c r="K117" i="3"/>
  <c r="K116" i="3"/>
  <c r="G73" i="3" l="1"/>
  <c r="H72" i="3"/>
  <c r="K119" i="3"/>
  <c r="K118" i="3"/>
  <c r="G72" i="3" l="1"/>
  <c r="H71" i="3"/>
  <c r="D122" i="3"/>
  <c r="K121" i="3"/>
  <c r="K120" i="3"/>
  <c r="H70" i="3" l="1"/>
  <c r="G71" i="3"/>
  <c r="K124" i="3"/>
  <c r="K123" i="3"/>
  <c r="G70" i="3" l="1"/>
  <c r="H69" i="3"/>
  <c r="D127" i="3"/>
  <c r="K126" i="3"/>
  <c r="K125" i="3"/>
  <c r="H68" i="3" l="1"/>
  <c r="G69" i="3"/>
  <c r="K129" i="3"/>
  <c r="K128" i="3"/>
  <c r="G68" i="3" l="1"/>
  <c r="H67" i="3"/>
  <c r="C13" i="10"/>
  <c r="G67" i="3" l="1"/>
  <c r="H66" i="3"/>
  <c r="K138" i="3"/>
  <c r="K137" i="3"/>
  <c r="K133" i="3"/>
  <c r="K132" i="3"/>
  <c r="K131" i="3"/>
  <c r="K130" i="3"/>
  <c r="D141" i="3"/>
  <c r="D136" i="3"/>
  <c r="K135" i="3"/>
  <c r="K134" i="3"/>
  <c r="K140" i="3"/>
  <c r="K139" i="3"/>
  <c r="D142" i="3"/>
  <c r="G66" i="3" l="1"/>
  <c r="H65" i="3"/>
  <c r="F276" i="3"/>
  <c r="F278" i="3"/>
  <c r="F277" i="3" s="1"/>
  <c r="F268" i="3"/>
  <c r="G278" i="3"/>
  <c r="G276" i="3"/>
  <c r="J277" i="3" l="1"/>
  <c r="H64" i="3"/>
  <c r="G65" i="3"/>
  <c r="F266" i="3"/>
  <c r="G275" i="3"/>
  <c r="G220" i="3"/>
  <c r="K147" i="3"/>
  <c r="K146" i="3"/>
  <c r="D145" i="3"/>
  <c r="K144" i="3"/>
  <c r="K143" i="3"/>
  <c r="G64" i="3" l="1"/>
  <c r="H63" i="3"/>
  <c r="F264" i="3"/>
  <c r="G266" i="3"/>
  <c r="G218" i="3"/>
  <c r="G274" i="3"/>
  <c r="D150" i="3"/>
  <c r="K149" i="3"/>
  <c r="K148" i="3"/>
  <c r="H62" i="3" l="1"/>
  <c r="G63" i="3"/>
  <c r="F261" i="3"/>
  <c r="G216" i="3"/>
  <c r="G273" i="3"/>
  <c r="G264" i="3"/>
  <c r="D153" i="3"/>
  <c r="K152" i="3"/>
  <c r="K151" i="3"/>
  <c r="H61" i="3" l="1"/>
  <c r="G62" i="3"/>
  <c r="F259" i="3"/>
  <c r="G272" i="3"/>
  <c r="G261" i="3"/>
  <c r="G213" i="3"/>
  <c r="K155" i="3"/>
  <c r="K154" i="3"/>
  <c r="H60" i="3" l="1"/>
  <c r="G61" i="3"/>
  <c r="F257" i="3"/>
  <c r="G259" i="3"/>
  <c r="G211" i="3"/>
  <c r="G271" i="3"/>
  <c r="I7" i="4"/>
  <c r="K157" i="3"/>
  <c r="K156" i="3"/>
  <c r="K159" i="3"/>
  <c r="K158" i="3"/>
  <c r="D160" i="3"/>
  <c r="G60" i="3" l="1"/>
  <c r="H59" i="3"/>
  <c r="F255" i="3"/>
  <c r="G209" i="3"/>
  <c r="G269" i="3"/>
  <c r="G257" i="3"/>
  <c r="K162" i="3"/>
  <c r="K161" i="3"/>
  <c r="K164" i="3"/>
  <c r="K163" i="3"/>
  <c r="G59" i="3" l="1"/>
  <c r="H58" i="3"/>
  <c r="H55" i="3" s="1"/>
  <c r="H53" i="3" s="1"/>
  <c r="H51" i="3" s="1"/>
  <c r="H50" i="3" s="1"/>
  <c r="F253" i="3"/>
  <c r="G267" i="3"/>
  <c r="G255" i="3"/>
  <c r="G207" i="3"/>
  <c r="M154" i="3"/>
  <c r="M155" i="3"/>
  <c r="O176" i="3"/>
  <c r="O165" i="3"/>
  <c r="D167" i="3"/>
  <c r="K166" i="3"/>
  <c r="K165" i="3"/>
  <c r="K169" i="3"/>
  <c r="K168" i="3"/>
  <c r="G50" i="3" l="1"/>
  <c r="H48" i="3"/>
  <c r="G51" i="3"/>
  <c r="G53" i="3"/>
  <c r="G55" i="3"/>
  <c r="G58" i="3"/>
  <c r="F249" i="3"/>
  <c r="F251" i="3"/>
  <c r="G253" i="3"/>
  <c r="G205" i="3"/>
  <c r="G265" i="3"/>
  <c r="K171" i="3"/>
  <c r="K170" i="3"/>
  <c r="E46" i="3" l="1"/>
  <c r="D46" i="3" s="1"/>
  <c r="G48" i="3"/>
  <c r="P57" i="3"/>
  <c r="P58" i="3"/>
  <c r="G203" i="3"/>
  <c r="G263" i="3"/>
  <c r="G251" i="3"/>
  <c r="K173" i="3"/>
  <c r="K172" i="3"/>
  <c r="K175" i="3"/>
  <c r="K174" i="3"/>
  <c r="H46" i="3" l="1"/>
  <c r="H45" i="3" s="1"/>
  <c r="H43" i="3" s="1"/>
  <c r="P59" i="3"/>
  <c r="Q59" i="3" s="1"/>
  <c r="G262" i="3"/>
  <c r="G201" i="3"/>
  <c r="M165" i="3"/>
  <c r="M166" i="3"/>
  <c r="G46" i="3" l="1"/>
  <c r="H41" i="3"/>
  <c r="H39" i="3" s="1"/>
  <c r="H37" i="3" s="1"/>
  <c r="H35" i="3" s="1"/>
  <c r="H33" i="3" s="1"/>
  <c r="H31" i="3" s="1"/>
  <c r="H29" i="3" s="1"/>
  <c r="H28" i="3" s="1"/>
  <c r="G43" i="3"/>
  <c r="G45" i="3"/>
  <c r="G199" i="3"/>
  <c r="G260" i="3"/>
  <c r="K177" i="3"/>
  <c r="K176" i="3"/>
  <c r="G28" i="3" l="1"/>
  <c r="H26" i="3"/>
  <c r="G29" i="3"/>
  <c r="G31" i="3"/>
  <c r="G33" i="3"/>
  <c r="G35" i="3"/>
  <c r="G37" i="3"/>
  <c r="G39" i="3"/>
  <c r="G41" i="3"/>
  <c r="G258" i="3"/>
  <c r="G197" i="3"/>
  <c r="K179" i="3"/>
  <c r="K178" i="3"/>
  <c r="G26" i="3" l="1"/>
  <c r="H24" i="3"/>
  <c r="H23" i="3" s="1"/>
  <c r="G195" i="3"/>
  <c r="G256" i="3"/>
  <c r="K181" i="3"/>
  <c r="K180" i="3"/>
  <c r="D182" i="3"/>
  <c r="G23" i="3" l="1"/>
  <c r="H21" i="3"/>
  <c r="H19" i="3" s="1"/>
  <c r="G24" i="3"/>
  <c r="G254" i="3"/>
  <c r="G193" i="3"/>
  <c r="K184" i="3"/>
  <c r="M177" i="3" s="1"/>
  <c r="K183" i="3"/>
  <c r="M176" i="3" s="1"/>
  <c r="G19" i="3" l="1"/>
  <c r="H17" i="3"/>
  <c r="H15" i="3" s="1"/>
  <c r="H13" i="3" s="1"/>
  <c r="H11" i="3" s="1"/>
  <c r="H9" i="3" s="1"/>
  <c r="H8" i="3" s="1"/>
  <c r="G21" i="3"/>
  <c r="G191" i="3"/>
  <c r="G252" i="3"/>
  <c r="K186" i="3"/>
  <c r="K185" i="3"/>
  <c r="G8" i="3" l="1"/>
  <c r="H6" i="3"/>
  <c r="G9" i="3"/>
  <c r="G11" i="3"/>
  <c r="G13" i="3"/>
  <c r="G15" i="3"/>
  <c r="G17" i="3"/>
  <c r="G250" i="3"/>
  <c r="G189" i="3"/>
  <c r="K188" i="3"/>
  <c r="K187" i="3"/>
  <c r="G6" i="3" l="1"/>
  <c r="H5" i="3"/>
  <c r="G187" i="3"/>
  <c r="G248" i="3"/>
  <c r="K190" i="3"/>
  <c r="K189" i="3"/>
  <c r="G5" i="3" l="1"/>
  <c r="H3" i="3"/>
  <c r="G3" i="3" s="1"/>
  <c r="G247" i="3"/>
  <c r="G185" i="3"/>
  <c r="K192" i="3"/>
  <c r="K191" i="3"/>
  <c r="G183" i="3" l="1"/>
  <c r="G246" i="3"/>
  <c r="K194" i="3"/>
  <c r="M186" i="3" s="1"/>
  <c r="K193" i="3"/>
  <c r="M185" i="3" s="1"/>
  <c r="G245" i="3" l="1"/>
  <c r="G180" i="3"/>
  <c r="K196" i="3"/>
  <c r="K195" i="3"/>
  <c r="K198" i="3"/>
  <c r="K197" i="3"/>
  <c r="K200" i="3"/>
  <c r="K199" i="3"/>
  <c r="G178" i="3" l="1"/>
  <c r="G244" i="3"/>
  <c r="K202" i="3"/>
  <c r="K201" i="3"/>
  <c r="G243" i="3" l="1"/>
  <c r="G176" i="3"/>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K204" i="3"/>
  <c r="M196" i="3" s="1"/>
  <c r="K203" i="3"/>
  <c r="M195" i="3" s="1"/>
  <c r="G174" i="3" l="1"/>
  <c r="G242" i="3"/>
  <c r="H49" i="11"/>
  <c r="H39" i="11"/>
  <c r="H40" i="11"/>
  <c r="H41" i="11"/>
  <c r="H42" i="11"/>
  <c r="H43" i="11"/>
  <c r="H44" i="11"/>
  <c r="H45" i="11"/>
  <c r="H46" i="11"/>
  <c r="H47" i="11"/>
  <c r="H48" i="11"/>
  <c r="H38" i="11"/>
  <c r="E3" i="11"/>
  <c r="E58" i="11" s="1"/>
  <c r="K34" i="11"/>
  <c r="O282" i="3"/>
  <c r="K206" i="3"/>
  <c r="K205" i="3"/>
  <c r="E56" i="11" l="1"/>
  <c r="G241" i="3"/>
  <c r="G172" i="3"/>
  <c r="M34" i="11"/>
  <c r="G170" i="3" l="1"/>
  <c r="G240" i="3"/>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K208" i="3"/>
  <c r="K207" i="3"/>
  <c r="G239" i="3" l="1"/>
  <c r="G168" i="3"/>
  <c r="H37" i="11"/>
  <c r="J2" i="11"/>
  <c r="H3" i="11"/>
  <c r="K210" i="3"/>
  <c r="K209" i="3"/>
  <c r="G165" i="3" l="1"/>
  <c r="G238" i="3"/>
  <c r="S217" i="3"/>
  <c r="P221" i="3"/>
  <c r="Q220" i="3"/>
  <c r="O211" i="3"/>
  <c r="O212" i="3"/>
  <c r="G237" i="3" l="1"/>
  <c r="G163" i="3"/>
  <c r="Q210" i="3"/>
  <c r="K211" i="3"/>
  <c r="K212" i="3"/>
  <c r="G161" i="3" l="1"/>
  <c r="G236" i="3"/>
  <c r="K215" i="3"/>
  <c r="K214" i="3"/>
  <c r="M206" i="3" s="1"/>
  <c r="K213" i="3"/>
  <c r="M205" i="3" s="1"/>
  <c r="D215" i="3"/>
  <c r="G235" i="3" l="1"/>
  <c r="G158" i="3"/>
  <c r="K219" i="3"/>
  <c r="K216" i="3"/>
  <c r="K217" i="3"/>
  <c r="K218" i="3"/>
  <c r="K220" i="3"/>
  <c r="D220" i="3"/>
  <c r="F220" i="3" s="1"/>
  <c r="F218" i="3" s="1"/>
  <c r="F216" i="3" s="1"/>
  <c r="F213" i="3" s="1"/>
  <c r="F211" i="3" s="1"/>
  <c r="F209" i="3" s="1"/>
  <c r="F207" i="3" s="1"/>
  <c r="F205" i="3" s="1"/>
  <c r="F203" i="3" s="1"/>
  <c r="F201" i="3" s="1"/>
  <c r="F199" i="3" s="1"/>
  <c r="F197" i="3" s="1"/>
  <c r="F195" i="3" s="1"/>
  <c r="F193" i="3" s="1"/>
  <c r="F191" i="3" s="1"/>
  <c r="F189" i="3" s="1"/>
  <c r="F187" i="3" s="1"/>
  <c r="F185" i="3" s="1"/>
  <c r="F183" i="3" s="1"/>
  <c r="F180" i="3" s="1"/>
  <c r="F178" i="3" s="1"/>
  <c r="F176" i="3" s="1"/>
  <c r="F174" i="3" s="1"/>
  <c r="F172" i="3" s="1"/>
  <c r="F170" i="3" s="1"/>
  <c r="F168" i="3" s="1"/>
  <c r="F165" i="3" s="1"/>
  <c r="F163" i="3" s="1"/>
  <c r="F161" i="3" s="1"/>
  <c r="F158" i="3" s="1"/>
  <c r="F156" i="3" s="1"/>
  <c r="F154" i="3" l="1"/>
  <c r="G156" i="3"/>
  <c r="G234" i="3"/>
  <c r="M216" i="3"/>
  <c r="K221" i="3"/>
  <c r="D222" i="3"/>
  <c r="F151" i="3" l="1"/>
  <c r="G233" i="3"/>
  <c r="G154" i="3"/>
  <c r="J218" i="3"/>
  <c r="K223" i="3"/>
  <c r="K224" i="3"/>
  <c r="F148" i="3" l="1"/>
  <c r="G151" i="3"/>
  <c r="G232" i="3"/>
  <c r="M217" i="3"/>
  <c r="J216" i="3"/>
  <c r="K225" i="3"/>
  <c r="F146" i="3" l="1"/>
  <c r="G231" i="3"/>
  <c r="G146" i="3"/>
  <c r="G148" i="3"/>
  <c r="J213" i="3"/>
  <c r="K228" i="3"/>
  <c r="K229" i="3"/>
  <c r="K226" i="3"/>
  <c r="K230" i="3"/>
  <c r="D227" i="3"/>
  <c r="F143" i="3" l="1"/>
  <c r="G230" i="3"/>
  <c r="J211" i="3"/>
  <c r="M225" i="3"/>
  <c r="K241" i="3"/>
  <c r="K239" i="3"/>
  <c r="K238" i="3"/>
  <c r="K237" i="3"/>
  <c r="K236" i="3"/>
  <c r="K235" i="3"/>
  <c r="K234" i="3"/>
  <c r="K233" i="3"/>
  <c r="K232" i="3"/>
  <c r="K231" i="3"/>
  <c r="K242" i="3"/>
  <c r="F139" i="3" l="1"/>
  <c r="G229" i="3"/>
  <c r="J209" i="3"/>
  <c r="M231" i="3"/>
  <c r="M236" i="3"/>
  <c r="F137" i="3" l="1"/>
  <c r="G228" i="3"/>
  <c r="J207" i="3"/>
  <c r="K248" i="3"/>
  <c r="K249" i="3"/>
  <c r="K247" i="3"/>
  <c r="K246" i="3"/>
  <c r="K244" i="3"/>
  <c r="K245" i="3"/>
  <c r="F134" i="3" l="1"/>
  <c r="G227" i="3"/>
  <c r="J205" i="3"/>
  <c r="J203" i="3"/>
  <c r="F132" i="3" l="1"/>
  <c r="G226" i="3"/>
  <c r="J201" i="3"/>
  <c r="D4" i="7"/>
  <c r="D5" i="7"/>
  <c r="D6" i="7"/>
  <c r="D7" i="7"/>
  <c r="D8" i="7"/>
  <c r="D9" i="7"/>
  <c r="D10" i="7"/>
  <c r="D11" i="7"/>
  <c r="D12" i="7"/>
  <c r="D13" i="7"/>
  <c r="D14" i="7"/>
  <c r="D15" i="7"/>
  <c r="D16" i="7"/>
  <c r="D17" i="7"/>
  <c r="D18" i="7"/>
  <c r="D19" i="7"/>
  <c r="D20" i="7"/>
  <c r="D21" i="7"/>
  <c r="D22" i="7"/>
  <c r="D23" i="7"/>
  <c r="D24" i="7"/>
  <c r="D3" i="7"/>
  <c r="G225" i="3" l="1"/>
  <c r="J199" i="3"/>
  <c r="G224" i="3" l="1"/>
  <c r="J197" i="3"/>
  <c r="D245" i="3"/>
  <c r="G223" i="3" l="1"/>
  <c r="J195" i="3"/>
  <c r="J2" i="6"/>
  <c r="G222" i="3" l="1"/>
  <c r="J193" i="3"/>
  <c r="G221" i="3" l="1"/>
  <c r="J191" i="3"/>
  <c r="K279" i="3" l="1"/>
  <c r="G219" i="3"/>
  <c r="J189" i="3"/>
  <c r="D250" i="3"/>
  <c r="G217" i="3" l="1"/>
  <c r="J187" i="3"/>
  <c r="G215" i="3" l="1"/>
  <c r="J185" i="3"/>
  <c r="J183" i="3"/>
  <c r="D275" i="3"/>
  <c r="F275" i="3" s="1"/>
  <c r="D274" i="3"/>
  <c r="D276" i="3"/>
  <c r="D269" i="3"/>
  <c r="D271" i="3"/>
  <c r="D272" i="3"/>
  <c r="F274" i="3" l="1"/>
  <c r="F273" i="3" s="1"/>
  <c r="F272" i="3" s="1"/>
  <c r="G214" i="3"/>
  <c r="J180" i="3"/>
  <c r="N6" i="1"/>
  <c r="J10" i="1"/>
  <c r="J9" i="1"/>
  <c r="M9" i="1"/>
  <c r="K18" i="2"/>
  <c r="I21" i="2"/>
  <c r="I19" i="2"/>
  <c r="J6" i="1"/>
  <c r="D8" i="1"/>
  <c r="J275" i="3"/>
  <c r="J12" i="1" l="1"/>
  <c r="F271" i="3"/>
  <c r="J274" i="3"/>
  <c r="G212" i="3"/>
  <c r="J178" i="3"/>
  <c r="F269" i="3" l="1"/>
  <c r="F267" i="3" s="1"/>
  <c r="F265" i="3" s="1"/>
  <c r="F263" i="3" s="1"/>
  <c r="F262" i="3" s="1"/>
  <c r="F260" i="3" s="1"/>
  <c r="F258" i="3" s="1"/>
  <c r="F256" i="3" s="1"/>
  <c r="F254" i="3" s="1"/>
  <c r="F252" i="3" s="1"/>
  <c r="F250" i="3" s="1"/>
  <c r="F248" i="3" s="1"/>
  <c r="F247" i="3" s="1"/>
  <c r="F246" i="3" s="1"/>
  <c r="F245" i="3" s="1"/>
  <c r="F244" i="3" s="1"/>
  <c r="F243" i="3" s="1"/>
  <c r="F242" i="3" s="1"/>
  <c r="F241" i="3" s="1"/>
  <c r="F240" i="3" s="1"/>
  <c r="F239" i="3" s="1"/>
  <c r="F238" i="3" s="1"/>
  <c r="F237" i="3" s="1"/>
  <c r="F236" i="3" s="1"/>
  <c r="F235" i="3" s="1"/>
  <c r="F234" i="3" s="1"/>
  <c r="F233" i="3" s="1"/>
  <c r="F232" i="3" s="1"/>
  <c r="F231" i="3" s="1"/>
  <c r="F230" i="3" s="1"/>
  <c r="F229" i="3" s="1"/>
  <c r="F228" i="3" s="1"/>
  <c r="F227" i="3" s="1"/>
  <c r="F226" i="3" s="1"/>
  <c r="F225" i="3" s="1"/>
  <c r="F224" i="3" s="1"/>
  <c r="F223" i="3" s="1"/>
  <c r="F222" i="3" s="1"/>
  <c r="F221" i="3" s="1"/>
  <c r="F219" i="3" s="1"/>
  <c r="F217" i="3" s="1"/>
  <c r="F215" i="3" s="1"/>
  <c r="F214" i="3" s="1"/>
  <c r="F212" i="3" s="1"/>
  <c r="F210" i="3" s="1"/>
  <c r="F208" i="3" s="1"/>
  <c r="F206" i="3" s="1"/>
  <c r="F204" i="3" s="1"/>
  <c r="F202" i="3" s="1"/>
  <c r="F200" i="3" s="1"/>
  <c r="F198" i="3" s="1"/>
  <c r="F196" i="3" s="1"/>
  <c r="F194" i="3" s="1"/>
  <c r="F192" i="3" s="1"/>
  <c r="F190" i="3" s="1"/>
  <c r="F188" i="3" s="1"/>
  <c r="F186" i="3" s="1"/>
  <c r="F184" i="3" s="1"/>
  <c r="F270" i="3"/>
  <c r="J270" i="3" s="1"/>
  <c r="J273" i="3"/>
  <c r="G210" i="3"/>
  <c r="J176" i="3"/>
  <c r="F182" i="3" l="1"/>
  <c r="J272" i="3"/>
  <c r="G208" i="3"/>
  <c r="J174" i="3"/>
  <c r="F181" i="3" l="1"/>
  <c r="J271" i="3"/>
  <c r="G206" i="3"/>
  <c r="J172" i="3"/>
  <c r="F179" i="3" l="1"/>
  <c r="G204" i="3"/>
  <c r="J170" i="3"/>
  <c r="F177" i="3" l="1"/>
  <c r="J267" i="3"/>
  <c r="G202" i="3"/>
  <c r="O205" i="3"/>
  <c r="F175" i="3" l="1"/>
  <c r="J265" i="3"/>
  <c r="G200" i="3"/>
  <c r="J165" i="3"/>
  <c r="J168" i="3"/>
  <c r="F173" i="3" l="1"/>
  <c r="J263" i="3"/>
  <c r="G198" i="3"/>
  <c r="J163" i="3"/>
  <c r="F171" i="3" l="1"/>
  <c r="J262" i="3"/>
  <c r="G196" i="3"/>
  <c r="J161" i="3"/>
  <c r="F169" i="3" l="1"/>
  <c r="J260" i="3"/>
  <c r="G194" i="3"/>
  <c r="J158" i="3"/>
  <c r="F167" i="3" l="1"/>
  <c r="J258" i="3"/>
  <c r="G192" i="3"/>
  <c r="J156" i="3"/>
  <c r="O195" i="3"/>
  <c r="F166" i="3" l="1"/>
  <c r="J256" i="3"/>
  <c r="G190" i="3"/>
  <c r="J154" i="3"/>
  <c r="F164" i="3" l="1"/>
  <c r="J252" i="3"/>
  <c r="J254" i="3"/>
  <c r="G188" i="3"/>
  <c r="J151" i="3"/>
  <c r="F162" i="3" l="1"/>
  <c r="J250" i="3"/>
  <c r="G186" i="3"/>
  <c r="J148" i="3"/>
  <c r="F160" i="3" l="1"/>
  <c r="G184" i="3"/>
  <c r="J146" i="3"/>
  <c r="G143" i="3"/>
  <c r="F159" i="3" l="1"/>
  <c r="J248" i="3"/>
  <c r="G182" i="3"/>
  <c r="J143" i="3"/>
  <c r="O185" i="3"/>
  <c r="F157" i="3" l="1"/>
  <c r="J247" i="3"/>
  <c r="G139" i="3"/>
  <c r="G181" i="3"/>
  <c r="F155" i="3" l="1"/>
  <c r="J246" i="3"/>
  <c r="G179" i="3"/>
  <c r="G137" i="3"/>
  <c r="J137" i="3" s="1"/>
  <c r="J139" i="3"/>
  <c r="F153" i="3" l="1"/>
  <c r="J244" i="3"/>
  <c r="G134" i="3"/>
  <c r="J134" i="3" s="1"/>
  <c r="G177" i="3"/>
  <c r="F152" i="3" l="1"/>
  <c r="J243" i="3"/>
  <c r="G175" i="3"/>
  <c r="G132" i="3"/>
  <c r="J132" i="3" s="1"/>
  <c r="F130" i="3"/>
  <c r="F150" i="3" l="1"/>
  <c r="J242" i="3"/>
  <c r="G130" i="3"/>
  <c r="J130" i="3" s="1"/>
  <c r="F128" i="3"/>
  <c r="G173" i="3"/>
  <c r="F149" i="3" l="1"/>
  <c r="J241" i="3"/>
  <c r="J240" i="3"/>
  <c r="G128" i="3"/>
  <c r="F125" i="3"/>
  <c r="G171" i="3"/>
  <c r="F147" i="3" l="1"/>
  <c r="G125" i="3"/>
  <c r="J125" i="3" s="1"/>
  <c r="F123" i="3"/>
  <c r="J128" i="3"/>
  <c r="G169" i="3"/>
  <c r="F145" i="3" l="1"/>
  <c r="J239" i="3"/>
  <c r="G123" i="3"/>
  <c r="J123" i="3" s="1"/>
  <c r="F120" i="3"/>
  <c r="G167" i="3"/>
  <c r="F144" i="3" l="1"/>
  <c r="J238" i="3"/>
  <c r="G120" i="3"/>
  <c r="J120" i="3" s="1"/>
  <c r="F118" i="3"/>
  <c r="G166" i="3"/>
  <c r="J166" i="3" s="1"/>
  <c r="F142" i="3" l="1"/>
  <c r="J237" i="3"/>
  <c r="G118" i="3"/>
  <c r="J118" i="3" s="1"/>
  <c r="F116" i="3"/>
  <c r="G164" i="3"/>
  <c r="F141" i="3" l="1"/>
  <c r="J236" i="3"/>
  <c r="G116" i="3"/>
  <c r="J116" i="3" s="1"/>
  <c r="F114" i="3"/>
  <c r="G162" i="3"/>
  <c r="F140" i="3" l="1"/>
  <c r="J140" i="3"/>
  <c r="J235" i="3"/>
  <c r="G114" i="3"/>
  <c r="F111" i="3"/>
  <c r="G160" i="3"/>
  <c r="F138" i="3" l="1"/>
  <c r="J234" i="3"/>
  <c r="G111" i="3"/>
  <c r="J111" i="3" s="1"/>
  <c r="F108" i="3"/>
  <c r="J114" i="3"/>
  <c r="G159" i="3"/>
  <c r="J159" i="3" s="1"/>
  <c r="F136" i="3" l="1"/>
  <c r="J233" i="3"/>
  <c r="G108" i="3"/>
  <c r="G157" i="3"/>
  <c r="F106" i="3" l="1"/>
  <c r="F135" i="3"/>
  <c r="G104" i="3"/>
  <c r="J108" i="3"/>
  <c r="G106" i="3"/>
  <c r="J232" i="3"/>
  <c r="G155" i="3"/>
  <c r="J106" i="3" l="1"/>
  <c r="F133" i="3"/>
  <c r="G103" i="3"/>
  <c r="F103" i="3"/>
  <c r="F104" i="3"/>
  <c r="J104" i="3" s="1"/>
  <c r="J231" i="3"/>
  <c r="G153" i="3"/>
  <c r="F131" i="3" l="1"/>
  <c r="J230" i="3"/>
  <c r="G152" i="3"/>
  <c r="J152" i="3" s="1"/>
  <c r="F129" i="3" l="1"/>
  <c r="G129" i="3"/>
  <c r="J229" i="3"/>
  <c r="G150" i="3"/>
  <c r="F127" i="3" l="1"/>
  <c r="G127" i="3"/>
  <c r="J228" i="3"/>
  <c r="G149" i="3"/>
  <c r="J149" i="3" s="1"/>
  <c r="F126" i="3" l="1"/>
  <c r="G126" i="3"/>
  <c r="J126" i="3" s="1"/>
  <c r="J227" i="3"/>
  <c r="G147" i="3"/>
  <c r="F124" i="3" l="1"/>
  <c r="G124" i="3"/>
  <c r="J226" i="3"/>
  <c r="G145" i="3"/>
  <c r="F122" i="3" l="1"/>
  <c r="G122" i="3"/>
  <c r="J225" i="3"/>
  <c r="G144" i="3"/>
  <c r="J144" i="3" s="1"/>
  <c r="F121" i="3" l="1"/>
  <c r="G121" i="3"/>
  <c r="J121" i="3" s="1"/>
  <c r="J224" i="3"/>
  <c r="G141" i="3"/>
  <c r="G142" i="3"/>
  <c r="F119" i="3" l="1"/>
  <c r="G119" i="3"/>
  <c r="J223" i="3"/>
  <c r="G140" i="3"/>
  <c r="F117" i="3" l="1"/>
  <c r="G117" i="3"/>
  <c r="J222" i="3"/>
  <c r="G138" i="3"/>
  <c r="F115" i="3" l="1"/>
  <c r="G115" i="3"/>
  <c r="J220" i="3"/>
  <c r="J221" i="3"/>
  <c r="G136" i="3"/>
  <c r="F113" i="3" l="1"/>
  <c r="G113" i="3"/>
  <c r="J219" i="3"/>
  <c r="G135" i="3"/>
  <c r="J135" i="3" s="1"/>
  <c r="F112" i="3" l="1"/>
  <c r="G112" i="3"/>
  <c r="J112" i="3" s="1"/>
  <c r="J217" i="3"/>
  <c r="G133" i="3"/>
  <c r="G131" i="3"/>
  <c r="F110" i="3" l="1"/>
  <c r="G110" i="3"/>
  <c r="J215" i="3"/>
  <c r="F109" i="3" l="1"/>
  <c r="G109" i="3"/>
  <c r="J109" i="3" s="1"/>
  <c r="J214" i="3"/>
  <c r="F107" i="3" l="1"/>
  <c r="G107" i="3"/>
  <c r="J212" i="3"/>
  <c r="F105" i="3" l="1"/>
  <c r="G105" i="3"/>
  <c r="J210" i="3"/>
  <c r="F102" i="3" l="1"/>
  <c r="G102" i="3"/>
  <c r="J208" i="3"/>
  <c r="G99" i="3" l="1"/>
  <c r="G100" i="3"/>
  <c r="G101" i="3"/>
  <c r="F101" i="3"/>
  <c r="F100" i="3" s="1"/>
  <c r="J206" i="3"/>
  <c r="N206" i="3" s="1"/>
  <c r="G97" i="3" l="1"/>
  <c r="J100" i="3"/>
  <c r="F99" i="3"/>
  <c r="F98" i="3" s="1"/>
  <c r="F97" i="3" s="1"/>
  <c r="G98" i="3"/>
  <c r="J204" i="3"/>
  <c r="N205" i="3" s="1"/>
  <c r="G94" i="3" l="1"/>
  <c r="G95" i="3"/>
  <c r="J97" i="3"/>
  <c r="F96" i="3"/>
  <c r="F95" i="3" s="1"/>
  <c r="F94" i="3" s="1"/>
  <c r="F93" i="3" s="1"/>
  <c r="G96" i="3"/>
  <c r="J98" i="3"/>
  <c r="J202" i="3"/>
  <c r="F92" i="3" l="1"/>
  <c r="F91" i="3" s="1"/>
  <c r="J94" i="3"/>
  <c r="G92" i="3"/>
  <c r="J95" i="3"/>
  <c r="J96" i="3"/>
  <c r="J200" i="3"/>
  <c r="F90" i="3" l="1"/>
  <c r="F89" i="3" s="1"/>
  <c r="F88" i="3" s="1"/>
  <c r="F87" i="3" s="1"/>
  <c r="J92" i="3"/>
  <c r="J198" i="3"/>
  <c r="F86" i="3" l="1"/>
  <c r="F85" i="3" s="1"/>
  <c r="F84" i="3" s="1"/>
  <c r="J196" i="3"/>
  <c r="N196" i="3" s="1"/>
  <c r="J86" i="3" l="1"/>
  <c r="F83" i="3"/>
  <c r="J87" i="3"/>
  <c r="J194" i="3"/>
  <c r="N195" i="3" s="1"/>
  <c r="F82" i="3" l="1"/>
  <c r="F81" i="3" s="1"/>
  <c r="J192" i="3"/>
  <c r="F80" i="3" l="1"/>
  <c r="F79" i="3" s="1"/>
  <c r="F78" i="3" s="1"/>
  <c r="F77" i="3" s="1"/>
  <c r="F76" i="3" s="1"/>
  <c r="J81" i="3"/>
  <c r="J190" i="3"/>
  <c r="F75" i="3" l="1"/>
  <c r="J76" i="3"/>
  <c r="J78" i="3"/>
  <c r="J188" i="3"/>
  <c r="J75" i="3" l="1"/>
  <c r="F74" i="3"/>
  <c r="J77" i="3"/>
  <c r="J186" i="3"/>
  <c r="N186" i="3" s="1"/>
  <c r="J74" i="3" l="1"/>
  <c r="F73" i="3"/>
  <c r="J184" i="3"/>
  <c r="N185" i="3" s="1"/>
  <c r="F72" i="3" l="1"/>
  <c r="J73" i="3"/>
  <c r="J182" i="3"/>
  <c r="F71" i="3" l="1"/>
  <c r="J181" i="3"/>
  <c r="J71" i="3" l="1"/>
  <c r="F70" i="3"/>
  <c r="J179" i="3"/>
  <c r="F69" i="3" l="1"/>
  <c r="J70" i="3"/>
  <c r="J177" i="3"/>
  <c r="N177" i="3" s="1"/>
  <c r="J69" i="3" l="1"/>
  <c r="F68" i="3"/>
  <c r="J175" i="3"/>
  <c r="N176" i="3" s="1"/>
  <c r="J68" i="3" l="1"/>
  <c r="F67" i="3"/>
  <c r="J173" i="3"/>
  <c r="J67" i="3" l="1"/>
  <c r="F66" i="3"/>
  <c r="J171" i="3"/>
  <c r="J66" i="3" l="1"/>
  <c r="F65" i="3"/>
  <c r="J169" i="3"/>
  <c r="N166" i="3" s="1"/>
  <c r="J65" i="3" l="1"/>
  <c r="F64" i="3"/>
  <c r="J167" i="3"/>
  <c r="F63" i="3" l="1"/>
  <c r="J64" i="3"/>
  <c r="J164" i="3"/>
  <c r="N165" i="3" s="1"/>
  <c r="J63" i="3" l="1"/>
  <c r="F62" i="3"/>
  <c r="J162" i="3"/>
  <c r="J62" i="3" l="1"/>
  <c r="F61" i="3"/>
  <c r="J160" i="3"/>
  <c r="F60" i="3" l="1"/>
  <c r="J61" i="3"/>
  <c r="J157" i="3"/>
  <c r="J60" i="3" l="1"/>
  <c r="F59" i="3"/>
  <c r="J155" i="3"/>
  <c r="N155" i="3" s="1"/>
  <c r="P156" i="3" s="1"/>
  <c r="F58" i="3" l="1"/>
  <c r="J153" i="3"/>
  <c r="N154" i="3" s="1"/>
  <c r="F55" i="3" l="1"/>
  <c r="F53" i="3" s="1"/>
  <c r="F51" i="3" s="1"/>
  <c r="F50" i="3" s="1"/>
  <c r="J58" i="3"/>
  <c r="J150" i="3"/>
  <c r="F48" i="3" l="1"/>
  <c r="J51" i="3"/>
  <c r="J53" i="3"/>
  <c r="J55" i="3"/>
  <c r="J147" i="3"/>
  <c r="F46" i="3" l="1"/>
  <c r="J48" i="3"/>
  <c r="J145" i="3"/>
  <c r="F45" i="3" l="1"/>
  <c r="F43" i="3" s="1"/>
  <c r="J142" i="3"/>
  <c r="J43" i="3" l="1"/>
  <c r="F41" i="3"/>
  <c r="J45" i="3"/>
  <c r="J141" i="3"/>
  <c r="J41" i="3" l="1"/>
  <c r="F39" i="3"/>
  <c r="J138" i="3"/>
  <c r="J39" i="3" l="1"/>
  <c r="F37" i="3"/>
  <c r="J136" i="3"/>
  <c r="J37" i="3" l="1"/>
  <c r="F35" i="3"/>
  <c r="J133" i="3"/>
  <c r="J35" i="3" l="1"/>
  <c r="F33" i="3"/>
  <c r="J131" i="3"/>
  <c r="J33" i="3" l="1"/>
  <c r="F31" i="3"/>
  <c r="J129" i="3"/>
  <c r="J31" i="3" l="1"/>
  <c r="F29" i="3"/>
  <c r="J127" i="3"/>
  <c r="J29" i="3" l="1"/>
  <c r="F28" i="3"/>
  <c r="J124" i="3"/>
  <c r="F26" i="3" l="1"/>
  <c r="J122" i="3"/>
  <c r="J26" i="3" l="1"/>
  <c r="F24" i="3"/>
  <c r="J119" i="3"/>
  <c r="J24" i="3" l="1"/>
  <c r="F23" i="3"/>
  <c r="J117" i="3"/>
  <c r="F21" i="3" l="1"/>
  <c r="F19" i="3" s="1"/>
  <c r="J115" i="3"/>
  <c r="J19" i="3" l="1"/>
  <c r="F17" i="3"/>
  <c r="J21" i="3"/>
  <c r="J113" i="3"/>
  <c r="J17" i="3" l="1"/>
  <c r="F15" i="3"/>
  <c r="J110" i="3"/>
  <c r="J15" i="3" l="1"/>
  <c r="F13" i="3"/>
  <c r="J107" i="3"/>
  <c r="J13" i="3" l="1"/>
  <c r="F11" i="3"/>
  <c r="J101" i="3"/>
  <c r="J102" i="3"/>
  <c r="J105" i="3"/>
  <c r="J11" i="3" l="1"/>
  <c r="F9" i="3"/>
  <c r="F38" i="13"/>
  <c r="H37" i="13" s="1"/>
  <c r="J9" i="3" l="1"/>
  <c r="F8" i="3"/>
  <c r="F37" i="13"/>
  <c r="H36" i="13" s="1"/>
  <c r="F6" i="3" l="1"/>
  <c r="F36" i="13"/>
  <c r="F35" i="13" s="1"/>
  <c r="J6" i="3" l="1"/>
  <c r="F5" i="3"/>
  <c r="F3" i="3" s="1"/>
  <c r="J3" i="3" s="1"/>
  <c r="J279" i="3" s="1"/>
  <c r="H35" i="13"/>
  <c r="H34" i="13"/>
  <c r="F34" i="13"/>
  <c r="F33" i="13" l="1"/>
  <c r="H33" i="13"/>
  <c r="H32" i="13" l="1"/>
  <c r="F32" i="13"/>
  <c r="F31" i="13" l="1"/>
  <c r="F30" i="13" s="1"/>
  <c r="H31" i="13"/>
  <c r="F29" i="13" l="1"/>
  <c r="H29" i="13"/>
  <c r="F28" i="13" l="1"/>
  <c r="H28" i="13"/>
  <c r="F27" i="13" l="1"/>
  <c r="F26" i="13" l="1"/>
  <c r="H25" i="13" s="1"/>
  <c r="H26" i="13"/>
  <c r="F25" i="13" l="1"/>
  <c r="H24" i="13" s="1"/>
  <c r="F24" i="13" l="1"/>
  <c r="F23" i="13" s="1"/>
  <c r="H23" i="13"/>
  <c r="H22" i="13" l="1"/>
  <c r="F22" i="13"/>
  <c r="F21" i="13" l="1"/>
  <c r="H21" i="13"/>
  <c r="H20" i="13" l="1"/>
  <c r="F20" i="13"/>
  <c r="F19" i="13" l="1"/>
  <c r="H19" i="13"/>
  <c r="H18" i="13" l="1"/>
  <c r="F18" i="13"/>
  <c r="H17" i="13" l="1"/>
  <c r="F17" i="13"/>
  <c r="F16" i="13" l="1"/>
  <c r="H16" i="13"/>
  <c r="H15" i="13" l="1"/>
  <c r="F15" i="13"/>
  <c r="F14" i="13" l="1"/>
  <c r="H14" i="13"/>
  <c r="H13" i="13" l="1"/>
  <c r="F13" i="13"/>
  <c r="H12" i="13" s="1"/>
  <c r="F12" i="13" l="1"/>
  <c r="F11" i="13" l="1"/>
  <c r="F10" i="13" l="1"/>
  <c r="H10" i="13"/>
  <c r="H9" i="13" l="1"/>
  <c r="F9" i="13"/>
  <c r="H8" i="13" l="1"/>
  <c r="F8" i="13"/>
  <c r="H7" i="13" l="1"/>
  <c r="F7" i="13"/>
  <c r="H6" i="13" l="1"/>
  <c r="F6" i="13"/>
  <c r="F5" i="13" l="1"/>
  <c r="H5" i="13"/>
  <c r="F4" i="13" l="1"/>
  <c r="H4" i="13"/>
  <c r="H3" i="13" l="1"/>
  <c r="H39" i="13" s="1"/>
  <c r="F3" i="13"/>
  <c r="J39" i="13" l="1"/>
  <c r="K39" i="13"/>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lanilla de Gastos.xlsx!Dolar" type="102" refreshedVersion="6" minRefreshableVersion="5">
    <extLst>
      <ext xmlns:x15="http://schemas.microsoft.com/office/spreadsheetml/2010/11/main" uri="{DE250136-89BD-433C-8126-D09CA5730AF9}">
        <x15:connection id="Dolar">
          <x15:rangePr sourceName="_xlcn.WorksheetConnection_PlanilladeGastos.xlsxDolar"/>
        </x15:connection>
      </ext>
    </extLst>
  </connection>
  <connection id="3" name="WorksheetConnection_Planilla de Gastos.xlsx!Inversiones" type="102" refreshedVersion="6" minRefreshableVersion="5">
    <extLst>
      <ext xmlns:x15="http://schemas.microsoft.com/office/spreadsheetml/2010/11/main" uri="{DE250136-89BD-433C-8126-D09CA5730AF9}">
        <x15:connection id="Inversiones">
          <x15:rangePr sourceName="_xlcn.WorksheetConnection_PlanilladeGastos.xlsxInversiones"/>
        </x15:connection>
      </ext>
    </extLst>
  </connection>
</connections>
</file>

<file path=xl/sharedStrings.xml><?xml version="1.0" encoding="utf-8"?>
<sst xmlns="http://schemas.openxmlformats.org/spreadsheetml/2006/main" count="1218" uniqueCount="353">
  <si>
    <t xml:space="preserve">A pagar </t>
  </si>
  <si>
    <t>Fecha</t>
  </si>
  <si>
    <t>Caja</t>
  </si>
  <si>
    <t>FCI</t>
  </si>
  <si>
    <t>Composición FCI</t>
  </si>
  <si>
    <t>Total</t>
  </si>
  <si>
    <t>Concepto</t>
  </si>
  <si>
    <t>Monto</t>
  </si>
  <si>
    <t>Celular - Personal</t>
  </si>
  <si>
    <t>Tarjeta VISA</t>
  </si>
  <si>
    <t>Aporte Mama</t>
  </si>
  <si>
    <t>Aporte Papa + Cuotas</t>
  </si>
  <si>
    <t>Suscripción Julio</t>
  </si>
  <si>
    <t>Acumulado Mes Junio</t>
  </si>
  <si>
    <t>Movimientos en Cuenta</t>
  </si>
  <si>
    <t>Movimiento</t>
  </si>
  <si>
    <t>Débito</t>
  </si>
  <si>
    <t>Crédito</t>
  </si>
  <si>
    <t>Saldo Parcial</t>
  </si>
  <si>
    <t>16/07/2018</t>
  </si>
  <si>
    <t>COMPRA DEBITO
 REIVEN
 4517690084326632
 A927</t>
  </si>
  <si>
    <t>13/07/2018</t>
  </si>
  <si>
    <t>COMPRA DEBITO
 PIZZERIA LA POSTA
 4517690084326632
 A599</t>
  </si>
  <si>
    <t>COMPRA DEBITO
 EXPRESS AV RIVADAVIA 2520
 4517690084326632
 A989</t>
  </si>
  <si>
    <t>SUSCRIPCION FIMA</t>
  </si>
  <si>
    <t>RESCATE FIMA</t>
  </si>
  <si>
    <t>12/07/2018</t>
  </si>
  <si>
    <t>COMPRA DEBITO
 MC DONALDS -FL2
 4517690084326632
 A138</t>
  </si>
  <si>
    <t>COMPRA DEBITO
 BAKERY
 4517690084326632
 A907</t>
  </si>
  <si>
    <t>11/07/2018</t>
  </si>
  <si>
    <t>COMPRA DEBITO
 ALIMENTARI
 4517690084326632
 A633</t>
  </si>
  <si>
    <t>10/07/2018</t>
  </si>
  <si>
    <t>COMPRA DEBITO
 SUPERMERCADO PARADA CANGA
 4517690084326632
 A230</t>
  </si>
  <si>
    <t>COMPRA DEBITO
 MC DONALDS -CSR
 4517690084326632
 A086</t>
  </si>
  <si>
    <t>06/07/2018</t>
  </si>
  <si>
    <t>02/07/2018</t>
  </si>
  <si>
    <t>IVA</t>
  </si>
  <si>
    <t>COM. CUSTODIA DE TIT.</t>
  </si>
  <si>
    <t>PAGO TARJETA VISA</t>
  </si>
  <si>
    <t>TRANSF A TERCEROS
 CBU   07204245
 88000035335540
 CU  20175294245
 RIOP
 4517690084326632
 VARIOS</t>
  </si>
  <si>
    <t>TRANSF A TERCEROS
 CBU   01703397
 40000063608207
 CU  20175294245
 FNCS
 4517690084326632
 VARIOS</t>
  </si>
  <si>
    <t>29/06/2018</t>
  </si>
  <si>
    <t>COMPRA CASH BACK
 EXPRESS AV RIVADAVIA 2520
 4517690084326632
 EFECTIVO:500
 A989</t>
  </si>
  <si>
    <t>COMPRA DEBITO
 FARMACIA DEL DR. AHORRO
 4517690084326632
 A391</t>
  </si>
  <si>
    <t>ACREDITAMIENTO DE HABERES
 ERGO RENOVA SA
 30708846194</t>
  </si>
  <si>
    <t>DEV.COMPRA GALICIA 24-ELECTRON
 WWW.PEDIDOSYA.COM
 4517690084326632
 A789</t>
  </si>
  <si>
    <t>28/06/2018</t>
  </si>
  <si>
    <t>COMPRA DEBITO
 WWW.PEDIDOSYA.COM
 4517690084326632
 A789</t>
  </si>
  <si>
    <t>EXTRACCION CAJERO
 4517690084326632
 A727</t>
  </si>
  <si>
    <t>26/06/2018</t>
  </si>
  <si>
    <t>TRANSF DE TERCEROS
 BRAVO/SANTIAGO RAMON
 20175294245
 CUENTA ORIGEN CAJA AHORRO PESOS
 VARIOS
 4517650619545148
 3390006360820</t>
  </si>
  <si>
    <t>EXTRACCION CAJERO
 4517690084326632
 A728</t>
  </si>
  <si>
    <t>25/06/2018</t>
  </si>
  <si>
    <t>COMPRA DEBITO
 Express Rivadavia 3751
 4517690084326632
 A343</t>
  </si>
  <si>
    <t>COMPRA DEBITO
 COTO 061
 4517690084326632
 A723</t>
  </si>
  <si>
    <t>22/06/2018</t>
  </si>
  <si>
    <t>-5.000.00</t>
  </si>
  <si>
    <t>5.000.00</t>
  </si>
  <si>
    <t>-20.000.00</t>
  </si>
  <si>
    <t>26.265.00</t>
  </si>
  <si>
    <t>CA $</t>
  </si>
  <si>
    <t>Gastos Fijos</t>
  </si>
  <si>
    <t>Saldo al 30/06</t>
  </si>
  <si>
    <t>Gastos Variables</t>
  </si>
  <si>
    <t>Inversiones</t>
  </si>
  <si>
    <t>Haberes en 31/07</t>
  </si>
  <si>
    <t>Saldo Posterior</t>
  </si>
  <si>
    <t>Sueldo Bruto</t>
  </si>
  <si>
    <t>Saldo al 15/07</t>
  </si>
  <si>
    <t>Intereses Julio</t>
  </si>
  <si>
    <t>Monto Invertido</t>
  </si>
  <si>
    <t>Saldo Valorizado</t>
  </si>
  <si>
    <t>Nombre Inversión</t>
  </si>
  <si>
    <t>Valor Cuotaparte</t>
  </si>
  <si>
    <t>FIMA Ahorro Plus "A"</t>
  </si>
  <si>
    <t>Acción</t>
  </si>
  <si>
    <t>Suscripción</t>
  </si>
  <si>
    <t>Cant. Cuotapartes</t>
  </si>
  <si>
    <t>FIMA Premium "A"</t>
  </si>
  <si>
    <t>Rescate</t>
  </si>
  <si>
    <t>-</t>
  </si>
  <si>
    <t>Movimientos</t>
  </si>
  <si>
    <t>Resumen</t>
  </si>
  <si>
    <t>LEBAC 15/08/2018</t>
  </si>
  <si>
    <t>Total Cuotapartes</t>
  </si>
  <si>
    <t>Row Labels</t>
  </si>
  <si>
    <t>Grand Total</t>
  </si>
  <si>
    <t>Column Labels</t>
  </si>
  <si>
    <t>tasa</t>
  </si>
  <si>
    <t>compra</t>
  </si>
  <si>
    <t>venta</t>
  </si>
  <si>
    <t>fecha</t>
  </si>
  <si>
    <t>dif</t>
  </si>
  <si>
    <t>lebac jul-ago</t>
  </si>
  <si>
    <t>Lavarropa</t>
  </si>
  <si>
    <t>Heladera</t>
  </si>
  <si>
    <t>Min of Valor Cuotaparte</t>
  </si>
  <si>
    <t>Crecimiento</t>
  </si>
  <si>
    <t>Dif</t>
  </si>
  <si>
    <t xml:space="preserve"> </t>
  </si>
  <si>
    <t>FIMA PB Acciones</t>
  </si>
  <si>
    <t>periodo</t>
  </si>
  <si>
    <t>monto</t>
  </si>
  <si>
    <t>Pampa Energia S.A.</t>
  </si>
  <si>
    <t>Grupo Financiero Galicia S.A.</t>
  </si>
  <si>
    <t>Bolsas y Mercados Argentinos S.A.</t>
  </si>
  <si>
    <t>YPF S.A.</t>
  </si>
  <si>
    <t>Central Puerto S.A.</t>
  </si>
  <si>
    <t>Banco Macro S.A.</t>
  </si>
  <si>
    <t>Transportadora de Gas del Norte S.A.</t>
  </si>
  <si>
    <t>Transener S.A.</t>
  </si>
  <si>
    <t>Transportadora Gas del Sur S.A.</t>
  </si>
  <si>
    <t>Cresud S.A.</t>
  </si>
  <si>
    <t>Telecom Argentina S.A.</t>
  </si>
  <si>
    <t>Grupo Supervielle S.A.</t>
  </si>
  <si>
    <t>BBVA Banco Frances S.A.</t>
  </si>
  <si>
    <t>Capex S.A.</t>
  </si>
  <si>
    <t>Aluar Aluminio Argentino S.A.I.C.</t>
  </si>
  <si>
    <t>San Miguel S.A.</t>
  </si>
  <si>
    <t>Siderar S.A.I.C.</t>
  </si>
  <si>
    <t>Sociedad Comercial del Plata S.A.</t>
  </si>
  <si>
    <t>Distribuidora de Gas Cuyana S.A.</t>
  </si>
  <si>
    <t>Cablevision Holding S.A.</t>
  </si>
  <si>
    <t>Edenor S.A.</t>
  </si>
  <si>
    <t>Agrometal S.A.</t>
  </si>
  <si>
    <t>Grupo Concesionario del Oeste S.A.</t>
  </si>
  <si>
    <t>Mirgor S.A.</t>
  </si>
  <si>
    <t>Consultatio S.A.</t>
  </si>
  <si>
    <t>Holcim Argentina S.A.</t>
  </si>
  <si>
    <t>Autopistas del Sol S.A.</t>
  </si>
  <si>
    <t>Loma Negra S.A.</t>
  </si>
  <si>
    <t>Central Costanera S.A.</t>
  </si>
  <si>
    <t>Celulosa Argentina S.A.</t>
  </si>
  <si>
    <t>Banco Santander Rio S.A.</t>
  </si>
  <si>
    <t>Havanna Holding S.A.</t>
  </si>
  <si>
    <t>Metrogas S.A.</t>
  </si>
  <si>
    <t>Inversiones y Representaciones S.A.</t>
  </si>
  <si>
    <t>Grimoldi S.A.</t>
  </si>
  <si>
    <t>ADR Central Puerto</t>
  </si>
  <si>
    <t>ADR TGS US GA</t>
  </si>
  <si>
    <t>ADR Grupo Supervielle</t>
  </si>
  <si>
    <t>ADR Grupo Fciero Galicia</t>
  </si>
  <si>
    <t>ADR Pampa Energia</t>
  </si>
  <si>
    <t>ADR Petrobras ON</t>
  </si>
  <si>
    <t>ADR Banco Macro Bansud-B</t>
  </si>
  <si>
    <t>ADR Tenaris</t>
  </si>
  <si>
    <t>ADR YPF - D</t>
  </si>
  <si>
    <t>ADR Banco Frances</t>
  </si>
  <si>
    <t>ADR Edenor</t>
  </si>
  <si>
    <t>Cost Basis</t>
  </si>
  <si>
    <t>Share</t>
  </si>
  <si>
    <t>Name Stock</t>
  </si>
  <si>
    <t>Total Purchase</t>
  </si>
  <si>
    <t>% Portfolio</t>
  </si>
  <si>
    <t>Petroleo Brasileiro S.A.</t>
  </si>
  <si>
    <t>dólar 19/09</t>
  </si>
  <si>
    <t>real 19/09</t>
  </si>
  <si>
    <t>T.Sem (%)</t>
  </si>
  <si>
    <t>T.Sem (+)</t>
  </si>
  <si>
    <t>T.Sem (% tot.)</t>
  </si>
  <si>
    <t>01-Oct</t>
  </si>
  <si>
    <t>31-Oct</t>
  </si>
  <si>
    <t>Nov</t>
  </si>
  <si>
    <t>01-Nov</t>
  </si>
  <si>
    <t>02-Nov</t>
  </si>
  <si>
    <t>05-Nov</t>
  </si>
  <si>
    <t>Oct</t>
  </si>
  <si>
    <t>02-Oct</t>
  </si>
  <si>
    <t>03-Oct</t>
  </si>
  <si>
    <t>04-Oct</t>
  </si>
  <si>
    <t>05-Oct</t>
  </si>
  <si>
    <t>08-Oct</t>
  </si>
  <si>
    <t>09-Oct</t>
  </si>
  <si>
    <t>10-Oct</t>
  </si>
  <si>
    <t>11-Oct</t>
  </si>
  <si>
    <t>12-Oct</t>
  </si>
  <si>
    <t>16-Oct</t>
  </si>
  <si>
    <t>17-Oct</t>
  </si>
  <si>
    <t>18-Oct</t>
  </si>
  <si>
    <t>19-Oct</t>
  </si>
  <si>
    <t>22-Oct</t>
  </si>
  <si>
    <t>23-Oct</t>
  </si>
  <si>
    <t>24-Oct</t>
  </si>
  <si>
    <t>25-Oct</t>
  </si>
  <si>
    <t>26-Oct</t>
  </si>
  <si>
    <t>29-Oct</t>
  </si>
  <si>
    <t>30-Oct</t>
  </si>
  <si>
    <t>07-Nov</t>
  </si>
  <si>
    <t>08-Nov</t>
  </si>
  <si>
    <t>09-Nov</t>
  </si>
  <si>
    <t>12-Nov</t>
  </si>
  <si>
    <t>13-Nov</t>
  </si>
  <si>
    <t>14-Nov</t>
  </si>
  <si>
    <t>15-Nov</t>
  </si>
  <si>
    <t>16-Nov</t>
  </si>
  <si>
    <t>Categoría</t>
  </si>
  <si>
    <t>Sueldo neto</t>
  </si>
  <si>
    <t>Cuota Universidad</t>
  </si>
  <si>
    <t>20-Nov</t>
  </si>
  <si>
    <t>21-Nov</t>
  </si>
  <si>
    <t>22-Nov</t>
  </si>
  <si>
    <t>23-Nov</t>
  </si>
  <si>
    <t>26-Nov</t>
  </si>
  <si>
    <t>27-Nov</t>
  </si>
  <si>
    <t>28-Nov</t>
  </si>
  <si>
    <t>Mercado Pago</t>
  </si>
  <si>
    <t>29-Nov</t>
  </si>
  <si>
    <t>Gastos Servicios</t>
  </si>
  <si>
    <t>Aporte Mamá</t>
  </si>
  <si>
    <t>Dec</t>
  </si>
  <si>
    <t>03-Dec</t>
  </si>
  <si>
    <t>Alquiler</t>
  </si>
  <si>
    <t>Expensas</t>
  </si>
  <si>
    <t>04-Dec</t>
  </si>
  <si>
    <t>Tarjeta de Crédito</t>
  </si>
  <si>
    <t>05-Dec</t>
  </si>
  <si>
    <t>Maxi</t>
  </si>
  <si>
    <t>Leo</t>
  </si>
  <si>
    <t>Gastos Varios</t>
  </si>
  <si>
    <t>ABL</t>
  </si>
  <si>
    <t>Detalle</t>
  </si>
  <si>
    <t>10/12/2018</t>
  </si>
  <si>
    <t>TRANSF A TERCEROS
 CBU   01701087
 40000002948243
 CU  20387152289
 VARIOS
 4517690084326632
 FNCS</t>
  </si>
  <si>
    <t>07/12/2018</t>
  </si>
  <si>
    <t>RESCATE FIMA
 FIMA PB ACCIONES CLA</t>
  </si>
  <si>
    <t>03/12/2018</t>
  </si>
  <si>
    <t>SUSCRIPCION FIMA
  PREMIUM CLASE "</t>
  </si>
  <si>
    <t>TRANSFERENCIA PEI
 CBU   32200018
 05000025730015
 NO  30687310434
 NO EXISTE
 4517690084326632
 LINK
 A002</t>
  </si>
  <si>
    <t>TRANSF A TERCEROS
 CBU   07204245
 88000035335540
 CU  20175294245
 VARIOS
 4517690084326632
 RIOP</t>
  </si>
  <si>
    <t>29/11/2018</t>
  </si>
  <si>
    <t>COMPRA DEBITO
 MERCADOPAGO*MERCADOPAGO
 4517690084326632
 A943</t>
  </si>
  <si>
    <t>x</t>
  </si>
  <si>
    <t>RESCATE FIMA
 FIMA PREMIUM CLASE "</t>
  </si>
  <si>
    <t>26/11/2018</t>
  </si>
  <si>
    <t>TRANSF A TERCEROS
 CBU   01701087
 40000002948243
 CU  20387152289
 FNCS
 4517690084326632
 VARIOS</t>
  </si>
  <si>
    <t>EXTRACCION CAJERO
 4517690084326632
 A669</t>
  </si>
  <si>
    <t>COMPRA DEBITO
 MERCADOPAGO*BOACOMPRA
 4517690084326632
 A828</t>
  </si>
  <si>
    <t>DEV.COMPRA GALICIA 24-ELECTRON
 BoaCompra
 4517690084326632
 A828</t>
  </si>
  <si>
    <t>DEV.COMPRA GALICIA 24-ELECTRON
 4517690084326632
 A995</t>
  </si>
  <si>
    <t>COMPRA DEBITO
 PAYPAL
 4517690084326632
 A995</t>
  </si>
  <si>
    <t>TRANSF DE TERCEROS
 BRAVO/LEONARDO G
 20387152289
 CUENTA ORIGEN CTA CTE PESOS
 115003642832
 4517660132707414
 VARIOS</t>
  </si>
  <si>
    <t>23/11/2018</t>
  </si>
  <si>
    <t>22/11/2018</t>
  </si>
  <si>
    <t>21/11/2018</t>
  </si>
  <si>
    <t>EXTRACCION CAJERO
 4517690084326632
 A002</t>
  </si>
  <si>
    <t>20/11/2018</t>
  </si>
  <si>
    <t>EXTRACCION CAJERO
 4517690084326632
 A726</t>
  </si>
  <si>
    <t>16/11/2018</t>
  </si>
  <si>
    <t>INTERES CAPITALIZADO
 Noviembre 2018</t>
  </si>
  <si>
    <t>PROMO BONIFICACION GALICIA 24
 COMPRA CON BENEF</t>
  </si>
  <si>
    <t>15/11/2018</t>
  </si>
  <si>
    <t>COMPRA DEBITO
 GRIMOLDI S.A.
 4517690084326632
 A931</t>
  </si>
  <si>
    <t>14/11/2018</t>
  </si>
  <si>
    <t>TRANSFERENCIAS CASH PROVEEDORES
 MERCADOLIBRE SRL-MERCADO PAGO
 30703088534</t>
  </si>
  <si>
    <t>13/11/2018</t>
  </si>
  <si>
    <t>12/11/2018</t>
  </si>
  <si>
    <t>PAGO DE SERVICIOS
 PLPS
 505401460800
 4517690084326632</t>
  </si>
  <si>
    <t>09/11/2018</t>
  </si>
  <si>
    <t>COMPRA DEBITO
 MI BARRIO BOEDO
 4517690084326632
 A836</t>
  </si>
  <si>
    <t>08/11/2018</t>
  </si>
  <si>
    <t>TRANSF DE TERCEROS
 BRAVO/LEONARDO G
 20387152289
 CUENTA ORIGEN CTA CTE PESOS
 VARIOS
 4517660132707414
 115003642832</t>
  </si>
  <si>
    <t>xx</t>
  </si>
  <si>
    <t>07/11/2018</t>
  </si>
  <si>
    <t>aporte y pago cuota papa</t>
  </si>
  <si>
    <t>COMPRA DEBITO
 FARMACITY
 4517690084326632
 A348</t>
  </si>
  <si>
    <t>aportes mama</t>
  </si>
  <si>
    <t>05/11/2018</t>
  </si>
  <si>
    <t>t credito</t>
  </si>
  <si>
    <t>EXTRACCION CAJERO
 4517690084326632
 A273</t>
  </si>
  <si>
    <t>varios</t>
  </si>
  <si>
    <t>01/11/2018</t>
  </si>
  <si>
    <t>31/10/2018</t>
  </si>
  <si>
    <t>EXTRACCION CAJERO
 4517690084326632
 A758</t>
  </si>
  <si>
    <t>EXTRACCION CAJERO
 4517690084326632
 A781</t>
  </si>
  <si>
    <t>Servicios</t>
  </si>
  <si>
    <t>Gastos de Entrada</t>
  </si>
  <si>
    <t>Importe</t>
  </si>
  <si>
    <t>Savings</t>
  </si>
  <si>
    <t>Mes Adelanto</t>
  </si>
  <si>
    <t>Deposito</t>
  </si>
  <si>
    <t>Gastos Mensuales Previstos</t>
  </si>
  <si>
    <t>Calculadora de Intereses</t>
  </si>
  <si>
    <t>Días</t>
  </si>
  <si>
    <t>Tasa Diaria</t>
  </si>
  <si>
    <t>Int. Diario</t>
  </si>
  <si>
    <t>Int. 30d</t>
  </si>
  <si>
    <t>Int. 360d</t>
  </si>
  <si>
    <t>Comida</t>
  </si>
  <si>
    <t>cncba2524</t>
  </si>
  <si>
    <t>Gastos Tramites</t>
  </si>
  <si>
    <t>2do semestre</t>
  </si>
  <si>
    <t>3er semestre</t>
  </si>
  <si>
    <t>4to semestre</t>
  </si>
  <si>
    <t>1er semestre</t>
  </si>
  <si>
    <t>Column1</t>
  </si>
  <si>
    <t>X</t>
  </si>
  <si>
    <t>Período</t>
  </si>
  <si>
    <t>Hab s/Desc</t>
  </si>
  <si>
    <t>Neto</t>
  </si>
  <si>
    <t>Hab c/Desc</t>
  </si>
  <si>
    <t>Compu</t>
  </si>
  <si>
    <t>Column2</t>
  </si>
  <si>
    <t>Facultad</t>
  </si>
  <si>
    <t>Viajes Corr</t>
  </si>
  <si>
    <t>Almuerzo</t>
  </si>
  <si>
    <t>Transporte</t>
  </si>
  <si>
    <t>Celular</t>
  </si>
  <si>
    <t>Invertido</t>
  </si>
  <si>
    <t>Aportes Ma</t>
  </si>
  <si>
    <t>Aportes Pa</t>
  </si>
  <si>
    <t>Ropa</t>
  </si>
  <si>
    <t>256,09</t>
  </si>
  <si>
    <t>Gera</t>
  </si>
  <si>
    <t>Inicial</t>
  </si>
  <si>
    <t>Recategorización</t>
  </si>
  <si>
    <t>Apoyo Facultad</t>
  </si>
  <si>
    <t>Aumento Anual</t>
  </si>
  <si>
    <t>Final Año 2°</t>
  </si>
  <si>
    <t>Final Año 3°</t>
  </si>
  <si>
    <t>Feedback</t>
  </si>
  <si>
    <t>Sum of Dif</t>
  </si>
  <si>
    <t>2019</t>
  </si>
  <si>
    <t>Qtr1</t>
  </si>
  <si>
    <t>Feb</t>
  </si>
  <si>
    <t>Jan</t>
  </si>
  <si>
    <t>2018</t>
  </si>
  <si>
    <t>Sum of Crecimiento</t>
  </si>
  <si>
    <t>x30días</t>
  </si>
  <si>
    <t>Final Año 4°</t>
  </si>
  <si>
    <t>Final Año 5°</t>
  </si>
  <si>
    <t>Final Año 6°</t>
  </si>
  <si>
    <t>2° Feedback</t>
  </si>
  <si>
    <t>INTERNET</t>
  </si>
  <si>
    <t>AGUA</t>
  </si>
  <si>
    <t>LUZ</t>
  </si>
  <si>
    <t>GAS</t>
  </si>
  <si>
    <t>Personal Tel.</t>
  </si>
  <si>
    <t>Prevision Mínima 2019</t>
  </si>
  <si>
    <t>Prev. Optimista (ajustes y act)</t>
  </si>
  <si>
    <t>Certificación de Firma</t>
  </si>
  <si>
    <t>Semestre</t>
  </si>
  <si>
    <t>1er</t>
  </si>
  <si>
    <t>2do</t>
  </si>
  <si>
    <t>3ro</t>
  </si>
  <si>
    <t>4to</t>
  </si>
  <si>
    <t>Total Semestre</t>
  </si>
  <si>
    <t>AYSA</t>
  </si>
  <si>
    <t>neto</t>
  </si>
  <si>
    <t>bruto</t>
  </si>
  <si>
    <t>1er año</t>
  </si>
  <si>
    <t>2do año</t>
  </si>
  <si>
    <t>3er año</t>
  </si>
  <si>
    <t>4to 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</si>
</sst>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_([$$-409]* #,##0.00_);_([$$-409]* \(#,##0.00\);_([$$-409]* &quot;-&quot;??_);_(@_)"/>
    <numFmt numFmtId="165" formatCode="0.000000"/>
    <numFmt numFmtId="166" formatCode="0.0000%"/>
    <numFmt numFmtId="167" formatCode="0.000"/>
    <numFmt numFmtId="168" formatCode="_(&quot;$&quot;* #,##0_);_(&quot;$&quot;* \(#,##0\);_(&quot;$&quot;* &quot;-&quot;??_);_(@_)"/>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b/>
      <sz val="11"/>
      <name val="Calibri"/>
      <family val="2"/>
    </font>
    <font>
      <sz val="11"/>
      <color indexed="8"/>
      <name val="Calibri"/>
      <family val="2"/>
    </font>
    <font>
      <sz val="11"/>
      <color indexed="8"/>
      <name val="Calibri"/>
      <family val="2"/>
    </font>
    <font>
      <sz val="11"/>
      <color rgb="FF000000"/>
      <name val="Calibri"/>
      <family val="2"/>
      <scheme val="minor"/>
    </font>
    <font>
      <sz val="11"/>
      <name val="Calibri"/>
      <family val="2"/>
      <scheme val="minor"/>
    </font>
    <font>
      <sz val="11"/>
      <color rgb="FF333333"/>
      <name val="Calibri"/>
      <family val="2"/>
      <scheme val="minor"/>
    </font>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name val="Calibri"/>
      <family val="2"/>
    </font>
    <font>
      <sz val="11"/>
      <color theme="1"/>
      <name val="Calibri"/>
      <family val="2"/>
      <scheme val="minor"/>
    </font>
    <font>
      <sz val="11"/>
      <color theme="1"/>
      <name val="Calibri"/>
      <scheme val="minor"/>
    </font>
    <font>
      <sz val="9"/>
      <color theme="1"/>
      <name val="Calibri"/>
      <family val="2"/>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rgb="FFC00000"/>
        <bgColor indexed="64"/>
      </patternFill>
    </fill>
    <fill>
      <patternFill patternType="solid">
        <fgColor rgb="FFFFFF00"/>
        <bgColor indexed="64"/>
      </patternFill>
    </fill>
    <fill>
      <patternFill patternType="solid">
        <fgColor theme="5" tint="0.59999389629810485"/>
        <bgColor indexed="65"/>
      </patternFill>
    </fill>
    <fill>
      <patternFill patternType="solid">
        <fgColor rgb="FFFF0000"/>
        <bgColor indexed="64"/>
      </patternFill>
    </fill>
    <fill>
      <patternFill patternType="solid">
        <fgColor theme="5" tint="0.39997558519241921"/>
        <bgColor indexed="64"/>
      </patternFill>
    </fill>
    <fill>
      <patternFill patternType="solid">
        <fgColor rgb="FFC6EFCE"/>
      </patternFill>
    </fill>
    <fill>
      <patternFill patternType="solid">
        <fgColor rgb="FFFFC7CE"/>
      </patternFill>
    </fill>
    <fill>
      <patternFill patternType="solid">
        <fgColor rgb="FFFFEB9C"/>
      </patternFill>
    </fill>
  </fills>
  <borders count="13">
    <border>
      <left/>
      <right/>
      <top/>
      <bottom/>
      <diagonal/>
    </border>
    <border>
      <left/>
      <right style="thin">
        <color theme="4" tint="0.39997558519241921"/>
      </right>
      <top style="thin">
        <color theme="4" tint="0.39997558519241921"/>
      </top>
      <bottom style="thin">
        <color theme="4" tint="0.39997558519241921"/>
      </bottom>
      <diagonal/>
    </border>
    <border>
      <left/>
      <right/>
      <top style="medium">
        <color rgb="FFE0E4E9"/>
      </top>
      <bottom/>
      <diagonal/>
    </border>
    <border>
      <left/>
      <right/>
      <top/>
      <bottom style="thin">
        <color theme="4" tint="0.39997558519241921"/>
      </bottom>
      <diagonal/>
    </border>
    <border>
      <left/>
      <right/>
      <top style="thin">
        <color theme="4" tint="0.39997558519241921"/>
      </top>
      <bottom/>
      <diagonal/>
    </border>
    <border>
      <left/>
      <right/>
      <top/>
      <bottom style="thin">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theme="4" tint="0.39997558519241921"/>
      </right>
      <top style="thin">
        <color theme="4" tint="0.39997558519241921"/>
      </top>
      <bottom/>
      <diagonal/>
    </border>
  </borders>
  <cellStyleXfs count="12">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xf numFmtId="0" fontId="5" fillId="0" borderId="0" applyNumberFormat="0" applyFont="0" applyFill="0" applyBorder="0" applyAlignment="0" applyProtection="0"/>
    <xf numFmtId="0" fontId="6" fillId="0" borderId="0" applyNumberFormat="0" applyFont="0" applyFill="0" applyBorder="0" applyAlignment="0" applyProtection="0"/>
    <xf numFmtId="9" fontId="1" fillId="0" borderId="0" applyFont="0" applyFill="0" applyBorder="0" applyAlignment="0" applyProtection="0"/>
    <xf numFmtId="0" fontId="1" fillId="5" borderId="0" applyNumberFormat="0" applyBorder="0" applyAlignment="0" applyProtection="0"/>
    <xf numFmtId="0" fontId="12" fillId="8" borderId="0" applyNumberFormat="0" applyBorder="0" applyAlignment="0" applyProtection="0"/>
    <xf numFmtId="0" fontId="13" fillId="9" borderId="0" applyNumberFormat="0" applyBorder="0" applyAlignment="0" applyProtection="0"/>
    <xf numFmtId="0" fontId="14" fillId="10" borderId="0" applyNumberFormat="0" applyBorder="0" applyAlignment="0" applyProtection="0"/>
    <xf numFmtId="0" fontId="15" fillId="0" borderId="0"/>
  </cellStyleXfs>
  <cellXfs count="104">
    <xf numFmtId="0" fontId="0" fillId="0" borderId="0" xfId="0"/>
    <xf numFmtId="14" fontId="0" fillId="0" borderId="0" xfId="0" applyNumberFormat="1"/>
    <xf numFmtId="0" fontId="2" fillId="0" borderId="0" xfId="0" applyFont="1"/>
    <xf numFmtId="164" fontId="0" fillId="0" borderId="0" xfId="0" applyNumberFormat="1"/>
    <xf numFmtId="164" fontId="0" fillId="0" borderId="0" xfId="1" applyNumberFormat="1" applyFont="1"/>
    <xf numFmtId="164" fontId="2" fillId="0" borderId="0" xfId="0" applyNumberFormat="1" applyFont="1"/>
    <xf numFmtId="44" fontId="0" fillId="0" borderId="0" xfId="2" applyFont="1"/>
    <xf numFmtId="44" fontId="0" fillId="0" borderId="0" xfId="0" applyNumberFormat="1"/>
    <xf numFmtId="44" fontId="2" fillId="0" borderId="0" xfId="0" applyNumberFormat="1" applyFont="1"/>
    <xf numFmtId="0" fontId="3" fillId="0" borderId="0" xfId="3"/>
    <xf numFmtId="44" fontId="3" fillId="0" borderId="0" xfId="2" applyFont="1"/>
    <xf numFmtId="0" fontId="4" fillId="0" borderId="0" xfId="3" applyFont="1"/>
    <xf numFmtId="44" fontId="4" fillId="0" borderId="0" xfId="2" applyFont="1"/>
    <xf numFmtId="0" fontId="0" fillId="0" borderId="0" xfId="0" applyAlignment="1">
      <alignment horizontal="right"/>
    </xf>
    <xf numFmtId="165" fontId="0" fillId="0" borderId="0" xfId="0" applyNumberFormat="1" applyAlignment="1">
      <alignment horizontal="right"/>
    </xf>
    <xf numFmtId="0" fontId="0" fillId="0" borderId="0" xfId="0" quotePrefix="1"/>
    <xf numFmtId="0" fontId="0" fillId="0" borderId="0" xfId="0" applyNumberFormat="1" applyAlignment="1">
      <alignment horizontal="right"/>
    </xf>
    <xf numFmtId="44" fontId="0" fillId="0" borderId="0" xfId="2" applyFont="1" applyAlignment="1">
      <alignment horizontal="right"/>
    </xf>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165" fontId="0" fillId="0" borderId="0" xfId="0" applyNumberFormat="1"/>
    <xf numFmtId="166" fontId="0" fillId="0" borderId="0" xfId="6" applyNumberFormat="1" applyFont="1"/>
    <xf numFmtId="10" fontId="0" fillId="0" borderId="0" xfId="6" applyNumberFormat="1" applyFont="1"/>
    <xf numFmtId="2" fontId="0" fillId="0" borderId="0" xfId="0" applyNumberFormat="1" applyAlignment="1">
      <alignment horizontal="right"/>
    </xf>
    <xf numFmtId="3" fontId="0" fillId="0" borderId="0" xfId="0" applyNumberFormat="1"/>
    <xf numFmtId="167" fontId="0" fillId="2" borderId="1" xfId="6" applyNumberFormat="1" applyFont="1" applyFill="1" applyBorder="1"/>
    <xf numFmtId="0" fontId="0" fillId="3" borderId="0" xfId="0" applyFill="1"/>
    <xf numFmtId="166" fontId="0" fillId="0" borderId="0" xfId="0" applyNumberFormat="1"/>
    <xf numFmtId="165" fontId="0" fillId="0" borderId="0" xfId="0" applyNumberFormat="1" applyBorder="1" applyAlignment="1">
      <alignment horizontal="right"/>
    </xf>
    <xf numFmtId="165" fontId="6" fillId="0" borderId="0" xfId="5" applyNumberFormat="1" applyBorder="1"/>
    <xf numFmtId="0" fontId="0" fillId="4" borderId="0" xfId="0" applyFill="1"/>
    <xf numFmtId="0" fontId="0" fillId="4" borderId="0" xfId="0" applyFont="1" applyFill="1"/>
    <xf numFmtId="0" fontId="7" fillId="4" borderId="0" xfId="0" applyFont="1" applyFill="1"/>
    <xf numFmtId="0" fontId="7" fillId="4" borderId="2" xfId="0" applyFont="1" applyFill="1" applyBorder="1" applyAlignment="1">
      <alignment horizontal="right" vertical="center"/>
    </xf>
    <xf numFmtId="166" fontId="1" fillId="5" borderId="0" xfId="7" applyNumberFormat="1"/>
    <xf numFmtId="0" fontId="0" fillId="6" borderId="0" xfId="0" applyFill="1"/>
    <xf numFmtId="0" fontId="0" fillId="7" borderId="0" xfId="0" applyFill="1"/>
    <xf numFmtId="4" fontId="0" fillId="0" borderId="0" xfId="0" applyNumberFormat="1"/>
    <xf numFmtId="0" fontId="8" fillId="4" borderId="0" xfId="0" applyFont="1" applyFill="1"/>
    <xf numFmtId="0" fontId="8" fillId="7" borderId="0" xfId="0" applyFont="1" applyFill="1"/>
    <xf numFmtId="0" fontId="0" fillId="0" borderId="0" xfId="0" applyFill="1"/>
    <xf numFmtId="0" fontId="0" fillId="0" borderId="0" xfId="0" applyFont="1"/>
    <xf numFmtId="0" fontId="7" fillId="0" borderId="0" xfId="0" applyFont="1"/>
    <xf numFmtId="4" fontId="9" fillId="0" borderId="0" xfId="0" applyNumberFormat="1" applyFont="1"/>
    <xf numFmtId="168" fontId="0" fillId="0" borderId="0" xfId="2" applyNumberFormat="1" applyFont="1"/>
    <xf numFmtId="14" fontId="10" fillId="0" borderId="4" xfId="0" applyNumberFormat="1" applyFont="1" applyFill="1" applyBorder="1"/>
    <xf numFmtId="0" fontId="10" fillId="0" borderId="4" xfId="0" applyFont="1" applyFill="1" applyBorder="1"/>
    <xf numFmtId="44" fontId="10" fillId="0" borderId="4" xfId="2" applyNumberFormat="1" applyFont="1" applyFill="1" applyBorder="1"/>
    <xf numFmtId="44" fontId="10" fillId="0" borderId="4" xfId="0" applyNumberFormat="1" applyFont="1" applyFill="1" applyBorder="1"/>
    <xf numFmtId="14" fontId="0" fillId="0" borderId="4" xfId="0" applyNumberFormat="1" applyFont="1" applyFill="1" applyBorder="1"/>
    <xf numFmtId="0" fontId="0" fillId="0" borderId="4" xfId="0" applyFont="1" applyFill="1" applyBorder="1"/>
    <xf numFmtId="44" fontId="0" fillId="0" borderId="4" xfId="2" applyNumberFormat="1" applyFont="1" applyFill="1" applyBorder="1"/>
    <xf numFmtId="0" fontId="11" fillId="0" borderId="3" xfId="0" applyFont="1" applyFill="1" applyBorder="1"/>
    <xf numFmtId="166" fontId="10" fillId="0" borderId="4" xfId="7" applyNumberFormat="1" applyFont="1" applyFill="1" applyBorder="1"/>
    <xf numFmtId="166" fontId="0" fillId="0" borderId="4" xfId="7" applyNumberFormat="1" applyFont="1" applyFill="1" applyBorder="1"/>
    <xf numFmtId="0" fontId="0" fillId="0" borderId="0" xfId="0" applyBorder="1"/>
    <xf numFmtId="0" fontId="2" fillId="0" borderId="0" xfId="0" applyFont="1" applyBorder="1"/>
    <xf numFmtId="0" fontId="12" fillId="8" borderId="0" xfId="8"/>
    <xf numFmtId="44" fontId="12" fillId="8" borderId="0" xfId="8" applyNumberFormat="1"/>
    <xf numFmtId="0" fontId="13" fillId="9" borderId="0" xfId="9"/>
    <xf numFmtId="44" fontId="13" fillId="9" borderId="0" xfId="9" applyNumberFormat="1"/>
    <xf numFmtId="0" fontId="14" fillId="10" borderId="0" xfId="10"/>
    <xf numFmtId="44" fontId="14" fillId="10" borderId="0" xfId="10" applyNumberFormat="1"/>
    <xf numFmtId="0" fontId="0" fillId="0" borderId="5" xfId="0" applyBorder="1"/>
    <xf numFmtId="44" fontId="13" fillId="9" borderId="6" xfId="9" applyNumberFormat="1" applyFont="1" applyFill="1" applyBorder="1"/>
    <xf numFmtId="0" fontId="15" fillId="0" borderId="0" xfId="11"/>
    <xf numFmtId="4" fontId="15" fillId="0" borderId="0" xfId="11" applyNumberFormat="1"/>
    <xf numFmtId="4" fontId="12" fillId="8" borderId="0" xfId="8" applyNumberFormat="1"/>
    <xf numFmtId="4" fontId="14" fillId="10" borderId="0" xfId="10" applyNumberFormat="1"/>
    <xf numFmtId="44" fontId="15" fillId="0" borderId="0" xfId="11" applyNumberFormat="1"/>
    <xf numFmtId="0" fontId="0" fillId="0" borderId="7" xfId="0" applyBorder="1"/>
    <xf numFmtId="44" fontId="0" fillId="0" borderId="7" xfId="2" applyFont="1" applyBorder="1"/>
    <xf numFmtId="166" fontId="0" fillId="0" borderId="7" xfId="2" applyNumberFormat="1" applyFont="1" applyBorder="1"/>
    <xf numFmtId="44" fontId="13" fillId="9" borderId="0" xfId="9" applyNumberFormat="1" applyBorder="1"/>
    <xf numFmtId="14" fontId="16" fillId="0" borderId="4" xfId="0" applyNumberFormat="1" applyFont="1" applyFill="1" applyBorder="1"/>
    <xf numFmtId="0" fontId="16" fillId="0" borderId="4" xfId="0" applyFont="1" applyFill="1" applyBorder="1"/>
    <xf numFmtId="44" fontId="16" fillId="0" borderId="4" xfId="0" applyNumberFormat="1" applyFont="1" applyFill="1" applyBorder="1"/>
    <xf numFmtId="0" fontId="16" fillId="0" borderId="4" xfId="0" applyNumberFormat="1" applyFont="1" applyFill="1" applyBorder="1"/>
    <xf numFmtId="166" fontId="16" fillId="0" borderId="4" xfId="0" applyNumberFormat="1" applyFont="1" applyFill="1" applyBorder="1"/>
    <xf numFmtId="44" fontId="0" fillId="0" borderId="11" xfId="0" applyNumberFormat="1" applyBorder="1"/>
    <xf numFmtId="44" fontId="0" fillId="0" borderId="1" xfId="2" applyNumberFormat="1" applyFont="1" applyBorder="1"/>
    <xf numFmtId="17" fontId="0" fillId="0" borderId="0" xfId="0" applyNumberFormat="1"/>
    <xf numFmtId="44" fontId="16" fillId="0" borderId="0" xfId="2" applyFont="1"/>
    <xf numFmtId="44" fontId="0" fillId="0" borderId="12" xfId="2" applyNumberFormat="1" applyFont="1" applyBorder="1"/>
    <xf numFmtId="44" fontId="0" fillId="0" borderId="9" xfId="0" applyNumberFormat="1" applyBorder="1"/>
    <xf numFmtId="14" fontId="0" fillId="0" borderId="0" xfId="0" applyNumberFormat="1" applyFill="1" applyBorder="1"/>
    <xf numFmtId="165" fontId="0" fillId="0" borderId="0" xfId="0" applyNumberFormat="1" applyFill="1" applyBorder="1"/>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44" fontId="17" fillId="0" borderId="0" xfId="0" applyNumberFormat="1" applyFont="1"/>
    <xf numFmtId="44" fontId="17" fillId="0" borderId="0" xfId="2" applyFont="1"/>
    <xf numFmtId="168" fontId="0" fillId="0" borderId="5" xfId="2" applyNumberFormat="1" applyFont="1" applyBorder="1"/>
    <xf numFmtId="166" fontId="17" fillId="0" borderId="0" xfId="0" applyNumberFormat="1" applyFont="1"/>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3" xfId="0" applyBorder="1" applyAlignment="1">
      <alignment horizontal="center" wrapText="1"/>
    </xf>
    <xf numFmtId="0" fontId="18" fillId="0" borderId="0" xfId="0" applyFont="1" applyAlignment="1">
      <alignment horizontal="center" vertical="center" wrapText="1"/>
    </xf>
    <xf numFmtId="0" fontId="18" fillId="0" borderId="3" xfId="0" applyFont="1" applyBorder="1" applyAlignment="1">
      <alignment horizontal="center" vertical="center" wrapText="1"/>
    </xf>
  </cellXfs>
  <cellStyles count="12">
    <cellStyle name="40% - Accent2" xfId="7" builtinId="35"/>
    <cellStyle name="Bad" xfId="9" builtinId="27"/>
    <cellStyle name="Comma" xfId="1" builtinId="3"/>
    <cellStyle name="Currency" xfId="2" builtinId="4"/>
    <cellStyle name="Good" xfId="8" builtinId="26"/>
    <cellStyle name="Neutral" xfId="10" builtinId="28"/>
    <cellStyle name="Normal" xfId="0" builtinId="0"/>
    <cellStyle name="Normal 2" xfId="3"/>
    <cellStyle name="Normal 3" xfId="4"/>
    <cellStyle name="Normal 4" xfId="5"/>
    <cellStyle name="Normal 5" xfId="11"/>
    <cellStyle name="Percent" xfId="6" builtinId="5"/>
  </cellStyles>
  <dxfs count="84">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numFmt numFmtId="22" formatCode="mmm/yy"/>
    </dxf>
    <dxf>
      <font>
        <b val="0"/>
        <i val="0"/>
        <strike val="0"/>
        <condense val="0"/>
        <extend val="0"/>
        <outline val="0"/>
        <shadow val="0"/>
        <u val="none"/>
        <vertAlign val="baseline"/>
        <sz val="11"/>
        <color theme="1"/>
        <name val="Calibri"/>
        <scheme val="minor"/>
      </font>
      <numFmt numFmtId="168" formatCode="_(&quot;$&quot;* #,##0_);_(&quot;$&quot;* \(#,##0\);_(&quot;$&quot;* &quot;-&quot;??_);_(@_)"/>
    </dxf>
    <dxf>
      <font>
        <b val="0"/>
        <i val="0"/>
        <strike val="0"/>
        <condense val="0"/>
        <extend val="0"/>
        <outline val="0"/>
        <shadow val="0"/>
        <u val="none"/>
        <vertAlign val="baseline"/>
        <sz val="11"/>
        <color theme="1"/>
        <name val="Calibri"/>
        <scheme val="minor"/>
      </font>
      <numFmt numFmtId="168" formatCode="_(&quot;$&quot;* #,##0_);_(&quot;$&quot;* \(#,##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7" formatCode="0.000"/>
      <fill>
        <patternFill patternType="solid">
          <fgColor theme="4" tint="0.79998168889431442"/>
          <bgColor theme="4" tint="0.79998168889431442"/>
        </patternFill>
      </fill>
      <border diagonalUp="0" diagonalDown="0" outline="0">
        <left/>
        <right style="thin">
          <color theme="4" tint="0.39997558519241921"/>
        </right>
        <top style="thin">
          <color theme="4" tint="0.39997558519241921"/>
        </top>
        <bottom style="thin">
          <color theme="4" tint="0.39997558519241921"/>
        </bottom>
      </border>
    </dxf>
    <dxf>
      <numFmt numFmtId="3" formatCode="#,##0"/>
    </dxf>
    <dxf>
      <numFmt numFmtId="3" formatCode="#,##0"/>
    </dxf>
    <dxf>
      <numFmt numFmtId="19" formatCode="dd/mm/yy"/>
    </dxf>
    <dxf>
      <font>
        <strike val="0"/>
        <outline val="0"/>
        <shadow val="0"/>
        <u val="none"/>
        <vertAlign val="baseline"/>
        <sz val="11"/>
        <name val="Calibri"/>
        <scheme val="minor"/>
      </font>
    </dxf>
    <dxf>
      <numFmt numFmtId="0" formatCode="General"/>
      <fill>
        <patternFill patternType="solid">
          <fgColor indexed="64"/>
          <bgColor theme="5" tint="0.39997558519241921"/>
        </patternFill>
      </fill>
    </dxf>
    <dxf>
      <font>
        <strike val="0"/>
        <outline val="0"/>
        <shadow val="0"/>
        <u val="none"/>
        <vertAlign val="baseline"/>
        <sz val="11"/>
        <color auto="1"/>
        <name val="Calibri"/>
        <scheme val="minor"/>
      </font>
      <fill>
        <patternFill patternType="solid">
          <fgColor indexed="64"/>
          <bgColor rgb="FFFFFF00"/>
        </patternFill>
      </fill>
    </dxf>
    <dxf>
      <font>
        <b val="0"/>
        <i val="0"/>
        <strike val="0"/>
        <condense val="0"/>
        <extend val="0"/>
        <outline val="0"/>
        <shadow val="0"/>
        <u val="none"/>
        <vertAlign val="baseline"/>
        <sz val="11"/>
        <color theme="1"/>
        <name val="Calibri"/>
        <scheme val="minor"/>
      </font>
      <numFmt numFmtId="166" formatCode="0.0000%"/>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66" formatCode="0.0000%"/>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9" formatCode="dd/mm/yy"/>
      <fill>
        <patternFill patternType="none">
          <fgColor indexed="64"/>
          <bgColor auto="1"/>
        </patternFill>
      </fill>
      <border diagonalUp="0" diagonalDown="0" outline="0">
        <left/>
        <right/>
        <top style="thin">
          <color theme="4" tint="0.39997558519241921"/>
        </top>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6" formatCode="0.0000%"/>
    </dxf>
    <dxf>
      <numFmt numFmtId="34" formatCode="_(&quot;$&quot;* #,##0.00_);_(&quot;$&quot;* \(#,##0.00\);_(&quot;$&quot;* &quot;-&quot;??_);_(@_)"/>
    </dxf>
    <dxf>
      <numFmt numFmtId="34" formatCode="_(&quot;$&quot;* #,##0.00_);_(&quot;$&quot;* \(#,##0.00\);_(&quot;$&quot;* &quot;-&quot;??_);_(@_)"/>
    </dxf>
    <dxf>
      <alignment horizontal="right" vertical="bottom" textRotation="0" wrapText="0" indent="0" justifyLastLine="0" shrinkToFit="0" readingOrder="0"/>
    </dxf>
    <dxf>
      <numFmt numFmtId="165" formatCode="0.000000"/>
      <alignment horizontal="right" vertical="bottom" textRotation="0" wrapText="0" indent="0" justifyLastLine="0" shrinkToFit="0" readingOrder="0"/>
    </dxf>
    <dxf>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0" formatCode="General"/>
    </dxf>
    <dxf>
      <numFmt numFmtId="0" formatCode="General"/>
    </dxf>
    <dxf>
      <numFmt numFmtId="168" formatCode="_(&quot;$&quot;* #,##0_);_(&quot;$&quot;* \(#,##0\);_(&quot;$&quot;* &quot;-&quot;??_);_(@_)"/>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numFmt numFmtId="19" formatCode="dd/mm/yy"/>
    </dxf>
    <dxf>
      <numFmt numFmtId="166" formatCode="0.0000%"/>
    </dxf>
    <dxf>
      <numFmt numFmtId="166" formatCode="0.0000%"/>
    </dxf>
    <dxf>
      <numFmt numFmtId="169" formatCode="0.000%"/>
    </dxf>
    <dxf>
      <numFmt numFmtId="169" formatCode="0.000%"/>
    </dxf>
    <dxf>
      <numFmt numFmtId="14" formatCode="0.00%"/>
    </dxf>
    <dxf>
      <numFmt numFmtId="14" formatCode="0.00%"/>
    </dxf>
    <dxf>
      <numFmt numFmtId="170" formatCode="0.0%"/>
    </dxf>
    <dxf>
      <numFmt numFmtId="170"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[Planilla de Gastos.xlsx]Tabla Apoyo!PivotTable1</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1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'Tabla Apoyo'!$B$3:$B$4</c:f>
              <c:strCache>
                <c:ptCount val="1"/>
                <c:pt idx="0">
                  <c:v>FIMA PB Acciones</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'Tabla Apoyo'!$A$5:$A$52</c:f>
              <c:multiLvlStrCache>
                <c:ptCount val="44"/>
                <c:lvl>
                  <c:pt idx="0">
                    <c:v>01-Oct</c:v>
                  </c:pt>
                  <c:pt idx="1">
                    <c:v>02-Oct</c:v>
                  </c:pt>
                  <c:pt idx="2">
                    <c:v>03-Oct</c:v>
                  </c:pt>
                  <c:pt idx="3">
                    <c:v>04-Oct</c:v>
                  </c:pt>
                  <c:pt idx="4">
                    <c:v>05-Oct</c:v>
                  </c:pt>
                  <c:pt idx="5">
                    <c:v>08-Oct</c:v>
                  </c:pt>
                  <c:pt idx="6">
                    <c:v>09-Oct</c:v>
                  </c:pt>
                  <c:pt idx="7">
                    <c:v>10-Oct</c:v>
                  </c:pt>
                  <c:pt idx="8">
                    <c:v>11-Oct</c:v>
                  </c:pt>
                  <c:pt idx="9">
                    <c:v>12-Oct</c:v>
                  </c:pt>
                  <c:pt idx="10">
                    <c:v>16-Oct</c:v>
                  </c:pt>
                  <c:pt idx="11">
                    <c:v>17-Oct</c:v>
                  </c:pt>
                  <c:pt idx="12">
                    <c:v>18-Oct</c:v>
                  </c:pt>
                  <c:pt idx="13">
                    <c:v>19-Oct</c:v>
                  </c:pt>
                  <c:pt idx="14">
                    <c:v>22-Oct</c:v>
                  </c:pt>
                  <c:pt idx="15">
                    <c:v>23-Oct</c:v>
                  </c:pt>
                  <c:pt idx="16">
                    <c:v>24-Oct</c:v>
                  </c:pt>
                  <c:pt idx="17">
                    <c:v>25-Oct</c:v>
                  </c:pt>
                  <c:pt idx="18">
                    <c:v>26-Oct</c:v>
                  </c:pt>
                  <c:pt idx="19">
                    <c:v>29-Oct</c:v>
                  </c:pt>
                  <c:pt idx="20">
                    <c:v>30-Oct</c:v>
                  </c:pt>
                  <c:pt idx="21">
                    <c:v>31-Oct</c:v>
                  </c:pt>
                  <c:pt idx="22">
                    <c:v>01-Nov</c:v>
                  </c:pt>
                  <c:pt idx="23">
                    <c:v>02-Nov</c:v>
                  </c:pt>
                  <c:pt idx="24">
                    <c:v>05-Nov</c:v>
                  </c:pt>
                  <c:pt idx="25">
                    <c:v>07-Nov</c:v>
                  </c:pt>
                  <c:pt idx="26">
                    <c:v>08-Nov</c:v>
                  </c:pt>
                  <c:pt idx="27">
                    <c:v>09-Nov</c:v>
                  </c:pt>
                  <c:pt idx="28">
                    <c:v>12-Nov</c:v>
                  </c:pt>
                  <c:pt idx="29">
                    <c:v>13-Nov</c:v>
                  </c:pt>
                  <c:pt idx="30">
                    <c:v>14-Nov</c:v>
                  </c:pt>
                  <c:pt idx="31">
                    <c:v>15-Nov</c:v>
                  </c:pt>
                  <c:pt idx="32">
                    <c:v>16-Nov</c:v>
                  </c:pt>
                  <c:pt idx="33">
                    <c:v>20-Nov</c:v>
                  </c:pt>
                  <c:pt idx="34">
                    <c:v>21-Nov</c:v>
                  </c:pt>
                  <c:pt idx="35">
                    <c:v>22-Nov</c:v>
                  </c:pt>
                  <c:pt idx="36">
                    <c:v>23-Nov</c:v>
                  </c:pt>
                  <c:pt idx="37">
                    <c:v>26-Nov</c:v>
                  </c:pt>
                  <c:pt idx="38">
                    <c:v>27-Nov</c:v>
                  </c:pt>
                  <c:pt idx="39">
                    <c:v>28-Nov</c:v>
                  </c:pt>
                  <c:pt idx="40">
                    <c:v>29-Nov</c:v>
                  </c:pt>
                  <c:pt idx="41">
                    <c:v>03-Dec</c:v>
                  </c:pt>
                  <c:pt idx="42">
                    <c:v>04-Dec</c:v>
                  </c:pt>
                  <c:pt idx="43">
                    <c:v>05-Dec</c:v>
                  </c:pt>
                </c:lvl>
                <c:lvl>
                  <c:pt idx="0">
                    <c:v>Oct</c:v>
                  </c:pt>
                  <c:pt idx="22">
                    <c:v>Nov</c:v>
                  </c:pt>
                  <c:pt idx="41">
                    <c:v>Dec</c:v>
                  </c:pt>
                </c:lvl>
              </c:multiLvlStrCache>
            </c:multiLvlStrRef>
          </c:cat>
          <c:val>
            <c:numRef>
              <c:f>'Tabla Apoyo'!$B$5:$B$52</c:f>
              <c:numCache>
                <c:formatCode>General</c:formatCode>
                <c:ptCount val="44"/>
                <c:pt idx="0">
                  <c:v>46.695613000000002</c:v>
                </c:pt>
                <c:pt idx="1">
                  <c:v>46.793086000000002</c:v>
                </c:pt>
                <c:pt idx="2">
                  <c:v>46.108378999999999</c:v>
                </c:pt>
                <c:pt idx="3">
                  <c:v>44.326161999999997</c:v>
                </c:pt>
                <c:pt idx="4">
                  <c:v>43.226236999999998</c:v>
                </c:pt>
                <c:pt idx="5">
                  <c:v>43.770311999999997</c:v>
                </c:pt>
                <c:pt idx="6">
                  <c:v>42.558290999999997</c:v>
                </c:pt>
                <c:pt idx="7">
                  <c:v>41.054988000000002</c:v>
                </c:pt>
                <c:pt idx="8">
                  <c:v>39.627904000000001</c:v>
                </c:pt>
                <c:pt idx="9">
                  <c:v>42.295451</c:v>
                </c:pt>
                <c:pt idx="10">
                  <c:v>42.225417</c:v>
                </c:pt>
                <c:pt idx="11">
                  <c:v>41.275413</c:v>
                </c:pt>
                <c:pt idx="12">
                  <c:v>40.867404000000001</c:v>
                </c:pt>
                <c:pt idx="13">
                  <c:v>41.215327000000002</c:v>
                </c:pt>
                <c:pt idx="14">
                  <c:v>41.095253</c:v>
                </c:pt>
                <c:pt idx="15">
                  <c:v>40.668745999999999</c:v>
                </c:pt>
                <c:pt idx="16">
                  <c:v>40.313350999999997</c:v>
                </c:pt>
                <c:pt idx="17">
                  <c:v>41.810218999999996</c:v>
                </c:pt>
                <c:pt idx="18">
                  <c:v>41.859889000000003</c:v>
                </c:pt>
                <c:pt idx="19">
                  <c:v>41.365001999999997</c:v>
                </c:pt>
                <c:pt idx="20">
                  <c:v>42.044455999999997</c:v>
                </c:pt>
                <c:pt idx="21">
                  <c:v>42.236829999999998</c:v>
                </c:pt>
                <c:pt idx="22">
                  <c:v>44.604545999999999</c:v>
                </c:pt>
                <c:pt idx="23">
                  <c:v>44.860002999999999</c:v>
                </c:pt>
                <c:pt idx="24">
                  <c:v>44.870552000000004</c:v>
                </c:pt>
                <c:pt idx="25">
                  <c:v>44.819046999999998</c:v>
                </c:pt>
                <c:pt idx="26">
                  <c:v>44.050659000000003</c:v>
                </c:pt>
                <c:pt idx="27">
                  <c:v>42.932172000000001</c:v>
                </c:pt>
                <c:pt idx="28">
                  <c:v>42.243625000000002</c:v>
                </c:pt>
                <c:pt idx="29">
                  <c:v>40.926623999999997</c:v>
                </c:pt>
                <c:pt idx="30">
                  <c:v>42.185065999999999</c:v>
                </c:pt>
                <c:pt idx="31">
                  <c:v>43.795748000000003</c:v>
                </c:pt>
                <c:pt idx="32">
                  <c:v>44.553347000000002</c:v>
                </c:pt>
                <c:pt idx="33">
                  <c:v>42.439169</c:v>
                </c:pt>
                <c:pt idx="34">
                  <c:v>43.240862</c:v>
                </c:pt>
                <c:pt idx="35">
                  <c:v>43.317486000000002</c:v>
                </c:pt>
                <c:pt idx="36">
                  <c:v>43.923167999999997</c:v>
                </c:pt>
                <c:pt idx="37">
                  <c:v>44.618946000000001</c:v>
                </c:pt>
                <c:pt idx="38">
                  <c:v>44.028709999999997</c:v>
                </c:pt>
                <c:pt idx="39">
                  <c:v>44.413195999999999</c:v>
                </c:pt>
                <c:pt idx="40">
                  <c:v>44.634779000000002</c:v>
                </c:pt>
                <c:pt idx="41">
                  <c:v>45.451331000000003</c:v>
                </c:pt>
                <c:pt idx="42">
                  <c:v>45.563462999999999</c:v>
                </c:pt>
                <c:pt idx="43">
                  <c:v>45.398211000000003</c:v>
                </c:pt>
              </c:numCache>
            </c:numRef>
          </c:val>
          <c:smooth val="0"/>
          <c:extLst>
            <c:ext xmlns:c16="http://schemas.microsoft.com/office/drawing/2014/chart" uri="{C3380CC4-5D6E-409C-BE32-E72D297353CC}">
              <c16:uniqueId val="{00000000-FF80-4B9C-8331-A9AC9FFC490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33829423"/>
        <c:axId val="333831503"/>
      </c:lineChart>
      <c:catAx>
        <c:axId val="33382942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33831503"/>
        <c:crosses val="autoZero"/>
        <c:auto val="1"/>
        <c:lblAlgn val="ctr"/>
        <c:lblOffset val="100"/>
        <c:noMultiLvlLbl val="0"/>
      </c:catAx>
      <c:valAx>
        <c:axId val="333831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38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6350</xdr:colOff>
      <xdr:row>26</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12700</xdr:colOff>
      <xdr:row>0</xdr:row>
      <xdr:rowOff>0</xdr:rowOff>
    </xdr:from>
    <xdr:to>
      <xdr:col>15</xdr:col>
      <xdr:colOff>12700</xdr:colOff>
      <xdr:row>9</xdr:row>
      <xdr:rowOff>19049</xdr:rowOff>
    </xdr:to>
    <mc:AlternateContent xmlns:mc="http://schemas.openxmlformats.org/markup-compatibility/2006" xmlns:a14="http://schemas.microsoft.com/office/drawing/2010/main">
      <mc:Choice Requires="a14">
        <xdr:graphicFrame macro="">
          <xdr:nvGraphicFramePr>
            <xdr:cNvPr id="4" name="Nombre Inversión"/>
            <xdr:cNvGraphicFramePr/>
          </xdr:nvGraphicFramePr>
          <xdr:xfrm>
            <a:off x="0" y="0"/>
            <a:ext cx="0" cy="0"/>
          </xdr:xfrm>
          <a:graphic>
            <a:graphicData uri="http://schemas.microsoft.com/office/drawing/2010/slicer">
              <sle:slicer xmlns:sle="http://schemas.microsoft.com/office/drawing/2010/slicer" name="Nombre Inversión"/>
            </a:graphicData>
          </a:graphic>
        </xdr:graphicFrame>
      </mc:Choice>
      <mc:Fallback xmlns="">
        <xdr:sp macro="" textlink="">
          <xdr:nvSpPr>
            <xdr:cNvPr id="0" name=""/>
            <xdr:cNvSpPr>
              <a:spLocks noTextEdit="1"/>
            </xdr:cNvSpPr>
          </xdr:nvSpPr>
          <xdr:spPr>
            <a:xfrm>
              <a:off x="7327900" y="0"/>
              <a:ext cx="1828800"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0</xdr:row>
      <xdr:rowOff>0</xdr:rowOff>
    </xdr:from>
    <xdr:to>
      <xdr:col>17</xdr:col>
      <xdr:colOff>171450</xdr:colOff>
      <xdr:row>14</xdr:row>
      <xdr:rowOff>22225</xdr:rowOff>
    </xdr:to>
    <mc:AlternateContent xmlns:mc="http://schemas.openxmlformats.org/markup-compatibility/2006" xmlns:a14="http://schemas.microsoft.com/office/drawing/2010/main">
      <mc:Choice Requires="a14">
        <xdr:graphicFrame macro="">
          <xdr:nvGraphicFramePr>
            <xdr:cNvPr id="5"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9163050" y="0"/>
              <a:ext cx="1371600" cy="2600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171450</xdr:colOff>
      <xdr:row>0</xdr:row>
      <xdr:rowOff>0</xdr:rowOff>
    </xdr:from>
    <xdr:to>
      <xdr:col>19</xdr:col>
      <xdr:colOff>146050</xdr:colOff>
      <xdr:row>22</xdr:row>
      <xdr:rowOff>88900</xdr:rowOff>
    </xdr:to>
    <mc:AlternateContent xmlns:mc="http://schemas.openxmlformats.org/markup-compatibility/2006" xmlns:a14="http://schemas.microsoft.com/office/drawing/2010/main">
      <mc:Choice Requires="a14">
        <xdr:graphicFrame macro="">
          <xdr:nvGraphicFramePr>
            <xdr:cNvPr id="3" name="Fecha"/>
            <xdr:cNvGraphicFramePr/>
          </xdr:nvGraphicFramePr>
          <xdr:xfrm>
            <a:off x="0" y="0"/>
            <a:ext cx="0" cy="0"/>
          </xdr:xfrm>
          <a:graphic>
            <a:graphicData uri="http://schemas.microsoft.com/office/drawing/2010/slicer">
              <sle:slicer xmlns:sle="http://schemas.microsoft.com/office/drawing/2010/slicer" name="Fecha"/>
            </a:graphicData>
          </a:graphic>
        </xdr:graphicFrame>
      </mc:Choice>
      <mc:Fallback xmlns="">
        <xdr:sp macro="" textlink="">
          <xdr:nvSpPr>
            <xdr:cNvPr id="0" name=""/>
            <xdr:cNvSpPr>
              <a:spLocks noTextEdit="1"/>
            </xdr:cNvSpPr>
          </xdr:nvSpPr>
          <xdr:spPr>
            <a:xfrm>
              <a:off x="10534650" y="0"/>
              <a:ext cx="1193800" cy="414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25400</xdr:colOff>
      <xdr:row>9</xdr:row>
      <xdr:rowOff>31751</xdr:rowOff>
    </xdr:from>
    <xdr:to>
      <xdr:col>15</xdr:col>
      <xdr:colOff>12700</xdr:colOff>
      <xdr:row>15</xdr:row>
      <xdr:rowOff>139701</xdr:rowOff>
    </xdr:to>
    <mc:AlternateContent xmlns:mc="http://schemas.openxmlformats.org/markup-compatibility/2006" xmlns:a14="http://schemas.microsoft.com/office/drawing/2010/main">
      <mc:Choice Requires="a14">
        <xdr:graphicFrame macro="">
          <xdr:nvGraphicFramePr>
            <xdr:cNvPr id="6" name="Acción"/>
            <xdr:cNvGraphicFramePr/>
          </xdr:nvGraphicFramePr>
          <xdr:xfrm>
            <a:off x="0" y="0"/>
            <a:ext cx="0" cy="0"/>
          </xdr:xfrm>
          <a:graphic>
            <a:graphicData uri="http://schemas.microsoft.com/office/drawing/2010/slicer">
              <sle:slicer xmlns:sle="http://schemas.microsoft.com/office/drawing/2010/slicer" name="Acción"/>
            </a:graphicData>
          </a:graphic>
        </xdr:graphicFrame>
      </mc:Choice>
      <mc:Fallback xmlns="">
        <xdr:sp macro="" textlink="">
          <xdr:nvSpPr>
            <xdr:cNvPr id="0" name=""/>
            <xdr:cNvSpPr>
              <a:spLocks noTextEdit="1"/>
            </xdr:cNvSpPr>
          </xdr:nvSpPr>
          <xdr:spPr>
            <a:xfrm>
              <a:off x="7950200" y="1689101"/>
              <a:ext cx="1206500"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xxb" refreshedDate="43442.835076388888" createdVersion="6" refreshedVersion="6" minRefreshableVersion="3" recordCount="176">
  <cacheSource type="worksheet">
    <worksheetSource name="Inversiones"/>
  </cacheSource>
  <cacheFields count="12">
    <cacheField name="Fecha" numFmtId="14">
      <sharedItems containsSemiMixedTypes="0" containsNonDate="0" containsDate="1" containsString="0" minDate="2018-06-01T00:00:00" maxDate="2018-12-08T00:00:00" count="93">
        <d v="2018-12-07T00:00:00"/>
        <d v="2018-12-06T00:00:00"/>
        <d v="2018-12-05T00:00:00"/>
        <d v="2018-12-04T00:00:00"/>
        <d v="2018-12-03T00:00:00"/>
        <d v="2018-11-29T00:00:00"/>
        <d v="2018-11-28T00:00:00"/>
        <d v="2018-11-27T00:00:00"/>
        <d v="2018-11-26T00:00:00"/>
        <d v="2018-11-23T00:00:00"/>
        <d v="2018-11-22T00:00:00"/>
        <d v="2018-11-21T00:00:00"/>
        <d v="2018-11-20T00:00:00"/>
        <d v="2018-11-16T00:00:00"/>
        <d v="2018-11-15T00:00:00"/>
        <d v="2018-11-14T00:00:00"/>
        <d v="2018-11-13T00:00:00"/>
        <d v="2018-11-12T00:00:00"/>
        <d v="2018-11-09T00:00:00"/>
        <d v="2018-11-08T00:00:00"/>
        <d v="2018-11-07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2T00:00:00"/>
        <d v="2018-10-11T00:00:00"/>
        <d v="2018-10-10T00:00:00"/>
        <d v="2018-10-09T00:00:00"/>
        <d v="2018-10-08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9-03T00:00:00"/>
        <d v="2018-08-31T00:00:00"/>
        <d v="2018-08-30T00:00:00"/>
        <d v="2018-08-29T00:00:00"/>
        <d v="2018-08-28T00:00:00"/>
        <d v="2018-07-27T00:00:00"/>
        <d v="2018-08-24T00:00:00"/>
        <d v="2018-08-23T00:00:00"/>
        <d v="2018-08-22T00:00:00"/>
        <d v="2018-08-21T00:00:00"/>
        <d v="2018-08-17T00:00:00"/>
        <d v="2018-08-16T00:00:00"/>
        <d v="2018-08-15T00:00:00"/>
        <d v="2018-08-13T00:00:00"/>
        <d v="2018-07-26T00:00:00"/>
        <d v="2018-07-25T00:00:00"/>
        <d v="2018-07-24T00:00:00"/>
        <d v="2018-07-23T00:00:00"/>
        <d v="2018-07-20T00:00:00"/>
        <d v="2018-07-19T00:00:00"/>
        <d v="2018-07-18T00:00:00"/>
        <d v="2018-07-17T00:00:00"/>
        <d v="2018-07-06T00:00:00"/>
        <d v="2018-07-02T00:00:00"/>
        <d v="2018-06-29T00:00:00"/>
        <d v="2018-06-22T00:00:00"/>
        <d v="2018-06-19T00:00:00"/>
        <d v="2018-06-01T00:00:00"/>
      </sharedItems>
      <fieldGroup par="11" base="0">
        <rangePr groupBy="days" startDate="2018-06-01T00:00:00" endDate="2018-12-08T00:00:00"/>
        <groupItems count="368">
          <s v="&lt;01-06-1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12-18"/>
        </groupItems>
      </fieldGroup>
    </cacheField>
    <cacheField name="Nombre Inversión" numFmtId="0">
      <sharedItems count="4">
        <s v="FIMA Premium &quot;A&quot;"/>
        <s v="FIMA PB Acciones"/>
        <s v="LEBAC 15/08/2018"/>
        <s v="FIMA Ahorro Plus &quot;A&quot;"/>
      </sharedItems>
    </cacheField>
    <cacheField name="Acción" numFmtId="0">
      <sharedItems count="3">
        <s v="Resumen"/>
        <s v="Rescate"/>
        <s v="Suscripción"/>
      </sharedItems>
    </cacheField>
    <cacheField name="Monto" numFmtId="44">
      <sharedItems containsSemiMixedTypes="0" containsString="0" containsNumber="1" minValue="-20000.02139079" maxValue="20000.020515840002"/>
    </cacheField>
    <cacheField name="Cant. Cuotapartes" numFmtId="0">
      <sharedItems containsSemiMixedTypes="0" containsString="0" containsNumber="1" minValue="-5722.01" maxValue="5802.88"/>
    </cacheField>
    <cacheField name="Monto Invertido" numFmtId="168">
      <sharedItems containsSemiMixedTypes="0" containsString="0" containsNumber="1" minValue="0" maxValue="38999.978195969998"/>
    </cacheField>
    <cacheField name="Saldo Valorizado" numFmtId="44">
      <sharedItems containsMixedTypes="1" containsNumber="1" minValue="0" maxValue="41833.124803439998"/>
    </cacheField>
    <cacheField name="Total Cuotapartes" numFmtId="2">
      <sharedItems containsSemiMixedTypes="0" containsString="0" containsNumber="1" minValue="0" maxValue="10789.82"/>
    </cacheField>
    <cacheField name="Valor Cuotaparte" numFmtId="165">
      <sharedItems containsMixedTypes="1" containsNumber="1" minValue="3.4111859999999998" maxValue="49.455008999999997"/>
    </cacheField>
    <cacheField name="Dif" numFmtId="44">
      <sharedItems containsBlank="1" containsMixedTypes="1" containsNumber="1" minValue="-224.01830088000042" maxValue="286.09629235000102"/>
    </cacheField>
    <cacheField name="Crecimiento" numFmtId="0">
      <sharedItems containsBlank="1" containsMixedTypes="1" containsNumber="1" minValue="-4.7452731216804038E-2" maxValue="6.7314864798299678E-2"/>
    </cacheField>
    <cacheField name="Months" numFmtId="0" databaseField="0">
      <fieldGroup base="0">
        <rangePr groupBy="months" startDate="2018-06-01T00:00:00" endDate="2018-12-08T00:00:00"/>
        <groupItems count="14">
          <s v="&lt;01-06-18"/>
          <s v="Jan"/>
          <s v="Feb"/>
          <s v="Mar"/>
          <s v="Apr"/>
          <s v="May"/>
          <s v="Jun"/>
          <s v="Jul"/>
          <s v="Aug"/>
          <s v="Sep"/>
          <s v="Oct"/>
          <s v="Nov"/>
          <s v="Dec"/>
          <s v="&gt;08-12-18"/>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axxb" refreshedDate="43522.835182060182" createdVersion="6" refreshedVersion="6" minRefreshableVersion="3" recordCount="268">
  <cacheSource type="worksheet">
    <worksheetSource name="Inversiones"/>
  </cacheSource>
  <cacheFields count="13">
    <cacheField name="Fecha" numFmtId="14">
      <sharedItems containsSemiMixedTypes="0" containsNonDate="0" containsDate="1" containsString="0" minDate="2018-06-01T00:00:00" maxDate="2019-02-27T00:00:00" count="146">
        <d v="2019-02-26T00:00:00"/>
        <d v="2019-02-25T00:00:00"/>
        <d v="2019-02-22T00:00:00"/>
        <d v="2019-02-21T00:00:00"/>
        <d v="2019-02-20T00:00:00"/>
        <d v="2019-02-19T00:00:00"/>
        <d v="2019-02-18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21T00:00:00"/>
        <d v="2019-01-18T00:00:00"/>
        <d v="2019-01-17T00:00:00"/>
        <d v="2019-01-16T00:00:00"/>
        <d v="2019-01-15T00:00:00"/>
        <d v="2019-01-14T00:00:00"/>
        <d v="2019-01-11T00:00:00"/>
        <d v="2019-01-10T00:00:00"/>
        <d v="2019-01-09T00:00:00"/>
        <d v="2019-01-08T00:00:00"/>
        <d v="2019-01-07T00:00:00"/>
        <d v="2019-01-04T00:00:00"/>
        <d v="2019-01-03T00:00:00"/>
        <d v="2019-01-02T00:00:00"/>
        <d v="2018-12-28T00:00:00"/>
        <d v="2018-12-27T00:00:00"/>
        <d v="2018-12-26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29T00:00:00"/>
        <d v="2018-11-28T00:00:00"/>
        <d v="2018-11-27T00:00:00"/>
        <d v="2018-11-26T00:00:00"/>
        <d v="2018-11-23T00:00:00"/>
        <d v="2018-11-22T00:00:00"/>
        <d v="2018-11-21T00:00:00"/>
        <d v="2018-11-20T00:00:00"/>
        <d v="2018-11-16T00:00:00"/>
        <d v="2018-11-15T00:00:00"/>
        <d v="2018-11-14T00:00:00"/>
        <d v="2018-11-13T00:00:00"/>
        <d v="2018-11-12T00:00:00"/>
        <d v="2018-11-09T00:00:00"/>
        <d v="2018-11-08T00:00:00"/>
        <d v="2018-11-07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2T00:00:00"/>
        <d v="2018-10-11T00:00:00"/>
        <d v="2018-10-10T00:00:00"/>
        <d v="2018-10-09T00:00:00"/>
        <d v="2018-10-08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9-03T00:00:00"/>
        <d v="2018-08-31T00:00:00"/>
        <d v="2018-08-30T00:00:00"/>
        <d v="2018-08-29T00:00:00"/>
        <d v="2018-08-28T00:00:00"/>
        <d v="2018-07-27T00:00:00"/>
        <d v="2018-08-24T00:00:00"/>
        <d v="2018-08-23T00:00:00"/>
        <d v="2018-08-22T00:00:00"/>
        <d v="2018-08-21T00:00:00"/>
        <d v="2018-08-17T00:00:00"/>
        <d v="2018-08-16T00:00:00"/>
        <d v="2018-08-15T00:00:00"/>
        <d v="2018-08-13T00:00:00"/>
        <d v="2018-07-26T00:00:00"/>
        <d v="2018-07-25T00:00:00"/>
        <d v="2018-07-24T00:00:00"/>
        <d v="2018-07-23T00:00:00"/>
        <d v="2018-07-20T00:00:00"/>
        <d v="2018-07-19T00:00:00"/>
        <d v="2018-07-18T00:00:00"/>
        <d v="2018-07-17T00:00:00"/>
        <d v="2018-07-06T00:00:00"/>
        <d v="2018-07-02T00:00:00"/>
        <d v="2018-06-29T00:00:00"/>
        <d v="2018-06-22T00:00:00"/>
        <d v="2018-06-19T00:00:00"/>
        <d v="2018-06-01T00:00:00"/>
      </sharedItems>
      <fieldGroup par="12" base="0">
        <rangePr groupBy="months" startDate="2018-06-01T00:00:00" endDate="2019-02-27T00:00:00"/>
        <groupItems count="14">
          <s v="&lt;01-06-18"/>
          <s v="Jan"/>
          <s v="Feb"/>
          <s v="Mar"/>
          <s v="Apr"/>
          <s v="May"/>
          <s v="Jun"/>
          <s v="Jul"/>
          <s v="Aug"/>
          <s v="Sep"/>
          <s v="Oct"/>
          <s v="Nov"/>
          <s v="Dec"/>
          <s v="&gt;27-02-19"/>
        </groupItems>
      </fieldGroup>
    </cacheField>
    <cacheField name="Nombre Inversión" numFmtId="0">
      <sharedItems count="4">
        <s v="FIMA Premium &quot;A&quot;"/>
        <s v="FIMA Ahorro Plus &quot;A&quot;"/>
        <s v="FIMA PB Acciones"/>
        <s v="LEBAC 15/08/2018"/>
      </sharedItems>
    </cacheField>
    <cacheField name="Acción" numFmtId="0">
      <sharedItems/>
    </cacheField>
    <cacheField name="Monto" numFmtId="44">
      <sharedItems containsSemiMixedTypes="0" containsString="0" containsNumber="1" minValue="-20000.022275579999" maxValue="25000.034213220002"/>
    </cacheField>
    <cacheField name="Cant. Cuotapartes" numFmtId="0">
      <sharedItems containsSemiMixedTypes="0" containsString="0" containsNumber="1" minValue="-5722.01" maxValue="5870.81"/>
    </cacheField>
    <cacheField name="Monto Invertido" numFmtId="168">
      <sharedItems containsSemiMixedTypes="0" containsString="0" containsNumber="1" minValue="0" maxValue="43999.838797599994"/>
    </cacheField>
    <cacheField name="Saldo Valorizado" numFmtId="44">
      <sharedItems containsBlank="1" containsMixedTypes="1" containsNumber="1" minValue="0" maxValue="48355.36172275999"/>
    </cacheField>
    <cacheField name="Total Cuotapartes" numFmtId="2">
      <sharedItems containsSemiMixedTypes="0" containsString="0" containsNumber="1" minValue="0" maxValue="11715.019999999997"/>
    </cacheField>
    <cacheField name="Valor Cuotaparte" numFmtId="165">
      <sharedItems containsMixedTypes="1" containsNumber="1" minValue="3.4111859999999998" maxValue="49.455008999999997"/>
    </cacheField>
    <cacheField name="Dif" numFmtId="44">
      <sharedItems containsMixedTypes="1" containsNumber="1" minValue="-224.01830088000042" maxValue="688.86000000000058"/>
    </cacheField>
    <cacheField name="Crecimiento" numFmtId="0">
      <sharedItems containsBlank="1" containsMixedTypes="1" containsNumber="1" minValue="-4.7452731216804038E-2" maxValue="6.7314864798299678E-2"/>
    </cacheField>
    <cacheField name="Quarters" numFmtId="0" databaseField="0">
      <fieldGroup base="0">
        <rangePr groupBy="quarters" startDate="2018-06-01T00:00:00" endDate="2019-02-27T00:00:00"/>
        <groupItems count="6">
          <s v="&lt;01-06-18"/>
          <s v="Qtr1"/>
          <s v="Qtr2"/>
          <s v="Qtr3"/>
          <s v="Qtr4"/>
          <s v="&gt;27-02-19"/>
        </groupItems>
      </fieldGroup>
    </cacheField>
    <cacheField name="Years" numFmtId="0" databaseField="0">
      <fieldGroup base="0">
        <rangePr groupBy="years" startDate="2018-06-01T00:00:00" endDate="2019-02-27T00:00:00"/>
        <groupItems count="4">
          <s v="&lt;01-06-18"/>
          <s v="2018"/>
          <s v="2019"/>
          <s v="&gt;27-02-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6">
  <r>
    <x v="0"/>
    <x v="0"/>
    <x v="0"/>
    <n v="0"/>
    <n v="0"/>
    <n v="22999.875418079999"/>
    <n v="26563.363791499996"/>
    <n v="6598.6999999999989"/>
    <n v="4.0255450000000002"/>
    <n v="82.417763000004925"/>
    <n v="3.1155461011024782E-3"/>
  </r>
  <r>
    <x v="1"/>
    <x v="0"/>
    <x v="0"/>
    <n v="0"/>
    <n v="0"/>
    <n v="22999.875418079999"/>
    <n v="26480.946028499991"/>
    <n v="6598.6999999999989"/>
    <n v="4.0130549999999996"/>
    <n v="27.232834899994486"/>
    <n v="1.0294522625498756E-3"/>
  </r>
  <r>
    <x v="2"/>
    <x v="1"/>
    <x v="1"/>
    <n v="-4810.3944375600004"/>
    <n v="-105.96"/>
    <n v="0"/>
    <n v="0"/>
    <n v="0"/>
    <n v="45.398211000000003"/>
    <s v="0"/>
    <m/>
  </r>
  <r>
    <x v="2"/>
    <x v="1"/>
    <x v="0"/>
    <n v="0"/>
    <n v="0"/>
    <n v="5000.1536452799992"/>
    <n v="4810.3944375600004"/>
    <n v="105.96"/>
    <n v="45.398211000000003"/>
    <n v="-17.510101919999215"/>
    <n v="-3.6268533846954367E-3"/>
  </r>
  <r>
    <x v="2"/>
    <x v="0"/>
    <x v="0"/>
    <n v="0"/>
    <n v="0"/>
    <n v="22999.875418079999"/>
    <n v="26453.713193599997"/>
    <n v="6598.6999999999989"/>
    <n v="4.008928"/>
    <n v="27.041472600001725"/>
    <n v="1.0232644082270495E-3"/>
  </r>
  <r>
    <x v="3"/>
    <x v="1"/>
    <x v="0"/>
    <n v="0"/>
    <n v="0"/>
    <n v="5000.1536452799992"/>
    <n v="4827.9045394799996"/>
    <n v="105.96"/>
    <n v="45.563462999999999"/>
    <n v="11.881506719999379"/>
    <n v="2.467078466854919E-3"/>
  </r>
  <r>
    <x v="3"/>
    <x v="0"/>
    <x v="0"/>
    <n v="0"/>
    <n v="0"/>
    <n v="22999.875418079999"/>
    <n v="26426.671720999995"/>
    <n v="6598.6999999999989"/>
    <n v="4.0048300000000001"/>
    <n v="27.371407599996019"/>
    <n v="1.0368232216406649E-3"/>
  </r>
  <r>
    <x v="4"/>
    <x v="1"/>
    <x v="0"/>
    <n v="0"/>
    <n v="0"/>
    <n v="5000.1536452799992"/>
    <n v="4816.0230327600002"/>
    <n v="105.96"/>
    <n v="45.451331000000003"/>
    <n v="86.521849920000022"/>
    <n v="1.8294075120210664E-2"/>
  </r>
  <r>
    <x v="4"/>
    <x v="0"/>
    <x v="0"/>
    <n v="0"/>
    <n v="0"/>
    <n v="22999.875418079999"/>
    <n v="26399.300313399999"/>
    <n v="6598.6999999999989"/>
    <n v="4.0006820000000003"/>
    <n v="27.391203700004553"/>
    <n v="1.038650769880238E-3"/>
  </r>
  <r>
    <x v="4"/>
    <x v="0"/>
    <x v="2"/>
    <n v="16000.03192788"/>
    <n v="4003.48"/>
    <n v="22999.875418079999"/>
    <n v="26371.909109699995"/>
    <n v="6598.6999999999989"/>
    <n v="3.9965310000000001"/>
    <s v="-"/>
    <m/>
  </r>
  <r>
    <x v="5"/>
    <x v="1"/>
    <x v="0"/>
    <n v="0"/>
    <n v="0"/>
    <n v="5000.1536452799992"/>
    <n v="4729.5011828400002"/>
    <n v="105.96"/>
    <n v="44.634779000000002"/>
    <n v="23.478934680000748"/>
    <n v="4.9891253041101239E-3"/>
  </r>
  <r>
    <x v="5"/>
    <x v="0"/>
    <x v="0"/>
    <n v="0"/>
    <n v="0"/>
    <n v="6999.843490199999"/>
    <n v="10371.877181819997"/>
    <n v="2595.2199999999993"/>
    <n v="3.9965310000000001"/>
    <n v="43.464744560000327"/>
    <n v="4.2082696468627081E-3"/>
  </r>
  <r>
    <x v="5"/>
    <x v="0"/>
    <x v="1"/>
    <n v="-2000.00014882"/>
    <n v="-502.54"/>
    <n v="6999.843490199999"/>
    <n v="10328.412437259996"/>
    <n v="2595.2199999999993"/>
    <n v="3.9797829999999998"/>
    <s v="-"/>
    <m/>
  </r>
  <r>
    <x v="6"/>
    <x v="1"/>
    <x v="0"/>
    <n v="0"/>
    <n v="0"/>
    <n v="5000.1536452799992"/>
    <n v="4706.0222481599994"/>
    <n v="105.96"/>
    <n v="44.413195999999999"/>
    <n v="40.740136559999883"/>
    <n v="8.7326201471722101E-3"/>
  </r>
  <r>
    <x v="6"/>
    <x v="0"/>
    <x v="0"/>
    <n v="0"/>
    <n v="0"/>
    <n v="8999.8436390199986"/>
    <n v="12328.412586079996"/>
    <n v="3097.7599999999993"/>
    <n v="3.9797829999999998"/>
    <n v="12.899072639998849"/>
    <n v="1.0473840677388438E-3"/>
  </r>
  <r>
    <x v="7"/>
    <x v="1"/>
    <x v="0"/>
    <n v="0"/>
    <n v="0"/>
    <n v="5000.1536452799992"/>
    <n v="4665.2821115999996"/>
    <n v="105.96"/>
    <n v="44.028709999999997"/>
    <n v="-62.541406560000723"/>
    <n v="-1.3228371642844374E-2"/>
  </r>
  <r>
    <x v="7"/>
    <x v="0"/>
    <x v="0"/>
    <n v="0"/>
    <n v="0"/>
    <n v="8999.8436390199986"/>
    <n v="12315.513513439997"/>
    <n v="3097.7599999999993"/>
    <n v="3.975619"/>
    <n v="12.892877119998957"/>
    <n v="1.0479781097969835E-3"/>
  </r>
  <r>
    <x v="8"/>
    <x v="1"/>
    <x v="0"/>
    <n v="0"/>
    <n v="0"/>
    <n v="5000.1536452799992"/>
    <n v="4727.8235181600003"/>
    <n v="105.96"/>
    <n v="44.618946000000001"/>
    <n v="73.724636880000617"/>
    <n v="1.5840797275825009E-2"/>
  </r>
  <r>
    <x v="8"/>
    <x v="0"/>
    <x v="0"/>
    <n v="0"/>
    <n v="0"/>
    <n v="8999.8436390199986"/>
    <n v="12302.620636319998"/>
    <n v="3097.7599999999993"/>
    <n v="3.971457"/>
    <n v="12.908365920000506"/>
    <n v="1.050339148385878E-3"/>
  </r>
  <r>
    <x v="9"/>
    <x v="1"/>
    <x v="0"/>
    <n v="0"/>
    <n v="0"/>
    <n v="5000.1536452799992"/>
    <n v="4654.0988812799997"/>
    <n v="105.96"/>
    <n v="43.923167999999997"/>
    <n v="64.178064719999384"/>
    <n v="1.398239039079956E-2"/>
  </r>
  <r>
    <x v="9"/>
    <x v="0"/>
    <x v="0"/>
    <n v="0"/>
    <n v="0"/>
    <n v="8999.8436390199986"/>
    <n v="12289.712270399998"/>
    <n v="3097.7599999999993"/>
    <n v="3.9672900000000002"/>
    <n v="38.718902239999807"/>
    <n v="3.1604704268822391E-3"/>
  </r>
  <r>
    <x v="9"/>
    <x v="0"/>
    <x v="1"/>
    <n v="-5000.0027133900003"/>
    <n v="-1264.29"/>
    <n v="8999.8436390199986"/>
    <n v="12250.993368159998"/>
    <n v="3097.7599999999993"/>
    <n v="3.9547910000000002"/>
    <s v="-"/>
    <m/>
  </r>
  <r>
    <x v="10"/>
    <x v="1"/>
    <x v="0"/>
    <n v="0"/>
    <n v="0"/>
    <n v="5000.1536452799992"/>
    <n v="4589.9208165600003"/>
    <n v="105.96"/>
    <n v="43.317486000000002"/>
    <n v="8.1190790400005426"/>
    <n v="1.7720275789137245E-3"/>
  </r>
  <r>
    <x v="10"/>
    <x v="0"/>
    <x v="0"/>
    <n v="0"/>
    <n v="0"/>
    <n v="13999.846352409999"/>
    <n v="17250.996081549998"/>
    <n v="4362.0499999999993"/>
    <n v="3.9547910000000002"/>
    <n v="18.163576200000534"/>
    <n v="1.0540099077944536E-3"/>
  </r>
  <r>
    <x v="11"/>
    <x v="1"/>
    <x v="0"/>
    <n v="0"/>
    <n v="0"/>
    <n v="5000.1536452799992"/>
    <n v="4581.8017375199997"/>
    <n v="105.96"/>
    <n v="43.240862"/>
    <n v="84.947390280000036"/>
    <n v="1.8890402872874353E-2"/>
  </r>
  <r>
    <x v="11"/>
    <x v="0"/>
    <x v="0"/>
    <n v="0"/>
    <n v="0"/>
    <n v="13999.846352409999"/>
    <n v="17232.832505349998"/>
    <n v="4362.0499999999993"/>
    <n v="3.9506269999999999"/>
    <n v="18.215920800001186"/>
    <n v="1.0581659318713789E-3"/>
  </r>
  <r>
    <x v="11"/>
    <x v="0"/>
    <x v="1"/>
    <n v="-1000.0306834"/>
    <n v="-253.4"/>
    <n v="13999.846352409999"/>
    <n v="17214.616584549996"/>
    <n v="4362.0499999999993"/>
    <n v="3.9464510000000002"/>
    <s v="-"/>
    <m/>
  </r>
  <r>
    <x v="12"/>
    <x v="1"/>
    <x v="0"/>
    <n v="0"/>
    <n v="0"/>
    <n v="5000.1536452799992"/>
    <n v="4496.8543472399997"/>
    <n v="105.96"/>
    <n v="42.439169"/>
    <n v="-224.01830088000042"/>
    <n v="-4.7452731216804038E-2"/>
  </r>
  <r>
    <x v="12"/>
    <x v="0"/>
    <x v="0"/>
    <n v="0"/>
    <n v="0"/>
    <n v="14999.877035809999"/>
    <n v="18214.647267949997"/>
    <n v="4615.4499999999989"/>
    <n v="3.9464510000000002"/>
    <n v="19.389505449998978"/>
    <n v="1.0656351068552531E-3"/>
  </r>
  <r>
    <x v="13"/>
    <x v="1"/>
    <x v="0"/>
    <n v="0"/>
    <n v="0"/>
    <n v="5000.1536452799992"/>
    <n v="4720.8726481200001"/>
    <n v="105.96"/>
    <n v="44.553347000000002"/>
    <n v="80.27519003999987"/>
    <n v="1.7298460115351813E-2"/>
  </r>
  <r>
    <x v="13"/>
    <x v="0"/>
    <x v="0"/>
    <n v="0"/>
    <n v="0"/>
    <n v="14999.877035809999"/>
    <n v="18195.257762499998"/>
    <n v="4615.4499999999989"/>
    <n v="3.94225"/>
    <n v="78.402649150000798"/>
    <n v="4.3276081118640616E-3"/>
  </r>
  <r>
    <x v="14"/>
    <x v="1"/>
    <x v="0"/>
    <n v="0"/>
    <n v="0"/>
    <n v="5000.1536452799992"/>
    <n v="4640.5974580800003"/>
    <n v="105.96"/>
    <n v="43.795748000000003"/>
    <n v="170.66786472000058"/>
    <n v="3.8181331753753905E-2"/>
  </r>
  <r>
    <x v="14"/>
    <x v="0"/>
    <x v="0"/>
    <n v="0"/>
    <n v="0"/>
    <n v="14999.877035809999"/>
    <n v="18116.855113349997"/>
    <n v="4615.4499999999989"/>
    <n v="3.9252630000000002"/>
    <n v="19.841819550001674"/>
    <n v="1.0964140451174896E-3"/>
  </r>
  <r>
    <x v="15"/>
    <x v="1"/>
    <x v="0"/>
    <n v="0"/>
    <n v="0"/>
    <n v="5000.1536452799992"/>
    <n v="4469.9295933599997"/>
    <n v="105.96"/>
    <n v="42.185065999999999"/>
    <n v="133.3445143200006"/>
    <n v="3.0748737056836214E-2"/>
  </r>
  <r>
    <x v="15"/>
    <x v="0"/>
    <x v="0"/>
    <n v="0"/>
    <n v="0"/>
    <n v="14999.877035809999"/>
    <n v="18097.013293799995"/>
    <n v="4615.4499999999989"/>
    <n v="3.9209640000000001"/>
    <n v="19.841819549998036"/>
    <n v="1.0976174883478807E-3"/>
  </r>
  <r>
    <x v="15"/>
    <x v="0"/>
    <x v="2"/>
    <n v="5000.0145389999998"/>
    <n v="1276.5999999999999"/>
    <n v="14999.877035809999"/>
    <n v="18077.171474249997"/>
    <n v="4615.4499999999989"/>
    <n v="3.9166650000000001"/>
    <s v="-"/>
    <m/>
  </r>
  <r>
    <x v="16"/>
    <x v="1"/>
    <x v="0"/>
    <n v="0"/>
    <n v="0"/>
    <n v="5000.1536452799992"/>
    <n v="4336.5850790399991"/>
    <n v="105.96"/>
    <n v="40.926623999999997"/>
    <n v="-139.54942596000092"/>
    <n v="-3.1176325421883293E-2"/>
  </r>
  <r>
    <x v="16"/>
    <x v="0"/>
    <x v="0"/>
    <n v="0"/>
    <n v="0"/>
    <n v="9999.8624968099994"/>
    <n v="13077.156935249997"/>
    <n v="3338.8499999999995"/>
    <n v="3.9166650000000001"/>
    <n v="14.660890350000045"/>
    <n v="1.1223651513160974E-3"/>
  </r>
  <r>
    <x v="17"/>
    <x v="1"/>
    <x v="0"/>
    <n v="0"/>
    <n v="0"/>
    <n v="5000.1536452799992"/>
    <n v="4476.134505"/>
    <n v="105.96"/>
    <n v="42.243625000000002"/>
    <n v="-72.958440119999977"/>
    <n v="-1.6038019227166047E-2"/>
  </r>
  <r>
    <x v="17"/>
    <x v="0"/>
    <x v="0"/>
    <n v="0"/>
    <n v="0"/>
    <n v="9999.8624968099994"/>
    <n v="13062.496044899997"/>
    <n v="3338.8499999999995"/>
    <n v="3.912274"/>
    <n v="14.420493150000766"/>
    <n v="1.1051816103307699E-3"/>
  </r>
  <r>
    <x v="17"/>
    <x v="0"/>
    <x v="1"/>
    <n v="-1000.0066049499999"/>
    <n v="-255.89"/>
    <n v="9999.8624968099994"/>
    <n v="13048.075551749997"/>
    <n v="3338.8499999999995"/>
    <n v="3.9079549999999998"/>
    <n v="0"/>
    <m/>
  </r>
  <r>
    <x v="17"/>
    <x v="0"/>
    <x v="1"/>
    <n v="-10000.026969949999"/>
    <n v="-2558.89"/>
    <n v="10999.869101759999"/>
    <n v="14048.082156699997"/>
    <n v="3594.7399999999993"/>
    <n v="3.9079549999999998"/>
    <s v="-"/>
    <m/>
  </r>
  <r>
    <x v="18"/>
    <x v="1"/>
    <x v="0"/>
    <n v="0"/>
    <n v="0"/>
    <n v="5000.1536452799992"/>
    <n v="4549.09294512"/>
    <n v="105.96"/>
    <n v="42.932172000000001"/>
    <n v="-118.51488252000036"/>
    <n v="-2.5390925479684689E-2"/>
  </r>
  <r>
    <x v="18"/>
    <x v="0"/>
    <x v="0"/>
    <n v="0"/>
    <n v="0"/>
    <n v="20999.896071709998"/>
    <n v="24048.109126649997"/>
    <n v="6153.6299999999992"/>
    <n v="3.9079549999999998"/>
    <n v="81.301759559999482"/>
    <n v="3.3922649068243473E-3"/>
  </r>
  <r>
    <x v="18"/>
    <x v="0"/>
    <x v="1"/>
    <n v="-1000.01421268"/>
    <n v="-256.76"/>
    <n v="20999.896071709998"/>
    <n v="23966.807367089998"/>
    <n v="6153.6299999999992"/>
    <n v="3.8947430000000001"/>
    <s v="-"/>
    <m/>
  </r>
  <r>
    <x v="19"/>
    <x v="1"/>
    <x v="0"/>
    <n v="0"/>
    <n v="0"/>
    <n v="5000.1536452799992"/>
    <n v="4667.6078276400003"/>
    <n v="105.96"/>
    <n v="44.050659000000003"/>
    <n v="-81.418392479999056"/>
    <n v="-1.7144228881082513E-2"/>
  </r>
  <r>
    <x v="19"/>
    <x v="0"/>
    <x v="0"/>
    <n v="0"/>
    <n v="0"/>
    <n v="21999.910284389996"/>
    <n v="24966.82157977"/>
    <n v="6410.3899999999994"/>
    <n v="3.8947430000000001"/>
    <n v="28.013404300003458"/>
    <n v="1.1232856078325156E-3"/>
  </r>
  <r>
    <x v="20"/>
    <x v="1"/>
    <x v="0"/>
    <n v="0"/>
    <n v="0"/>
    <n v="5000.1536452799992"/>
    <n v="4749.0262201199994"/>
    <n v="105.96"/>
    <n v="44.819046999999998"/>
    <n v="-5.457469800000581"/>
    <n v="-1.147857507971061E-3"/>
  </r>
  <r>
    <x v="20"/>
    <x v="0"/>
    <x v="0"/>
    <n v="0"/>
    <n v="0"/>
    <n v="21999.910284389996"/>
    <n v="24938.808175469996"/>
    <n v="6410.3899999999994"/>
    <n v="3.8903729999999999"/>
    <n v="28.077508199996373"/>
    <n v="1.1271250359946167E-3"/>
  </r>
  <r>
    <x v="20"/>
    <x v="0"/>
    <x v="1"/>
    <n v="-9000.0375078599991"/>
    <n v="-2316.02"/>
    <n v="21999.910284389996"/>
    <n v="24910.73066727"/>
    <n v="6410.3899999999994"/>
    <n v="3.885993"/>
    <s v="-"/>
    <m/>
  </r>
  <r>
    <x v="21"/>
    <x v="1"/>
    <x v="0"/>
    <n v="0"/>
    <n v="0"/>
    <n v="5000.1536452799992"/>
    <n v="4754.48368992"/>
    <n v="105.96"/>
    <n v="44.870552000000004"/>
    <n v="1.1177720400000908"/>
    <n v="2.3515379613337482E-4"/>
  </r>
  <r>
    <x v="21"/>
    <x v="0"/>
    <x v="0"/>
    <n v="0"/>
    <n v="0"/>
    <n v="30999.947792249997"/>
    <n v="33910.768175129997"/>
    <n v="8726.41"/>
    <n v="3.885993"/>
    <n v="77.673775409995869"/>
    <n v="2.2957928261696718E-3"/>
  </r>
  <r>
    <x v="21"/>
    <x v="0"/>
    <x v="1"/>
    <n v="-8000.0304037199994"/>
    <n v="-2063.41"/>
    <n v="30999.947792249997"/>
    <n v="33833.094399720001"/>
    <n v="8726.41"/>
    <n v="3.8770920000000002"/>
    <s v="-"/>
    <m/>
  </r>
  <r>
    <x v="22"/>
    <x v="1"/>
    <x v="0"/>
    <n v="0"/>
    <n v="0"/>
    <n v="5000.1536452799992"/>
    <n v="4753.3659178799999"/>
    <n v="105.96"/>
    <n v="44.860002999999999"/>
    <n v="27.068223719999878"/>
    <n v="5.7271516674555958E-3"/>
  </r>
  <r>
    <x v="22"/>
    <x v="0"/>
    <x v="0"/>
    <n v="0"/>
    <n v="0"/>
    <n v="38999.978195969998"/>
    <n v="41833.124803439998"/>
    <n v="10789.82"/>
    <n v="3.8770920000000002"/>
    <n v="140.22450071999629"/>
    <n v="3.3632704777521649E-3"/>
  </r>
  <r>
    <x v="23"/>
    <x v="1"/>
    <x v="0"/>
    <n v="0"/>
    <n v="0"/>
    <n v="5000.1536452799992"/>
    <n v="4726.29769416"/>
    <n v="105.96"/>
    <n v="44.604545999999999"/>
    <n v="250.88318736000019"/>
    <n v="5.6058089586742223E-2"/>
  </r>
  <r>
    <x v="23"/>
    <x v="0"/>
    <x v="0"/>
    <n v="0"/>
    <n v="0"/>
    <n v="38999.978195969998"/>
    <n v="41692.900302720001"/>
    <n v="10789.82"/>
    <n v="3.864096"/>
    <n v="46.061741580000671"/>
    <n v="1.1060081190166959E-3"/>
  </r>
  <r>
    <x v="24"/>
    <x v="1"/>
    <x v="0"/>
    <n v="0"/>
    <n v="0"/>
    <n v="5000.1536452799992"/>
    <n v="4475.4145067999998"/>
    <n v="105.96"/>
    <n v="42.236829999999998"/>
    <n v="20.383949040000516"/>
    <n v="4.5754902858060748E-3"/>
  </r>
  <r>
    <x v="24"/>
    <x v="0"/>
    <x v="0"/>
    <n v="0"/>
    <n v="0"/>
    <n v="38999.978195969998"/>
    <n v="41646.838561140001"/>
    <n v="10789.82"/>
    <n v="3.8598270000000001"/>
    <n v="46.417805639997823"/>
    <n v="1.1158013500107062E-3"/>
  </r>
  <r>
    <x v="24"/>
    <x v="0"/>
    <x v="2"/>
    <n v="19000.0272"/>
    <n v="4928"/>
    <n v="38999.978195969998"/>
    <n v="41600.420755500003"/>
    <n v="10789.82"/>
    <n v="3.8555250000000001"/>
    <s v="-"/>
    <m/>
  </r>
  <r>
    <x v="25"/>
    <x v="1"/>
    <x v="0"/>
    <n v="0"/>
    <n v="0"/>
    <n v="5000.1536452799992"/>
    <n v="4455.0305577599993"/>
    <n v="105.96"/>
    <n v="42.044455999999997"/>
    <n v="71.994945839999673"/>
    <n v="1.6425818134857093E-2"/>
  </r>
  <r>
    <x v="25"/>
    <x v="0"/>
    <x v="0"/>
    <n v="0"/>
    <n v="0"/>
    <n v="19999.950995969997"/>
    <n v="22600.393555499999"/>
    <n v="5861.82"/>
    <n v="3.8555250000000001"/>
    <n v="25.299615120002272"/>
    <n v="1.120687036200894E-3"/>
  </r>
  <r>
    <x v="26"/>
    <x v="1"/>
    <x v="0"/>
    <n v="0"/>
    <n v="0"/>
    <n v="5000.1536452799992"/>
    <n v="4383.0356119199996"/>
    <n v="105.96"/>
    <n v="41.365001999999997"/>
    <n v="-52.438226520000171"/>
    <n v="-1.1822463265490399E-2"/>
  </r>
  <r>
    <x v="26"/>
    <x v="0"/>
    <x v="0"/>
    <n v="0"/>
    <n v="0"/>
    <n v="19999.950995969997"/>
    <n v="22575.093940379997"/>
    <n v="5861.82"/>
    <n v="3.8512089999999999"/>
    <n v="25.299615119998634"/>
    <n v="1.1219443847280816E-3"/>
  </r>
  <r>
    <x v="27"/>
    <x v="1"/>
    <x v="0"/>
    <n v="0"/>
    <n v="0"/>
    <n v="5000.1536452799992"/>
    <n v="4435.4738384399998"/>
    <n v="105.96"/>
    <n v="41.859889000000003"/>
    <n v="5.2630332000007911"/>
    <n v="1.1879870803835327E-3"/>
  </r>
  <r>
    <x v="27"/>
    <x v="0"/>
    <x v="0"/>
    <n v="0"/>
    <n v="0"/>
    <n v="19999.950995969997"/>
    <n v="22549.794325259998"/>
    <n v="5861.82"/>
    <n v="3.8468930000000001"/>
    <n v="75.681958019999001"/>
    <n v="3.3675171140606138E-3"/>
  </r>
  <r>
    <x v="27"/>
    <x v="0"/>
    <x v="1"/>
    <n v="-1000.0175250599999"/>
    <n v="-260.83"/>
    <n v="19999.950995969997"/>
    <n v="22474.112367239999"/>
    <n v="5861.82"/>
    <n v="3.8339819999999998"/>
    <s v="-"/>
    <m/>
  </r>
  <r>
    <x v="28"/>
    <x v="1"/>
    <x v="0"/>
    <n v="0"/>
    <n v="0"/>
    <n v="5000.1536452799992"/>
    <n v="4430.210805239999"/>
    <n v="105.96"/>
    <n v="41.810218999999996"/>
    <n v="158.60813327999949"/>
    <n v="3.7130825467721583E-2"/>
  </r>
  <r>
    <x v="28"/>
    <x v="0"/>
    <x v="0"/>
    <n v="0"/>
    <n v="0"/>
    <n v="20999.968521029998"/>
    <n v="23474.129892299996"/>
    <n v="6122.65"/>
    <n v="3.8339819999999998"/>
    <n v="26.10697959999743"/>
    <n v="1.1133979055375882E-3"/>
  </r>
  <r>
    <x v="29"/>
    <x v="1"/>
    <x v="0"/>
    <n v="0"/>
    <n v="0"/>
    <n v="5000.1536452799992"/>
    <n v="4271.6026719599995"/>
    <n v="105.96"/>
    <n v="40.313350999999997"/>
    <n v="-37.657654200000252"/>
    <n v="-8.7387744879077779E-3"/>
  </r>
  <r>
    <x v="29"/>
    <x v="0"/>
    <x v="0"/>
    <n v="0"/>
    <n v="0"/>
    <n v="20999.968521029998"/>
    <n v="23448.022912699998"/>
    <n v="6122.65"/>
    <n v="3.8297180000000002"/>
    <n v="26.015139849998377"/>
    <n v="1.1107134837585063E-3"/>
  </r>
  <r>
    <x v="30"/>
    <x v="1"/>
    <x v="0"/>
    <n v="0"/>
    <n v="0"/>
    <n v="5000.1536452799992"/>
    <n v="4309.2603261599997"/>
    <n v="105.96"/>
    <n v="40.668745999999999"/>
    <n v="-45.19268172000011"/>
    <n v="-1.0378497973963096E-2"/>
  </r>
  <r>
    <x v="30"/>
    <x v="0"/>
    <x v="0"/>
    <n v="0"/>
    <n v="0"/>
    <n v="20999.968521029998"/>
    <n v="23422.00777285"/>
    <n v="6122.65"/>
    <n v="3.825469"/>
    <n v="25.996771900001477"/>
    <n v="1.1111625780542498E-3"/>
  </r>
  <r>
    <x v="31"/>
    <x v="1"/>
    <x v="0"/>
    <n v="0"/>
    <n v="0"/>
    <n v="5000.1536452799992"/>
    <n v="4354.4530078799999"/>
    <n v="105.96"/>
    <n v="41.095253"/>
    <n v="-12.723041039999771"/>
    <n v="-2.9133336731746043E-3"/>
  </r>
  <r>
    <x v="31"/>
    <x v="0"/>
    <x v="0"/>
    <n v="0"/>
    <n v="0"/>
    <n v="20999.968521029998"/>
    <n v="23396.011000949999"/>
    <n v="6122.65"/>
    <n v="3.8212229999999998"/>
    <n v="25.892686849998427"/>
    <n v="1.1079399129261388E-3"/>
  </r>
  <r>
    <x v="32"/>
    <x v="1"/>
    <x v="0"/>
    <n v="0"/>
    <n v="0"/>
    <n v="5000.1536452799992"/>
    <n v="4367.1760489199996"/>
    <n v="105.96"/>
    <n v="41.215327000000002"/>
    <n v="36.86592107999968"/>
    <n v="8.5134597734664412E-3"/>
  </r>
  <r>
    <x v="32"/>
    <x v="0"/>
    <x v="0"/>
    <n v="0"/>
    <n v="0"/>
    <n v="20999.968521029998"/>
    <n v="23370.1183141"/>
    <n v="6122.65"/>
    <n v="3.8169940000000002"/>
    <n v="77.494381050000811"/>
    <n v="3.3269923248125397E-3"/>
  </r>
  <r>
    <x v="33"/>
    <x v="1"/>
    <x v="0"/>
    <n v="0"/>
    <n v="0"/>
    <n v="5000.1536452799992"/>
    <n v="4330.31012784"/>
    <n v="105.96"/>
    <n v="40.867404000000001"/>
    <n v="-43.232633640000131"/>
    <n v="-9.8850373707950502E-3"/>
  </r>
  <r>
    <x v="33"/>
    <x v="0"/>
    <x v="0"/>
    <n v="0"/>
    <n v="0"/>
    <n v="20999.968521029998"/>
    <n v="23292.623933049999"/>
    <n v="6122.65"/>
    <n v="3.8043369999999999"/>
    <n v="25.617167600001267"/>
    <n v="1.1010083015078513E-3"/>
  </r>
  <r>
    <x v="34"/>
    <x v="1"/>
    <x v="0"/>
    <n v="0"/>
    <n v="0"/>
    <n v="5000.1536452799992"/>
    <n v="4373.5427614800001"/>
    <n v="105.96"/>
    <n v="41.275413"/>
    <n v="-100.66242383999997"/>
    <n v="-2.2498392378220915E-2"/>
  </r>
  <r>
    <x v="34"/>
    <x v="0"/>
    <x v="0"/>
    <n v="0"/>
    <n v="0"/>
    <n v="20999.968521029998"/>
    <n v="23267.006765449998"/>
    <n v="6122.65"/>
    <n v="3.8001529999999999"/>
    <n v="25.445733399999881"/>
    <n v="1.0948375354353675E-3"/>
  </r>
  <r>
    <x v="34"/>
    <x v="0"/>
    <x v="1"/>
    <n v="-2000.0348993599998"/>
    <n v="-526.88"/>
    <n v="20999.968521029998"/>
    <n v="23241.561032049998"/>
    <n v="6122.65"/>
    <n v="3.7959969999999998"/>
    <s v="-"/>
    <m/>
  </r>
  <r>
    <x v="35"/>
    <x v="1"/>
    <x v="0"/>
    <n v="0"/>
    <n v="0"/>
    <n v="5000.1536452799992"/>
    <n v="4474.2051853200001"/>
    <n v="105.96"/>
    <n v="42.225417"/>
    <n v="-7.4208026399992377"/>
    <n v="-1.6558281882370685E-3"/>
  </r>
  <r>
    <x v="35"/>
    <x v="0"/>
    <x v="0"/>
    <n v="0"/>
    <n v="0"/>
    <n v="23000.003420389996"/>
    <n v="25241.595931409996"/>
    <n v="6649.53"/>
    <n v="3.7959969999999998"/>
    <n v="27.622147619997122"/>
    <n v="1.0955094923497015E-3"/>
  </r>
  <r>
    <x v="36"/>
    <x v="1"/>
    <x v="0"/>
    <n v="0"/>
    <n v="0"/>
    <n v="5000.1536452799992"/>
    <n v="4481.6259879599993"/>
    <n v="105.96"/>
    <n v="42.295451"/>
    <n v="282.65328011999918"/>
    <n v="6.7314864798299678E-2"/>
  </r>
  <r>
    <x v="36"/>
    <x v="0"/>
    <x v="0"/>
    <n v="0"/>
    <n v="0"/>
    <n v="23000.003420389996"/>
    <n v="25213.973783789999"/>
    <n v="6649.53"/>
    <n v="3.7918430000000001"/>
    <n v="109.99652526000136"/>
    <n v="4.3816373846748326E-3"/>
  </r>
  <r>
    <x v="37"/>
    <x v="1"/>
    <x v="0"/>
    <n v="0"/>
    <n v="0"/>
    <n v="5000.1536452799992"/>
    <n v="4198.9727078400001"/>
    <n v="105.96"/>
    <n v="39.627904000000001"/>
    <n v="-151.21382063999954"/>
    <n v="-3.4760307322462269E-2"/>
  </r>
  <r>
    <x v="37"/>
    <x v="0"/>
    <x v="0"/>
    <n v="0"/>
    <n v="0"/>
    <n v="23000.003420389996"/>
    <n v="25103.977258529998"/>
    <n v="6649.53"/>
    <n v="3.7753009999999998"/>
    <n v="27.435960779999732"/>
    <n v="1.0940887124039197E-3"/>
  </r>
  <r>
    <x v="38"/>
    <x v="1"/>
    <x v="0"/>
    <n v="0"/>
    <n v="0"/>
    <n v="5000.1536452799992"/>
    <n v="4350.1865284799997"/>
    <n v="105.96"/>
    <n v="41.054988000000002"/>
    <n v="-159.28998588000013"/>
    <n v="-3.5323387398239169E-2"/>
  </r>
  <r>
    <x v="38"/>
    <x v="0"/>
    <x v="0"/>
    <n v="0"/>
    <n v="0"/>
    <n v="23000.003420389996"/>
    <n v="25076.541297749998"/>
    <n v="6649.53"/>
    <n v="3.7711749999999999"/>
    <n v="27.110133810001571"/>
    <n v="1.0822654467709915E-3"/>
  </r>
  <r>
    <x v="39"/>
    <x v="1"/>
    <x v="0"/>
    <n v="0"/>
    <n v="0"/>
    <n v="5000.1536452799992"/>
    <n v="4509.4765143599998"/>
    <n v="105.96"/>
    <n v="42.558290999999997"/>
    <n v="-128.42574515999968"/>
    <n v="-2.7690481164493415E-2"/>
  </r>
  <r>
    <x v="39"/>
    <x v="0"/>
    <x v="0"/>
    <n v="0"/>
    <n v="0"/>
    <n v="23000.003420389996"/>
    <n v="25049.431163939997"/>
    <n v="6649.53"/>
    <n v="3.7670979999999998"/>
    <n v="26.864101199997094"/>
    <n v="1.0735949326318706E-3"/>
  </r>
  <r>
    <x v="40"/>
    <x v="1"/>
    <x v="0"/>
    <n v="0"/>
    <n v="0"/>
    <n v="5000.1536452799992"/>
    <n v="4637.9022595199995"/>
    <n v="105.96"/>
    <n v="43.770311999999997"/>
    <n v="57.650187000000187"/>
    <n v="1.2586684332480745E-2"/>
  </r>
  <r>
    <x v="40"/>
    <x v="0"/>
    <x v="0"/>
    <n v="0"/>
    <n v="0"/>
    <n v="23000.003420389996"/>
    <n v="25022.56706274"/>
    <n v="6649.53"/>
    <n v="3.763058"/>
    <n v="26.850802140001178"/>
    <n v="1.074216152082188E-3"/>
  </r>
  <r>
    <x v="41"/>
    <x v="1"/>
    <x v="0"/>
    <n v="0"/>
    <n v="0"/>
    <n v="5000.1536452799992"/>
    <n v="4580.2520725199993"/>
    <n v="105.96"/>
    <n v="43.226236999999998"/>
    <n v="-116.54805300000044"/>
    <n v="-2.4814352300566854E-2"/>
  </r>
  <r>
    <x v="41"/>
    <x v="0"/>
    <x v="0"/>
    <n v="0"/>
    <n v="0"/>
    <n v="23000.003420389996"/>
    <n v="24995.716260599998"/>
    <n v="6649.53"/>
    <n v="3.75902"/>
    <n v="80.891532449997612"/>
    <n v="3.2467229182874652E-3"/>
  </r>
  <r>
    <x v="42"/>
    <x v="1"/>
    <x v="0"/>
    <n v="0"/>
    <n v="0"/>
    <n v="5000.1536452799992"/>
    <n v="4696.8001255199997"/>
    <n v="105.96"/>
    <n v="44.326161999999997"/>
    <n v="-188.84371331999955"/>
    <n v="-3.8652779357088281E-2"/>
  </r>
  <r>
    <x v="42"/>
    <x v="0"/>
    <x v="0"/>
    <n v="0"/>
    <n v="0"/>
    <n v="23000.003420389996"/>
    <n v="24914.824728150001"/>
    <n v="6649.53"/>
    <n v="3.746855"/>
    <n v="26.338788330001989"/>
    <n v="1.0582720215960915E-3"/>
  </r>
  <r>
    <x v="43"/>
    <x v="1"/>
    <x v="0"/>
    <n v="0"/>
    <n v="0"/>
    <n v="5000.1536452799992"/>
    <n v="4885.6438388399993"/>
    <n v="105.96"/>
    <n v="46.108378999999999"/>
    <n v="-72.551553720000811"/>
    <n v="-1.4632653208638623E-2"/>
  </r>
  <r>
    <x v="43"/>
    <x v="0"/>
    <x v="0"/>
    <n v="0"/>
    <n v="0"/>
    <n v="23000.003420389996"/>
    <n v="24888.485939819999"/>
    <n v="6649.53"/>
    <n v="3.7428940000000002"/>
    <n v="26.305540679997648"/>
    <n v="1.0580544528954667E-3"/>
  </r>
  <r>
    <x v="44"/>
    <x v="1"/>
    <x v="0"/>
    <n v="0"/>
    <n v="0"/>
    <n v="5000.1536452799992"/>
    <n v="4958.1953925600001"/>
    <n v="105.96"/>
    <n v="46.793086000000002"/>
    <n v="10.328239080000458"/>
    <n v="2.0874123656969834E-3"/>
  </r>
  <r>
    <x v="44"/>
    <x v="0"/>
    <x v="0"/>
    <n v="0"/>
    <n v="0"/>
    <n v="23000.003420389996"/>
    <n v="24862.180399140001"/>
    <n v="6649.53"/>
    <n v="3.7389380000000001"/>
    <n v="26.059508070004085"/>
    <n v="1.0492583839600892E-3"/>
  </r>
  <r>
    <x v="45"/>
    <x v="1"/>
    <x v="0"/>
    <n v="0"/>
    <n v="0"/>
    <n v="5000.1536452799992"/>
    <n v="4947.8671534799996"/>
    <n v="105.96"/>
    <n v="46.695613000000002"/>
    <n v="-128.6280227999996"/>
    <n v="-2.5337958243517325E-2"/>
  </r>
  <r>
    <x v="45"/>
    <x v="0"/>
    <x v="0"/>
    <n v="0"/>
    <n v="0"/>
    <n v="23000.003420389996"/>
    <n v="24836.120891069997"/>
    <n v="6649.53"/>
    <n v="3.7350189999999999"/>
    <n v="25.806825929998013"/>
    <n v="1.0401652257300054E-3"/>
  </r>
  <r>
    <x v="46"/>
    <x v="1"/>
    <x v="0"/>
    <n v="0"/>
    <n v="0"/>
    <n v="5000.1536452799992"/>
    <n v="5076.4951762799992"/>
    <n v="105.96"/>
    <n v="47.909542999999999"/>
    <n v="-37.468515600000501"/>
    <n v="-7.3267073951841337E-3"/>
  </r>
  <r>
    <x v="46"/>
    <x v="0"/>
    <x v="0"/>
    <n v="0"/>
    <n v="0"/>
    <n v="23000.003420389996"/>
    <n v="24810.314065139999"/>
    <n v="6649.53"/>
    <n v="3.7311380000000001"/>
    <n v="73.922825009998633"/>
    <n v="2.9884239900796377E-3"/>
  </r>
  <r>
    <x v="47"/>
    <x v="1"/>
    <x v="0"/>
    <n v="0"/>
    <n v="0"/>
    <n v="5000.1536452799992"/>
    <n v="5113.9636918799997"/>
    <n v="105.96"/>
    <n v="48.263153000000003"/>
    <n v="-38.351480280000033"/>
    <n v="-7.4435431448813304E-3"/>
  </r>
  <r>
    <x v="47"/>
    <x v="0"/>
    <x v="0"/>
    <n v="0"/>
    <n v="0"/>
    <n v="23000.003420389996"/>
    <n v="24736.39124013"/>
    <n v="6649.53"/>
    <n v="3.720021"/>
    <n v="24.257485440000892"/>
    <n v="9.8160222345822007E-4"/>
  </r>
  <r>
    <x v="48"/>
    <x v="1"/>
    <x v="0"/>
    <n v="0"/>
    <n v="0"/>
    <n v="5000.1536452799992"/>
    <n v="5152.3151721599997"/>
    <n v="105.96"/>
    <n v="48.625095999999999"/>
    <n v="-11.479176599999846"/>
    <n v="-2.2230119607216624E-3"/>
  </r>
  <r>
    <x v="48"/>
    <x v="0"/>
    <x v="0"/>
    <n v="0"/>
    <n v="0"/>
    <n v="23000.003420389996"/>
    <n v="24712.133754689999"/>
    <n v="6649.53"/>
    <n v="3.7163729999999999"/>
    <n v="24.224237790000188"/>
    <n v="9.8121867197448805E-4"/>
  </r>
  <r>
    <x v="49"/>
    <x v="1"/>
    <x v="0"/>
    <n v="0"/>
    <n v="0"/>
    <n v="5000.1536452799992"/>
    <n v="5163.7943487599996"/>
    <n v="105.96"/>
    <n v="48.733431000000003"/>
    <n v="133.28348135999931"/>
    <n v="2.649501906928332E-2"/>
  </r>
  <r>
    <x v="49"/>
    <x v="0"/>
    <x v="0"/>
    <n v="0"/>
    <n v="0"/>
    <n v="23000.003420389996"/>
    <n v="24687.909516899999"/>
    <n v="6649.53"/>
    <n v="3.7127300000000001"/>
    <n v="24.097896720002609"/>
    <n v="9.770548482573142E-4"/>
  </r>
  <r>
    <x v="50"/>
    <x v="1"/>
    <x v="0"/>
    <n v="0"/>
    <n v="0"/>
    <n v="5000.1536452799992"/>
    <n v="5030.5108674000003"/>
    <n v="105.96"/>
    <n v="47.475565000000003"/>
    <n v="-167.40567419999934"/>
    <n v="-3.2206302825414201E-2"/>
  </r>
  <r>
    <x v="50"/>
    <x v="0"/>
    <x v="0"/>
    <n v="0"/>
    <n v="0"/>
    <n v="23000.003420389996"/>
    <n v="24663.811620179997"/>
    <n v="6649.53"/>
    <n v="3.7091059999999998"/>
    <n v="23.964906119996158"/>
    <n v="9.7260776002811998E-4"/>
  </r>
  <r>
    <x v="50"/>
    <x v="0"/>
    <x v="1"/>
    <n v="-2000.0076494800001"/>
    <n v="-539.74"/>
    <n v="23000.003420389996"/>
    <n v="24639.846714060001"/>
    <n v="6649.53"/>
    <n v="3.7055020000000001"/>
    <s v="-"/>
    <n v="0"/>
  </r>
  <r>
    <x v="51"/>
    <x v="1"/>
    <x v="0"/>
    <n v="0"/>
    <n v="0"/>
    <n v="5000.1536452799992"/>
    <n v="5197.9165415999996"/>
    <n v="105.96"/>
    <n v="49.055459999999997"/>
    <n v="-42.336212039999737"/>
    <n v="-8.0790400826739397E-3"/>
  </r>
  <r>
    <x v="51"/>
    <x v="0"/>
    <x v="0"/>
    <n v="0"/>
    <n v="0"/>
    <n v="25000.011069869997"/>
    <n v="26639.854363539998"/>
    <n v="7189.2699999999995"/>
    <n v="3.7055020000000001"/>
    <n v="75.861177040002076"/>
    <n v="2.8557896588587441E-3"/>
  </r>
  <r>
    <x v="52"/>
    <x v="1"/>
    <x v="0"/>
    <n v="0"/>
    <n v="0"/>
    <n v="5000.1536452799992"/>
    <n v="5240.2527536399994"/>
    <n v="105.96"/>
    <n v="49.455008999999997"/>
    <n v="240.09910836000017"/>
    <n v="4.8018346113553205E-2"/>
  </r>
  <r>
    <x v="52"/>
    <x v="0"/>
    <x v="0"/>
    <n v="0"/>
    <n v="0"/>
    <n v="25000.011069869997"/>
    <n v="26563.993186499996"/>
    <n v="7189.2699999999995"/>
    <n v="3.69495"/>
    <n v="25.176823539997713"/>
    <n v="9.4867921747783426E-4"/>
  </r>
  <r>
    <x v="53"/>
    <x v="1"/>
    <x v="2"/>
    <n v="5000.1536452799992"/>
    <n v="105.96"/>
    <n v="5000.1536452799992"/>
    <n v="5000.1536452799992"/>
    <n v="105.96"/>
    <n v="47.189067999999999"/>
    <s v="-"/>
    <s v="-"/>
  </r>
  <r>
    <x v="53"/>
    <x v="0"/>
    <x v="0"/>
    <n v="0"/>
    <n v="0"/>
    <n v="25000.011069869997"/>
    <n v="26538.816362959999"/>
    <n v="7189.2699999999995"/>
    <n v="3.6914479999999998"/>
    <n v="25.385312369999156"/>
    <n v="9.5745104892537678E-4"/>
  </r>
  <r>
    <x v="53"/>
    <x v="0"/>
    <x v="1"/>
    <n v="-5000.0041102599998"/>
    <n v="-1355.78"/>
    <n v="25000.011069869997"/>
    <n v="26513.431050589999"/>
    <n v="7189.2699999999995"/>
    <n v="3.6879170000000001"/>
    <n v="3.637978807091713E-12"/>
    <s v="-"/>
  </r>
  <r>
    <x v="54"/>
    <x v="0"/>
    <x v="0"/>
    <n v="0"/>
    <n v="0"/>
    <n v="30000.015180129998"/>
    <n v="31513.435160849996"/>
    <n v="8545.0499999999993"/>
    <n v="3.6879170000000001"/>
    <n v="32.180658299999777"/>
    <n v="1.0232558392287809E-3"/>
  </r>
  <r>
    <x v="55"/>
    <x v="0"/>
    <x v="0"/>
    <n v="0"/>
    <n v="0"/>
    <n v="30000.015180129998"/>
    <n v="31481.254502549997"/>
    <n v="8545.0499999999993"/>
    <n v="3.684151"/>
    <n v="31.975577099998191"/>
    <n v="1.0198355562859322E-3"/>
  </r>
  <r>
    <x v="56"/>
    <x v="0"/>
    <x v="0"/>
    <n v="0"/>
    <n v="0"/>
    <n v="30000.015180129998"/>
    <n v="31449.278925449998"/>
    <n v="8545.0499999999993"/>
    <n v="3.680409"/>
    <n v="95.619109499999468"/>
    <n v="3.0528110400000088E-3"/>
  </r>
  <r>
    <x v="57"/>
    <x v="0"/>
    <x v="0"/>
    <n v="0"/>
    <n v="0"/>
    <n v="30000.015180129998"/>
    <n v="31353.659815949999"/>
    <n v="8545.0499999999993"/>
    <n v="3.669219"/>
    <n v="31.999796009818965"/>
    <n v="1.0216507039998953E-3"/>
  </r>
  <r>
    <x v="57"/>
    <x v="0"/>
    <x v="2"/>
    <n v="5000"/>
    <n v="1364.08"/>
    <n v="30000.015180129998"/>
    <n v="31321.66001994018"/>
    <n v="8545.0499999999993"/>
    <n v="3.6654741657380803"/>
    <n v="0"/>
    <s v="-"/>
  </r>
  <r>
    <x v="58"/>
    <x v="0"/>
    <x v="0"/>
    <n v="0"/>
    <n v="0"/>
    <n v="25000.015180129998"/>
    <n v="26321.66001994018"/>
    <n v="7180.9699999999993"/>
    <n v="3.6654741657380803"/>
    <n v="26.498969460182707"/>
    <n v="1.0087678872156146E-3"/>
  </r>
  <r>
    <x v="59"/>
    <x v="0"/>
    <x v="0"/>
    <n v="0"/>
    <n v="0"/>
    <n v="25000.015180129998"/>
    <n v="26295.161050479997"/>
    <n v="7180.9699999999993"/>
    <n v="3.6617839999999999"/>
    <n v="26.512141240000346"/>
    <n v="1.0102795672325806E-3"/>
  </r>
  <r>
    <x v="60"/>
    <x v="0"/>
    <x v="0"/>
    <n v="0"/>
    <n v="0"/>
    <n v="25000.015180129998"/>
    <n v="26268.648909239997"/>
    <n v="7180.9699999999993"/>
    <n v="3.6580919999999999"/>
    <n v="26.267988259998674"/>
    <n v="1.0040083482552313E-3"/>
  </r>
  <r>
    <x v="61"/>
    <x v="0"/>
    <x v="0"/>
    <n v="0"/>
    <n v="0"/>
    <n v="25000.015180129998"/>
    <n v="26242.380920979998"/>
    <n v="7180.9699999999993"/>
    <n v="3.6544340000000002"/>
    <n v="79.263546860001952"/>
    <n v="3.0326325327454814E-3"/>
  </r>
  <r>
    <x v="62"/>
    <x v="0"/>
    <x v="0"/>
    <n v="0"/>
    <n v="0"/>
    <n v="25000.015180129998"/>
    <n v="26163.117374119996"/>
    <n v="7180.9699999999993"/>
    <n v="3.6433960000000001"/>
    <n v="26.239264379997621"/>
    <n v="1.0049115257081743E-3"/>
  </r>
  <r>
    <x v="63"/>
    <x v="0"/>
    <x v="0"/>
    <n v="0"/>
    <n v="0"/>
    <n v="25000.015180129998"/>
    <n v="26136.878109739999"/>
    <n v="7180.9699999999993"/>
    <n v="3.639742"/>
    <n v="25.858672970003681"/>
    <n v="9.913132767432806E-4"/>
  </r>
  <r>
    <x v="64"/>
    <x v="0"/>
    <x v="0"/>
    <n v="0"/>
    <n v="0"/>
    <n v="25000.015180129998"/>
    <n v="26111.019436769995"/>
    <n v="7180.9699999999993"/>
    <n v="3.6361409999999998"/>
    <n v="25.750958419997914"/>
    <n v="9.8812731687057025E-4"/>
  </r>
  <r>
    <x v="65"/>
    <x v="0"/>
    <x v="0"/>
    <n v="0"/>
    <n v="0"/>
    <n v="25000.015180129998"/>
    <n v="26085.268478349997"/>
    <n v="7180.9699999999993"/>
    <n v="3.632555"/>
    <n v="24.9036039599996"/>
    <n v="9.5833614275776552E-4"/>
  </r>
  <r>
    <x v="66"/>
    <x v="0"/>
    <x v="0"/>
    <n v="0"/>
    <n v="0"/>
    <n v="25000.015180129998"/>
    <n v="26060.364874389998"/>
    <n v="7180.9699999999993"/>
    <n v="3.6290870000000002"/>
    <n v="74.071705549999024"/>
    <n v="2.8531305743575326E-3"/>
  </r>
  <r>
    <x v="67"/>
    <x v="0"/>
    <x v="0"/>
    <n v="0"/>
    <n v="0"/>
    <n v="25000.015180129998"/>
    <n v="25986.293168839999"/>
    <n v="7180.9699999999993"/>
    <n v="3.6187719999999999"/>
    <n v="24.738441649999004"/>
    <n v="9.5360022144554124E-4"/>
  </r>
  <r>
    <x v="68"/>
    <x v="0"/>
    <x v="0"/>
    <n v="0"/>
    <n v="0"/>
    <n v="25000.015180129998"/>
    <n v="25961.55472719"/>
    <n v="7180.9699999999993"/>
    <n v="3.6153270000000002"/>
    <n v="19.402980940001726"/>
    <n v="7.4847375895881934E-4"/>
  </r>
  <r>
    <x v="69"/>
    <x v="0"/>
    <x v="0"/>
    <n v="0"/>
    <n v="0"/>
    <n v="25000.015180129998"/>
    <n v="25942.151746249998"/>
    <n v="7180.9699999999993"/>
    <n v="3.612625"/>
    <n v="18.756693639999867"/>
    <n v="7.2405013465061082E-4"/>
  </r>
  <r>
    <x v="70"/>
    <x v="0"/>
    <x v="0"/>
    <n v="0"/>
    <n v="0"/>
    <n v="25000.015180129998"/>
    <n v="25923.395052609998"/>
    <n v="7180.9699999999993"/>
    <n v="3.6100129999999999"/>
    <n v="18.153492159999587"/>
    <n v="7.0221890618846075E-4"/>
  </r>
  <r>
    <x v="71"/>
    <x v="0"/>
    <x v="0"/>
    <n v="0"/>
    <n v="0"/>
    <n v="25000.015180129998"/>
    <n v="25905.241560449998"/>
    <n v="7180.9699999999993"/>
    <n v="3.6074850000000001"/>
    <n v="53.627483960000973"/>
    <n v="2.075857757601148E-3"/>
  </r>
  <r>
    <x v="72"/>
    <x v="0"/>
    <x v="0"/>
    <n v="0"/>
    <n v="0"/>
    <n v="25000.015180129998"/>
    <n v="25851.614076489997"/>
    <n v="7180.9699999999993"/>
    <n v="3.6000169999999998"/>
    <n v="17.722633960001986"/>
    <n v="6.8649700992720142E-4"/>
  </r>
  <r>
    <x v="73"/>
    <x v="0"/>
    <x v="0"/>
    <n v="0"/>
    <n v="0"/>
    <n v="25000.015180129998"/>
    <n v="25833.891442529995"/>
    <n v="7180.9699999999993"/>
    <n v="3.5975489999999999"/>
    <n v="17.851891419995809"/>
    <m/>
  </r>
  <r>
    <x v="74"/>
    <x v="0"/>
    <x v="0"/>
    <n v="0"/>
    <n v="0"/>
    <n v="25000.015180129998"/>
    <n v="25816.03955111"/>
    <n v="7180.9699999999993"/>
    <n v="3.5950630000000001"/>
    <n v="17.679548140000406"/>
    <n v="6.8529736533502164E-4"/>
  </r>
  <r>
    <x v="74"/>
    <x v="0"/>
    <x v="1"/>
    <n v="-2000.0009767000001"/>
    <n v="-556.70000000000005"/>
    <n v="25000.015180129998"/>
    <n v="25798.360002969999"/>
    <n v="7180.9699999999993"/>
    <n v="3.5926010000000002"/>
    <s v=" "/>
    <n v="2.6602892659896016E-3"/>
  </r>
  <r>
    <x v="75"/>
    <x v="0"/>
    <x v="0"/>
    <n v="0"/>
    <n v="0"/>
    <n v="27000.016156829999"/>
    <n v="27798.360979669997"/>
    <n v="7737.6699999999992"/>
    <n v="3.5926010000000002"/>
    <n v="73.755470439999044"/>
    <n v="3.3410247000674651E-3"/>
  </r>
  <r>
    <x v="76"/>
    <x v="0"/>
    <x v="0"/>
    <n v="0"/>
    <n v="0"/>
    <n v="27000.016156829999"/>
    <n v="27724.605509229998"/>
    <n v="7737.6699999999992"/>
    <n v="3.5830690000000001"/>
    <n v="18.810275769999862"/>
    <n v="1.4194140684998847E-3"/>
  </r>
  <r>
    <x v="77"/>
    <x v="0"/>
    <x v="0"/>
    <n v="0"/>
    <n v="0"/>
    <n v="27000.016156829999"/>
    <n v="27705.795233459998"/>
    <n v="7737.6699999999992"/>
    <n v="3.580638"/>
    <n v="20.486640737271955"/>
    <n v="7.3998238699986469E-4"/>
  </r>
  <r>
    <x v="77"/>
    <x v="2"/>
    <x v="1"/>
    <n v="-20000"/>
    <n v="0"/>
    <n v="0"/>
    <e v="#VALUE!"/>
    <n v="0"/>
    <s v="-"/>
    <m/>
    <s v="-"/>
  </r>
  <r>
    <x v="77"/>
    <x v="0"/>
    <x v="2"/>
    <n v="20000"/>
    <n v="5589.73"/>
    <n v="27000.016156829999"/>
    <n v="27685.308592722726"/>
    <n v="7737.6699999999992"/>
    <n v="3.5779903501600261"/>
    <n v="6.5970758627272517"/>
    <n v="8.5913839167436564E-4"/>
  </r>
  <r>
    <x v="78"/>
    <x v="2"/>
    <x v="0"/>
    <n v="0"/>
    <n v="0"/>
    <n v="0"/>
    <e v="#VALUE!"/>
    <n v="0"/>
    <s v="-"/>
    <s v="-"/>
    <s v="-"/>
  </r>
  <r>
    <x v="78"/>
    <x v="0"/>
    <x v="0"/>
    <n v="0"/>
    <n v="0"/>
    <n v="7000.0161568299991"/>
    <n v="7678.7115168599985"/>
    <n v="2147.9399999999996"/>
    <n v="3.574919"/>
    <n v="95.737981680000303"/>
    <n v="1.4872260882870896E-2"/>
  </r>
  <r>
    <x v="70"/>
    <x v="2"/>
    <x v="0"/>
    <n v="0"/>
    <n v="0"/>
    <n v="0"/>
    <e v="#VALUE!"/>
    <n v="0"/>
    <s v="-"/>
    <s v="-"/>
    <s v="-"/>
  </r>
  <r>
    <x v="70"/>
    <x v="0"/>
    <x v="0"/>
    <n v="0"/>
    <n v="0"/>
    <n v="7000.0161568299991"/>
    <n v="7582.9735351799982"/>
    <n v="2147.9399999999996"/>
    <n v="3.5303469999999999"/>
    <n v="16.788299040000311"/>
    <n v="2.9608585410199673E-3"/>
  </r>
  <r>
    <x v="79"/>
    <x v="2"/>
    <x v="0"/>
    <n v="0"/>
    <n v="0"/>
    <n v="0"/>
    <e v="#VALUE!"/>
    <n v="0"/>
    <s v="-"/>
    <s v="-"/>
    <s v="-"/>
  </r>
  <r>
    <x v="79"/>
    <x v="0"/>
    <x v="0"/>
    <n v="0"/>
    <n v="0"/>
    <n v="7000.0161568299991"/>
    <n v="7566.1852361399979"/>
    <n v="2147.9399999999996"/>
    <n v="3.5225309999999999"/>
    <n v="5.5975316399990334"/>
    <n v="1.4672894804924558E-3"/>
  </r>
  <r>
    <x v="80"/>
    <x v="2"/>
    <x v="0"/>
    <n v="0"/>
    <n v="0"/>
    <n v="0"/>
    <e v="#VALUE!"/>
    <n v="0"/>
    <s v="-"/>
    <s v="-"/>
    <s v="-"/>
  </r>
  <r>
    <x v="80"/>
    <x v="0"/>
    <x v="0"/>
    <n v="0"/>
    <n v="0"/>
    <n v="7000.0161568299991"/>
    <n v="7560.5877044999988"/>
    <n v="2147.9399999999996"/>
    <n v="3.5199250000000002"/>
    <n v="5.4879866999999649"/>
    <n v="1.4475777966375691E-3"/>
  </r>
  <r>
    <x v="81"/>
    <x v="2"/>
    <x v="0"/>
    <n v="0"/>
    <n v="0"/>
    <n v="0"/>
    <e v="#VALUE!"/>
    <n v="0"/>
    <s v="-"/>
    <s v="-"/>
    <s v="-"/>
  </r>
  <r>
    <x v="81"/>
    <x v="0"/>
    <x v="0"/>
    <n v="0"/>
    <n v="0"/>
    <n v="7000.0161568299991"/>
    <n v="7555.0997177999989"/>
    <n v="2147.9399999999996"/>
    <n v="3.5173700000000001"/>
    <n v="5.4407320200007234"/>
    <n v="1.45975093408979E-3"/>
  </r>
  <r>
    <x v="82"/>
    <x v="2"/>
    <x v="0"/>
    <n v="0"/>
    <n v="0"/>
    <n v="0"/>
    <e v="#VALUE!"/>
    <n v="0"/>
    <s v="-"/>
    <s v="-"/>
    <s v="-"/>
  </r>
  <r>
    <x v="82"/>
    <x v="0"/>
    <x v="0"/>
    <n v="0"/>
    <n v="0"/>
    <n v="7000.0161568299991"/>
    <n v="7549.6589857799981"/>
    <n v="2147.9399999999996"/>
    <n v="3.514837"/>
    <n v="5.5717563600001085"/>
    <n v="2.9270277542608907E-3"/>
  </r>
  <r>
    <x v="83"/>
    <x v="0"/>
    <x v="0"/>
    <n v="0"/>
    <n v="0"/>
    <n v="7000.0161568299991"/>
    <n v="7544.087229419998"/>
    <n v="2147.9399999999996"/>
    <n v="3.5122429999999998"/>
    <n v="16.461812159998772"/>
    <n v="3.8490603571077133E-3"/>
  </r>
  <r>
    <x v="83"/>
    <x v="2"/>
    <x v="0"/>
    <n v="0"/>
    <n v="0"/>
    <n v="0"/>
    <e v="#VALUE!"/>
    <n v="0"/>
    <s v="-"/>
    <s v="-"/>
    <s v="-"/>
  </r>
  <r>
    <x v="84"/>
    <x v="0"/>
    <x v="0"/>
    <n v="0"/>
    <n v="0"/>
    <n v="7000.0161568299991"/>
    <n v="7527.6254172599993"/>
    <n v="2147.9399999999996"/>
    <n v="3.5045790000000001"/>
    <n v="12.464495820000593"/>
    <n v="2.6607318042422608E-3"/>
  </r>
  <r>
    <x v="84"/>
    <x v="2"/>
    <x v="0"/>
    <n v="0"/>
    <n v="0"/>
    <n v="0"/>
    <e v="#VALUE!"/>
    <n v="0"/>
    <s v="-"/>
    <s v="-"/>
    <s v="-"/>
  </r>
  <r>
    <x v="85"/>
    <x v="0"/>
    <x v="0"/>
    <n v="0"/>
    <n v="0"/>
    <n v="7000.0161568299991"/>
    <n v="7515.1609214399987"/>
    <n v="2147.9399999999996"/>
    <n v="3.4987759999999999"/>
    <n v="7.511346180000146"/>
    <n v="1.1520917186432998E-2"/>
  </r>
  <r>
    <x v="85"/>
    <x v="2"/>
    <x v="2"/>
    <n v="19306"/>
    <n v="0"/>
    <n v="0"/>
    <e v="#VALUE!"/>
    <n v="0"/>
    <s v="-"/>
    <s v="-"/>
    <s v="-"/>
  </r>
  <r>
    <x v="86"/>
    <x v="0"/>
    <x v="1"/>
    <n v="-20000.02139079"/>
    <n v="-5722.01"/>
    <n v="7000.0161568299991"/>
    <n v="7507.6495752599985"/>
    <n v="2147.9399999999996"/>
    <n v="3.495279"/>
    <n v="286.09629235000102"/>
    <n v="1.647724959431407E-2"/>
  </r>
  <r>
    <x v="87"/>
    <x v="0"/>
    <x v="1"/>
    <n v="-5000.0158900400002"/>
    <n v="-1445.54"/>
    <n v="27000.037547619999"/>
    <n v="27221.574673699997"/>
    <n v="7869.95"/>
    <n v="3.4589259999999999"/>
    <n v="115.12082541999916"/>
    <n v="1.1407008653723823E-2"/>
  </r>
  <r>
    <x v="88"/>
    <x v="0"/>
    <x v="2"/>
    <n v="20000.020515840002"/>
    <n v="5802.88"/>
    <n v="32000.053437660001"/>
    <n v="32106.46973832"/>
    <n v="9315.49"/>
    <n v="3.4465680000000001"/>
    <n v="27.918224279999777"/>
    <n v="1.0372345571305772E-2"/>
  </r>
  <r>
    <x v="89"/>
    <x v="0"/>
    <x v="0"/>
    <n v="0"/>
    <n v="0"/>
    <n v="12000.032921819999"/>
    <n v="12078.530998199998"/>
    <n v="3512.6099999999997"/>
    <n v="3.4386199999999998"/>
    <n v="65.703370049999648"/>
    <m/>
  </r>
  <r>
    <x v="90"/>
    <x v="0"/>
    <x v="2"/>
    <n v="7000.0188185999996"/>
    <n v="2046.84"/>
    <n v="12000.032921819999"/>
    <n v="12012.827628149998"/>
    <n v="3512.6099999999997"/>
    <n v="3.419915"/>
    <n v="12.794706329999826"/>
    <m/>
  </r>
  <r>
    <x v="91"/>
    <x v="0"/>
    <x v="2"/>
    <n v="5000.0141032199999"/>
    <n v="1465.77"/>
    <n v="5000.0141032199999"/>
    <n v="5000.0141032199999"/>
    <n v="1465.77"/>
    <n v="3.4111859999999998"/>
    <n v="0"/>
    <m/>
  </r>
  <r>
    <x v="91"/>
    <x v="3"/>
    <x v="1"/>
    <n v="-5048.0336696599998"/>
    <n v="-1199.02"/>
    <n v="0"/>
    <n v="0"/>
    <n v="0"/>
    <n v="4.2101329999999999"/>
    <n v="-9.3215999995663879E-3"/>
    <m/>
  </r>
  <r>
    <x v="92"/>
    <x v="3"/>
    <x v="2"/>
    <n v="5000"/>
    <n v="1199.02"/>
    <n v="5000"/>
    <n v="5000.0093215999996"/>
    <n v="1199.02"/>
    <n v="4.1700799999999996"/>
    <n v="9.3215999995663879E-3"/>
    <m/>
  </r>
</pivotCacheRecords>
</file>

<file path=xl/pivotCache/pivotCacheRecords2.xml><?xml version="1.0" encoding="utf-8"?>
<pivotCacheRecords xmlns="http://schemas.openxmlformats.org/spreadsheetml/2006/main" xmlns:r="http://schemas.openxmlformats.org/officeDocument/2006/relationships" count="268">
  <r>
    <x v="0"/>
    <x v="0"/>
    <s v="Resumen"/>
    <n v="0"/>
    <n v="0"/>
    <n v="17509.573870754015"/>
    <n v="23714.401458564"/>
    <n v="5435.049"/>
    <n v="4.3632359999999997"/>
    <n v="21.881507273999887"/>
    <n v="9.2356183803937893E-4"/>
  </r>
  <r>
    <x v="0"/>
    <x v="1"/>
    <s v="Resumen"/>
    <n v="0"/>
    <n v="0"/>
    <n v="20000.011684500001"/>
    <n v="20621.722422749997"/>
    <n v="3864.75"/>
    <n v="5.3358489999999996"/>
    <n v="37.777931249995163"/>
    <n v="1.8353105871227893E-3"/>
  </r>
  <r>
    <x v="1"/>
    <x v="0"/>
    <s v="Resumen"/>
    <n v="0"/>
    <n v="0"/>
    <n v="17509.573870754015"/>
    <n v="23692.51995129"/>
    <n v="5435.049"/>
    <n v="4.35921"/>
    <n v="21.865202126999066"/>
    <n v="9.2372612243747741E-4"/>
  </r>
  <r>
    <x v="1"/>
    <x v="1"/>
    <s v="Resumen"/>
    <n v="0"/>
    <n v="0"/>
    <n v="20000.011684500001"/>
    <n v="20583.944491500002"/>
    <n v="3864.75"/>
    <n v="5.3260740000000002"/>
    <n v="45.673615499999869"/>
    <n v="2.2238296386173123E-3"/>
  </r>
  <r>
    <x v="2"/>
    <x v="0"/>
    <s v="Resumen"/>
    <n v="0"/>
    <n v="0"/>
    <n v="17509.573870754015"/>
    <n v="23670.654749163001"/>
    <n v="5435.049"/>
    <n v="4.3551869999999999"/>
    <n v="65.731482606002828"/>
    <n v="2.7846513993599197E-3"/>
  </r>
  <r>
    <x v="2"/>
    <x v="1"/>
    <s v="Resumen"/>
    <n v="0"/>
    <n v="0"/>
    <n v="20000.011684500001"/>
    <n v="20538.270876000002"/>
    <n v="3864.75"/>
    <n v="5.3142560000000003"/>
    <n v="41.588574750003318"/>
    <n v="2.0290393410384031E-3"/>
  </r>
  <r>
    <x v="3"/>
    <x v="0"/>
    <s v="Resumen"/>
    <n v="0"/>
    <n v="0"/>
    <n v="17509.573870754015"/>
    <n v="23604.923266556998"/>
    <n v="5435.049"/>
    <n v="4.3430929999999996"/>
    <n v="21.870637175998127"/>
    <n v="9.2738787975009417E-4"/>
  </r>
  <r>
    <x v="3"/>
    <x v="1"/>
    <s v="Resumen"/>
    <n v="0"/>
    <n v="0"/>
    <n v="20000.011684500001"/>
    <n v="20496.682301249999"/>
    <n v="3864.75"/>
    <n v="5.3034949999999998"/>
    <n v="1.0241587499986053"/>
    <n v="4.9969546861014448E-5"/>
  </r>
  <r>
    <x v="4"/>
    <x v="0"/>
    <s v="Resumen"/>
    <n v="0"/>
    <n v="0"/>
    <n v="17509.573870754015"/>
    <n v="23583.052629381"/>
    <n v="5435.049"/>
    <n v="4.3390690000000003"/>
    <n v="21.185821002000012"/>
    <n v="8.9915714974112926E-4"/>
  </r>
  <r>
    <x v="4"/>
    <x v="1"/>
    <s v="Resumen"/>
    <n v="0"/>
    <n v="0"/>
    <n v="20000.011684500001"/>
    <n v="20495.6581425"/>
    <n v="3864.75"/>
    <n v="5.3032300000000001"/>
    <n v="2.9449395000010554"/>
    <n v="1.437066664051399E-4"/>
  </r>
  <r>
    <x v="5"/>
    <x v="0"/>
    <s v="Resumen"/>
    <n v="0"/>
    <n v="0"/>
    <n v="17509.573870754015"/>
    <n v="23561.866808379"/>
    <n v="5435.049"/>
    <n v="4.3351709999999999"/>
    <n v="20.62601095500213"/>
    <n v="8.761649877545185E-4"/>
  </r>
  <r>
    <x v="5"/>
    <x v="1"/>
    <s v="Resumen"/>
    <n v="0"/>
    <n v="0"/>
    <n v="20000.011684500001"/>
    <n v="20492.713202999999"/>
    <n v="3864.75"/>
    <n v="5.3024680000000002"/>
    <n v="9.437719499997911"/>
    <n v="4.6075245668611388E-4"/>
  </r>
  <r>
    <x v="5"/>
    <x v="0"/>
    <s v="Rescate"/>
    <n v="-10000.003700735999"/>
    <n v="-2308.7359999999999"/>
    <n v="17509.573870754015"/>
    <n v="23541.240797423998"/>
    <n v="5435.049"/>
    <n v="4.3313759999999997"/>
    <s v="-"/>
    <s v="-"/>
  </r>
  <r>
    <x v="6"/>
    <x v="0"/>
    <s v="Resumen"/>
    <n v="0"/>
    <n v="0"/>
    <n v="27509.577571490016"/>
    <n v="33541.244498159998"/>
    <n v="7743.7849999999999"/>
    <n v="4.3313759999999997"/>
    <n v="29.395407859999978"/>
    <n v="8.7716460469811444E-4"/>
  </r>
  <r>
    <x v="6"/>
    <x v="1"/>
    <s v="Resumen"/>
    <n v="0"/>
    <n v="0"/>
    <n v="20000.011684500001"/>
    <n v="20483.275483500001"/>
    <n v="3864.75"/>
    <n v="5.3000259999999999"/>
    <n v="39.347019750002801"/>
    <n v="1.9246310619687756E-3"/>
  </r>
  <r>
    <x v="7"/>
    <x v="0"/>
    <s v="Resumen"/>
    <n v="0"/>
    <n v="0"/>
    <n v="27509.577571490016"/>
    <n v="33511.849090299998"/>
    <n v="7743.7849999999999"/>
    <n v="4.3275800000000002"/>
    <n v="90.896548329998041"/>
    <n v="2.7197473864891829E-3"/>
  </r>
  <r>
    <x v="7"/>
    <x v="1"/>
    <s v="Resumen"/>
    <n v="0"/>
    <n v="0"/>
    <n v="20000.011684500001"/>
    <n v="20443.928463749999"/>
    <n v="3864.75"/>
    <n v="5.2898449999999997"/>
    <n v="24.970149749999109"/>
    <n v="1.2228904807978804E-3"/>
  </r>
  <r>
    <x v="7"/>
    <x v="0"/>
    <s v="Rescate"/>
    <n v="-1000.00217061"/>
    <n v="-231.70500000000001"/>
    <n v="27509.577571490016"/>
    <n v="33420.95254197"/>
    <n v="7743.7849999999999"/>
    <n v="4.315842"/>
    <s v="-"/>
    <s v="-"/>
  </r>
  <r>
    <x v="8"/>
    <x v="0"/>
    <s v="Resumen"/>
    <n v="0"/>
    <n v="0"/>
    <n v="28509.579742100017"/>
    <n v="34420.954712580002"/>
    <n v="7975.49"/>
    <n v="4.315842"/>
    <n v="30.554102189998957"/>
    <n v="8.8844856842895756E-4"/>
  </r>
  <r>
    <x v="8"/>
    <x v="1"/>
    <s v="Resumen"/>
    <n v="0"/>
    <n v="0"/>
    <n v="20000.011684500001"/>
    <n v="20418.958314"/>
    <n v="3864.75"/>
    <n v="5.2833839999999999"/>
    <n v="23.517003749999276"/>
    <n v="1.1530519684406122E-3"/>
  </r>
  <r>
    <x v="9"/>
    <x v="0"/>
    <s v="Resumen"/>
    <n v="0"/>
    <n v="0"/>
    <n v="28509.579742100017"/>
    <n v="34390.400610390003"/>
    <n v="7975.49"/>
    <n v="4.312011"/>
    <n v="30.466371800008346"/>
    <n v="8.866830648873638E-4"/>
  </r>
  <r>
    <x v="9"/>
    <x v="1"/>
    <s v="Resumen"/>
    <n v="0"/>
    <n v="0"/>
    <n v="20000.011684500001"/>
    <n v="20395.44131025"/>
    <n v="3864.75"/>
    <n v="5.2772990000000002"/>
    <n v="23.269659749999846"/>
    <n v="1.1422277481856389E-3"/>
  </r>
  <r>
    <x v="10"/>
    <x v="0"/>
    <s v="Resumen"/>
    <n v="0"/>
    <n v="0"/>
    <n v="28509.579742100017"/>
    <n v="34359.934238589994"/>
    <n v="7975.49"/>
    <n v="4.3081909999999999"/>
    <n v="30.498273759993026"/>
    <n v="8.8840008298544883E-4"/>
  </r>
  <r>
    <x v="10"/>
    <x v="1"/>
    <s v="Resumen"/>
    <n v="0"/>
    <n v="0"/>
    <n v="20000.011684500001"/>
    <n v="20372.1716505"/>
    <n v="3864.75"/>
    <n v="5.2712779999999997"/>
    <n v="24.000097500000265"/>
    <n v="1.1794719460412253E-3"/>
  </r>
  <r>
    <x v="11"/>
    <x v="0"/>
    <s v="Resumen"/>
    <n v="0"/>
    <n v="0"/>
    <n v="28509.579742100017"/>
    <n v="34329.435964830001"/>
    <n v="7975.49"/>
    <n v="4.3043670000000001"/>
    <n v="30.905023749997781"/>
    <n v="9.0105969270489296E-4"/>
  </r>
  <r>
    <x v="11"/>
    <x v="1"/>
    <s v="Resumen"/>
    <n v="0"/>
    <n v="0"/>
    <n v="20000.011684500001"/>
    <n v="20348.171553"/>
    <n v="3864.75"/>
    <n v="5.2650680000000003"/>
    <n v="55.200224250002066"/>
    <n v="2.7201646991832102E-3"/>
  </r>
  <r>
    <x v="12"/>
    <x v="0"/>
    <s v="Resumen"/>
    <n v="0"/>
    <n v="0"/>
    <n v="28509.579742100017"/>
    <n v="34298.530941080004"/>
    <n v="7975.49"/>
    <n v="4.3004920000000002"/>
    <n v="97.444536820003123"/>
    <n v="2.8491649554109274E-3"/>
  </r>
  <r>
    <x v="12"/>
    <x v="1"/>
    <s v="Resumen"/>
    <n v="0"/>
    <n v="0"/>
    <n v="20000.011684500001"/>
    <n v="20292.971328749998"/>
    <n v="3864.75"/>
    <n v="5.2507849999999996"/>
    <n v="56.004092249997484"/>
    <n v="2.7674152750016686E-3"/>
  </r>
  <r>
    <x v="13"/>
    <x v="0"/>
    <s v="Resumen"/>
    <n v="0"/>
    <n v="0"/>
    <n v="28509.579742100017"/>
    <n v="34201.086404260001"/>
    <n v="7975.49"/>
    <n v="4.2882740000000004"/>
    <n v="32.882945270001073"/>
    <n v="9.6238437907551939E-4"/>
  </r>
  <r>
    <x v="13"/>
    <x v="1"/>
    <s v="Resumen"/>
    <n v="0"/>
    <n v="0"/>
    <n v="20000.011684500001"/>
    <n v="20236.967236500001"/>
    <n v="3864.75"/>
    <n v="5.236294"/>
    <n v="20.517957749998459"/>
    <n v="1.0149140171496504E-3"/>
  </r>
  <r>
    <x v="14"/>
    <x v="0"/>
    <s v="Resumen"/>
    <n v="0"/>
    <n v="0"/>
    <n v="28509.579742100017"/>
    <n v="34168.203458989999"/>
    <n v="7975.49"/>
    <n v="4.2841509999999996"/>
    <n v="33.329572710004868"/>
    <n v="9.7640825687637933E-4"/>
  </r>
  <r>
    <x v="14"/>
    <x v="1"/>
    <s v="Resumen"/>
    <n v="0"/>
    <n v="0"/>
    <n v="20000.011684500001"/>
    <n v="20216.449278750002"/>
    <n v="3864.75"/>
    <n v="5.2309850000000004"/>
    <n v="17.082195000002685"/>
    <n v="8.4567971507109056E-4"/>
  </r>
  <r>
    <x v="15"/>
    <x v="0"/>
    <s v="Resumen"/>
    <n v="0"/>
    <n v="0"/>
    <n v="28509.579742100017"/>
    <n v="34134.873886279995"/>
    <n v="7975.49"/>
    <n v="4.2799719999999999"/>
    <n v="33.433254079995095"/>
    <n v="9.8040591424248939E-4"/>
  </r>
  <r>
    <x v="15"/>
    <x v="1"/>
    <s v="Resumen"/>
    <n v="0"/>
    <n v="0"/>
    <n v="20000.011684500001"/>
    <n v="20199.367083749999"/>
    <n v="3864.75"/>
    <n v="5.2265649999999999"/>
    <n v="30.751815750001697"/>
    <n v="1.5247360982086056E-3"/>
  </r>
  <r>
    <x v="16"/>
    <x v="0"/>
    <s v="Resumen"/>
    <n v="0"/>
    <n v="0"/>
    <n v="28509.579742100017"/>
    <n v="34101.4406322"/>
    <n v="7975.49"/>
    <n v="4.2757800000000001"/>
    <n v="33.816077600000426"/>
    <n v="9.9261624613142881E-4"/>
  </r>
  <r>
    <x v="16"/>
    <x v="0"/>
    <s v="Rescate"/>
    <n v="-9000.0066337999815"/>
    <n v="-2106.9699999999957"/>
    <n v="28509.579742100017"/>
    <n v="34067.624554599999"/>
    <n v="7975.49"/>
    <n v="4.2715399999999999"/>
    <s v="-"/>
    <s v="-"/>
  </r>
  <r>
    <x v="16"/>
    <x v="1"/>
    <s v="Resumen"/>
    <n v="0"/>
    <n v="0"/>
    <n v="20000.011684500001"/>
    <n v="20168.615267999998"/>
    <n v="3864.75"/>
    <n v="5.2186079999999997"/>
    <n v="45.766369499997381"/>
    <n v="2.2743484151198051E-3"/>
  </r>
  <r>
    <x v="17"/>
    <x v="0"/>
    <s v="Resumen"/>
    <n v="0"/>
    <n v="0"/>
    <n v="37509.586375899999"/>
    <n v="43067.631188399981"/>
    <n v="10082.459999999995"/>
    <n v="4.2715399999999999"/>
    <n v="132.86665788000028"/>
    <n v="3.0946171321273091E-3"/>
  </r>
  <r>
    <x v="17"/>
    <x v="1"/>
    <s v="Resumen"/>
    <n v="0"/>
    <n v="0"/>
    <n v="20000.011684500001"/>
    <n v="20122.8488985"/>
    <n v="3864.75"/>
    <n v="5.206766"/>
    <n v="50.620495500003017"/>
    <n v="2.5219170728664744E-3"/>
  </r>
  <r>
    <x v="17"/>
    <x v="0"/>
    <s v="Suscripción"/>
    <n v="25000.034213220002"/>
    <n v="5870.81"/>
    <n v="37509.586375899999"/>
    <n v="42934.764530519984"/>
    <n v="10082.459999999995"/>
    <n v="4.258362"/>
    <s v="-"/>
    <s v="-"/>
  </r>
  <r>
    <x v="18"/>
    <x v="0"/>
    <s v="Resumen"/>
    <n v="0"/>
    <n v="0"/>
    <n v="12509.552162679996"/>
    <n v="17934.730317299978"/>
    <n v="4211.6499999999951"/>
    <n v="4.258362"/>
    <n v="18.468085249998694"/>
    <n v="1.0308001195117142E-3"/>
  </r>
  <r>
    <x v="18"/>
    <x v="1"/>
    <s v="Resumen"/>
    <n v="0"/>
    <n v="0"/>
    <n v="20000.011684500001"/>
    <n v="20072.228402999997"/>
    <n v="3864.75"/>
    <n v="5.1936679999999997"/>
    <n v="22.678352999995695"/>
    <n v="1.1311153089940899E-3"/>
  </r>
  <r>
    <x v="19"/>
    <x v="0"/>
    <s v="Resumen"/>
    <n v="0"/>
    <n v="0"/>
    <n v="12509.552162679996"/>
    <n v="17916.26223204998"/>
    <n v="4211.6499999999951"/>
    <n v="4.2539769999999999"/>
    <n v="18.556529899997258"/>
    <n v="1.0368105392284223E-3"/>
  </r>
  <r>
    <x v="19"/>
    <x v="1"/>
    <s v="Resumen"/>
    <n v="0"/>
    <n v="0"/>
    <n v="20000.011684500001"/>
    <n v="20049.550050000002"/>
    <n v="3864.75"/>
    <n v="5.1878000000000002"/>
    <n v="19.984622250001848"/>
    <n v="9.9775615811971375E-4"/>
  </r>
  <r>
    <x v="20"/>
    <x v="0"/>
    <s v="Resumen"/>
    <n v="0"/>
    <n v="0"/>
    <n v="12509.552162679996"/>
    <n v="17897.705702149982"/>
    <n v="4211.6499999999951"/>
    <n v="4.2495710000000004"/>
    <n v="18.699726000002556"/>
    <n v="1.0459041193312212E-3"/>
  </r>
  <r>
    <x v="20"/>
    <x v="1"/>
    <s v="Resumen"/>
    <n v="0"/>
    <n v="0"/>
    <n v="20000.011684500001"/>
    <n v="20029.56542775"/>
    <n v="3864.75"/>
    <n v="5.1826290000000004"/>
    <n v="29.553743249998661"/>
    <n v="1.4776862991987998E-3"/>
  </r>
  <r>
    <x v="20"/>
    <x v="1"/>
    <s v="Suscripción"/>
    <n v="20000.011684500001"/>
    <n v="3864.75"/>
    <n v="20000.011684500001"/>
    <n v="20000.011684500001"/>
    <n v="3864.75"/>
    <n v="5.174982"/>
    <s v="-"/>
    <s v="-"/>
  </r>
  <r>
    <x v="21"/>
    <x v="0"/>
    <s v="Resumen"/>
    <n v="0"/>
    <n v="0"/>
    <n v="12509.552162679996"/>
    <n v="17879.00597614998"/>
    <n v="4211.6499999999951"/>
    <n v="4.2451309999999998"/>
    <n v="18.708149300000514"/>
    <n v="1.0474712953484817E-3"/>
  </r>
  <r>
    <x v="21"/>
    <x v="0"/>
    <s v="Rescate"/>
    <n v="-20000.022275579999"/>
    <n v="-4716.22"/>
    <n v="12509.552162679996"/>
    <n v="17860.297826849979"/>
    <n v="4211.6499999999951"/>
    <n v="4.2406889999999997"/>
    <s v="-"/>
    <s v="-"/>
  </r>
  <r>
    <x v="22"/>
    <x v="0"/>
    <s v="Resumen"/>
    <n v="0"/>
    <n v="0"/>
    <n v="32509.574438259995"/>
    <n v="37860.320102429978"/>
    <n v="8927.8699999999953"/>
    <n v="4.2406889999999997"/>
    <n v="120.3298318599991"/>
    <n v="3.1917982294732182E-3"/>
  </r>
  <r>
    <x v="23"/>
    <x v="0"/>
    <s v="Resumen"/>
    <n v="0"/>
    <n v="0"/>
    <n v="32509.574438259995"/>
    <n v="37739.990270569979"/>
    <n v="8927.8699999999953"/>
    <n v="4.2272109999999996"/>
    <n v="40.291477309998299"/>
    <n v="1.0698873761585386E-3"/>
  </r>
  <r>
    <x v="24"/>
    <x v="0"/>
    <s v="Resumen"/>
    <n v="0"/>
    <n v="0"/>
    <n v="32509.574438259995"/>
    <n v="37699.69879325998"/>
    <n v="8927.8699999999953"/>
    <n v="4.2226980000000003"/>
    <n v="40.148631390002265"/>
    <n v="1.0672302870321764E-3"/>
  </r>
  <r>
    <x v="25"/>
    <x v="0"/>
    <s v="Resumen"/>
    <n v="0"/>
    <n v="0"/>
    <n v="32509.574438259995"/>
    <n v="37659.550161869978"/>
    <n v="8927.8699999999953"/>
    <n v="4.2182009999999996"/>
    <n v="40.086136300000362"/>
    <n v="1.0667031578926558E-3"/>
  </r>
  <r>
    <x v="26"/>
    <x v="0"/>
    <s v="Resumen"/>
    <n v="0"/>
    <n v="0"/>
    <n v="32509.574438259995"/>
    <n v="37619.464025569978"/>
    <n v="8927.8699999999953"/>
    <n v="4.213711"/>
    <n v="39.996857599995565"/>
    <n v="1.0678265296734308E-3"/>
  </r>
  <r>
    <x v="27"/>
    <x v="0"/>
    <s v="Resumen"/>
    <n v="0"/>
    <n v="0"/>
    <n v="32509.574438259995"/>
    <n v="37579.467167969982"/>
    <n v="8927.8699999999953"/>
    <n v="4.2092309999999999"/>
    <n v="123.14211090999743"/>
    <n v="3.2876185990591976E-3"/>
  </r>
  <r>
    <x v="27"/>
    <x v="0"/>
    <s v="Rescate"/>
    <n v="-1000.0246016800002"/>
    <n v="-238.36"/>
    <n v="32509.574438259995"/>
    <n v="37456.325057059985"/>
    <n v="8927.8699999999953"/>
    <n v="4.1954380000000002"/>
    <n v="0"/>
    <s v="-"/>
  </r>
  <r>
    <x v="28"/>
    <x v="0"/>
    <s v="Resumen"/>
    <n v="0"/>
    <n v="0"/>
    <n v="33509.599039939996"/>
    <n v="38456.349658739986"/>
    <n v="9166.2299999999959"/>
    <n v="4.1954380000000002"/>
    <n v="41.348863530001836"/>
    <n v="1.0775277772137706E-3"/>
  </r>
  <r>
    <x v="29"/>
    <x v="0"/>
    <s v="Resumen"/>
    <n v="0"/>
    <n v="0"/>
    <n v="33509.599039939996"/>
    <n v="38415.000795209984"/>
    <n v="9166.2299999999959"/>
    <n v="4.1909270000000003"/>
    <n v="41.174705159995938"/>
    <n v="1.074145191335087E-3"/>
  </r>
  <r>
    <x v="30"/>
    <x v="0"/>
    <s v="Resumen"/>
    <n v="0"/>
    <n v="0"/>
    <n v="33509.599039939996"/>
    <n v="38373.826090049988"/>
    <n v="9166.2299999999959"/>
    <n v="4.1864350000000004"/>
    <n v="41.293866150001122"/>
    <n v="1.0784144984869834E-3"/>
  </r>
  <r>
    <x v="31"/>
    <x v="0"/>
    <s v="Resumen"/>
    <n v="0"/>
    <n v="0"/>
    <n v="33509.599039939996"/>
    <n v="38332.532223899987"/>
    <n v="9166.2299999999959"/>
    <n v="4.1819300000000004"/>
    <n v="41.257201230000646"/>
    <n v="1.0810543366107565E-3"/>
  </r>
  <r>
    <x v="32"/>
    <x v="0"/>
    <s v="Resumen"/>
    <n v="0"/>
    <n v="0"/>
    <n v="33509.599039939996"/>
    <n v="38291.275022669986"/>
    <n v="9166.2299999999959"/>
    <n v="4.1774290000000001"/>
    <n v="127.41976322999835"/>
    <n v="3.338755017379424E-3"/>
  </r>
  <r>
    <x v="32"/>
    <x v="0"/>
    <s v="Suscripción"/>
    <n v="10509.827189280002"/>
    <n v="2524.2600000000002"/>
    <n v="33509.599039939996"/>
    <n v="38163.855259439988"/>
    <n v="9166.2299999999959"/>
    <n v="4.1635280000000003"/>
    <s v="-"/>
    <s v="-"/>
  </r>
  <r>
    <x v="33"/>
    <x v="0"/>
    <s v="Resumen"/>
    <n v="0"/>
    <n v="0"/>
    <n v="22999.771850659992"/>
    <n v="27654.028070159988"/>
    <n v="6641.9699999999966"/>
    <n v="4.1635280000000003"/>
    <n v="29.981852580000123"/>
    <n v="1.0853534034750427E-3"/>
  </r>
  <r>
    <x v="33"/>
    <x v="0"/>
    <s v="Rescate"/>
    <n v="-8000.0297895599997"/>
    <n v="-1923.54"/>
    <n v="22999.771850659992"/>
    <n v="27624.046217579988"/>
    <n v="6641.9699999999966"/>
    <n v="4.159014"/>
    <n v="3.637978807091713E-12"/>
    <n v="0"/>
  </r>
  <r>
    <x v="34"/>
    <x v="0"/>
    <s v="Resumen"/>
    <n v="0"/>
    <n v="0"/>
    <n v="30999.801640219994"/>
    <n v="35624.076007139985"/>
    <n v="8565.5099999999966"/>
    <n v="4.159014"/>
    <n v="38.467705409995688"/>
    <n v="1.0821553759218382E-3"/>
  </r>
  <r>
    <x v="35"/>
    <x v="0"/>
    <s v="Resumen"/>
    <n v="0"/>
    <n v="0"/>
    <n v="30999.801640219994"/>
    <n v="35585.60830172999"/>
    <n v="8565.5099999999966"/>
    <n v="4.1545230000000002"/>
    <n v="38.304960720000963"/>
    <n v="1.0787403246255308E-3"/>
  </r>
  <r>
    <x v="36"/>
    <x v="0"/>
    <s v="Resumen"/>
    <n v="0"/>
    <n v="0"/>
    <n v="30999.801640219994"/>
    <n v="35547.303341009989"/>
    <n v="8565.5099999999966"/>
    <n v="4.1500510000000004"/>
    <n v="38.330657250000513"/>
    <n v="1.0830012129614138E-3"/>
  </r>
  <r>
    <x v="37"/>
    <x v="0"/>
    <s v="Resumen"/>
    <n v="0"/>
    <n v="0"/>
    <n v="30999.801640219994"/>
    <n v="35508.972683759988"/>
    <n v="8565.5099999999966"/>
    <n v="4.1455760000000001"/>
    <n v="115.97700540000369"/>
    <n v="3.2803264239741675E-3"/>
  </r>
  <r>
    <x v="38"/>
    <x v="0"/>
    <s v="Resumen"/>
    <n v="0"/>
    <n v="0"/>
    <n v="30999.801640219994"/>
    <n v="35392.995678359985"/>
    <n v="8565.5099999999966"/>
    <n v="4.1320360000000003"/>
    <n v="37.671112979995087"/>
    <n v="1.0666221715292699E-3"/>
  </r>
  <r>
    <x v="38"/>
    <x v="0"/>
    <s v="Rescate"/>
    <n v="-13000.037157380002"/>
    <n v="-3149.51"/>
    <n v="30999.801640219994"/>
    <n v="35355.32456537999"/>
    <n v="8565.5099999999966"/>
    <n v="4.1276380000000001"/>
    <s v="-"/>
    <s v="-"/>
  </r>
  <r>
    <x v="39"/>
    <x v="0"/>
    <s v="Resumen"/>
    <n v="0"/>
    <n v="0"/>
    <n v="43999.838797599994"/>
    <n v="48355.36172275999"/>
    <n v="11715.019999999997"/>
    <n v="4.1276380000000001"/>
    <n v="50.854901820006489"/>
    <n v="1.0583844971174567E-3"/>
  </r>
  <r>
    <x v="40"/>
    <x v="0"/>
    <s v="Resumen"/>
    <n v="0"/>
    <n v="0"/>
    <n v="43999.838797599994"/>
    <n v="48304.506820939983"/>
    <n v="11715.019999999997"/>
    <n v="4.123297"/>
    <n v="254.95398025999748"/>
    <n v="5.3117255309894943E-3"/>
  </r>
  <r>
    <x v="40"/>
    <x v="0"/>
    <s v="Suscripción"/>
    <n v="20000.023136819997"/>
    <n v="4876.2299999999996"/>
    <n v="43999.838797599994"/>
    <n v="48049.552840679986"/>
    <n v="11715.019999999997"/>
    <n v="4.101534"/>
    <s v="-"/>
    <s v="-"/>
  </r>
  <r>
    <x v="41"/>
    <x v="0"/>
    <s v="Resumen"/>
    <n v="0"/>
    <n v="0"/>
    <n v="23999.815660780001"/>
    <n v="28049.529703859993"/>
    <n v="6838.7899999999981"/>
    <n v="4.101534"/>
    <n v="29.899189880001359"/>
    <n v="1.0681797747538306E-3"/>
  </r>
  <r>
    <x v="41"/>
    <x v="0"/>
    <s v="Rescate"/>
    <n v="-1000.0353009600001"/>
    <n v="-244.08"/>
    <n v="23999.815660780001"/>
    <n v="28019.630513979992"/>
    <n v="6838.7899999999981"/>
    <n v="4.097162"/>
    <s v="-"/>
    <s v="-"/>
  </r>
  <r>
    <x v="42"/>
    <x v="0"/>
    <s v="Resumen"/>
    <n v="0"/>
    <n v="0"/>
    <n v="24999.850961740001"/>
    <n v="29019.665814939992"/>
    <n v="7082.8699999999981"/>
    <n v="4.097162"/>
    <n v="29.875545659997442"/>
    <n v="1.0358683538533747E-3"/>
  </r>
  <r>
    <x v="43"/>
    <x v="0"/>
    <s v="Resumen"/>
    <n v="0"/>
    <n v="0"/>
    <n v="24999.850961740001"/>
    <n v="28989.790269279994"/>
    <n v="7082.8699999999981"/>
    <n v="4.0929440000000001"/>
    <n v="148.72610426000392"/>
    <n v="5.1621080910723201E-3"/>
  </r>
  <r>
    <x v="44"/>
    <x v="0"/>
    <s v="Resumen"/>
    <n v="0"/>
    <n v="0"/>
    <n v="24999.850961740001"/>
    <n v="28841.06416501999"/>
    <n v="7082.8699999999981"/>
    <n v="4.0719459999999996"/>
    <n v="29.946374359995389"/>
    <n v="1.0404795262026988E-3"/>
  </r>
  <r>
    <x v="44"/>
    <x v="0"/>
    <s v="Rescate"/>
    <n v="-2000.0155862400002"/>
    <n v="-491.68"/>
    <n v="24999.850961740001"/>
    <n v="28811.117790659995"/>
    <n v="7082.8699999999981"/>
    <n v="4.0677180000000002"/>
    <s v="-"/>
    <s v="-"/>
  </r>
  <r>
    <x v="45"/>
    <x v="0"/>
    <s v="Resumen"/>
    <n v="0"/>
    <n v="0"/>
    <n v="26999.86654798"/>
    <n v="30811.133376899994"/>
    <n v="7574.5499999999984"/>
    <n v="4.0677180000000002"/>
    <n v="31.866131849998055"/>
    <n v="1.0363860943444093E-3"/>
  </r>
  <r>
    <x v="45"/>
    <x v="0"/>
    <s v="Suscripción"/>
    <n v="9000.0267032400006"/>
    <n v="2214.84"/>
    <n v="26999.86654798"/>
    <n v="30779.267245049996"/>
    <n v="7574.5499999999984"/>
    <n v="4.0635110000000001"/>
    <s v="-"/>
    <s v="-"/>
  </r>
  <r>
    <x v="46"/>
    <x v="0"/>
    <s v="Resumen"/>
    <n v="0"/>
    <n v="0"/>
    <n v="17999.83984474"/>
    <n v="21779.240541809992"/>
    <n v="5359.7099999999982"/>
    <n v="4.0635110000000001"/>
    <n v="22.580458229997021"/>
    <n v="1.0389411825631545E-3"/>
  </r>
  <r>
    <x v="46"/>
    <x v="0"/>
    <s v="Rescate"/>
    <n v="-1000.0080623"/>
    <n v="-246.35"/>
    <n v="17999.83984474"/>
    <n v="21756.660083579995"/>
    <n v="5359.7099999999982"/>
    <n v="4.0592980000000001"/>
    <s v="-"/>
    <s v="-"/>
  </r>
  <r>
    <x v="47"/>
    <x v="0"/>
    <s v="Resumen"/>
    <n v="0"/>
    <n v="0"/>
    <n v="18999.847907039999"/>
    <n v="22756.668145879994"/>
    <n v="5606.0599999999986"/>
    <n v="4.0592980000000001"/>
    <n v="23.590300480002043"/>
    <n v="1.0409964077213365E-3"/>
  </r>
  <r>
    <x v="48"/>
    <x v="0"/>
    <s v="Resumen"/>
    <n v="0"/>
    <n v="0"/>
    <n v="18999.847907039999"/>
    <n v="22733.077845399992"/>
    <n v="5606.0599999999986"/>
    <n v="4.0550899999999999"/>
    <n v="71.808022539997182"/>
    <n v="3.1720536354176046E-3"/>
  </r>
  <r>
    <x v="49"/>
    <x v="0"/>
    <s v="Resumen"/>
    <n v="0"/>
    <n v="0"/>
    <n v="18999.847907039999"/>
    <n v="22661.269822859995"/>
    <n v="5606.0599999999986"/>
    <n v="4.042281"/>
    <n v="23.562270180002088"/>
    <n v="1.0419269624818044E-3"/>
  </r>
  <r>
    <x v="50"/>
    <x v="0"/>
    <s v="Resumen"/>
    <n v="0"/>
    <n v="0"/>
    <n v="18999.847907039999"/>
    <n v="22637.707552679993"/>
    <n v="5606.0599999999986"/>
    <n v="4.0380779999999996"/>
    <n v="23.579088359998423"/>
    <n v="1.0437537813119762E-3"/>
  </r>
  <r>
    <x v="51"/>
    <x v="0"/>
    <s v="Resumen"/>
    <n v="0"/>
    <n v="0"/>
    <n v="18999.847907039999"/>
    <n v="22614.128464319994"/>
    <n v="5606.0599999999986"/>
    <n v="4.0338719999999997"/>
    <n v="23.466967160002241"/>
    <n v="1.0398591991891287E-3"/>
  </r>
  <r>
    <x v="51"/>
    <x v="0"/>
    <s v="Rescate"/>
    <n v="-4000.0275110399998"/>
    <n v="-992.64"/>
    <n v="18999.847907039999"/>
    <n v="22590.661497159992"/>
    <n v="5606.0599999999986"/>
    <n v="4.0296859999999999"/>
    <s v="-"/>
    <m/>
  </r>
  <r>
    <x v="52"/>
    <x v="0"/>
    <s v="Resumen"/>
    <n v="0"/>
    <n v="0"/>
    <n v="22999.875418079999"/>
    <n v="26590.689008199995"/>
    <n v="6598.6999999999989"/>
    <n v="4.0296859999999999"/>
    <n v="27.325216699999146"/>
    <n v="1.031882194487673E-3"/>
  </r>
  <r>
    <x v="53"/>
    <x v="0"/>
    <s v="Resumen"/>
    <n v="0"/>
    <n v="0"/>
    <n v="22999.875418079999"/>
    <n v="26563.363791499996"/>
    <n v="6598.6999999999989"/>
    <n v="4.0255450000000002"/>
    <n v="82.417763000004925"/>
    <n v="3.1155461011024782E-3"/>
  </r>
  <r>
    <x v="54"/>
    <x v="0"/>
    <s v="Resumen"/>
    <n v="0"/>
    <n v="0"/>
    <n v="22999.875418079999"/>
    <n v="26480.946028499991"/>
    <n v="6598.6999999999989"/>
    <n v="4.0130549999999996"/>
    <n v="27.232834899994486"/>
    <n v="1.0294522625498756E-3"/>
  </r>
  <r>
    <x v="55"/>
    <x v="2"/>
    <s v="Rescate"/>
    <n v="-4810.3944375600004"/>
    <n v="-105.96"/>
    <n v="0"/>
    <n v="0"/>
    <n v="0"/>
    <n v="45.398211000000003"/>
    <s v="-"/>
    <m/>
  </r>
  <r>
    <x v="55"/>
    <x v="2"/>
    <s v="Resumen"/>
    <n v="0"/>
    <n v="0"/>
    <n v="5000.1536452799992"/>
    <n v="4810.3944375600004"/>
    <n v="105.96"/>
    <n v="45.398211000000003"/>
    <n v="-17.510101919999215"/>
    <n v="-3.6268533846954367E-3"/>
  </r>
  <r>
    <x v="55"/>
    <x v="0"/>
    <s v="Resumen"/>
    <n v="0"/>
    <n v="0"/>
    <n v="22999.875418079999"/>
    <n v="26453.713193599997"/>
    <n v="6598.6999999999989"/>
    <n v="4.008928"/>
    <n v="27.041472600001725"/>
    <n v="1.0232644082270495E-3"/>
  </r>
  <r>
    <x v="56"/>
    <x v="2"/>
    <s v="Resumen"/>
    <n v="0"/>
    <n v="0"/>
    <n v="5000.1536452799992"/>
    <n v="4827.9045394799996"/>
    <n v="105.96"/>
    <n v="45.563462999999999"/>
    <n v="11.881506719999379"/>
    <n v="2.467078466854919E-3"/>
  </r>
  <r>
    <x v="56"/>
    <x v="0"/>
    <s v="Resumen"/>
    <n v="0"/>
    <n v="0"/>
    <n v="22999.875418079999"/>
    <n v="26426.671720999995"/>
    <n v="6598.6999999999989"/>
    <n v="4.0048300000000001"/>
    <n v="27.371407599996019"/>
    <n v="1.0368232216406649E-3"/>
  </r>
  <r>
    <x v="57"/>
    <x v="2"/>
    <s v="Resumen"/>
    <n v="0"/>
    <n v="0"/>
    <n v="5000.1536452799992"/>
    <n v="4816.0230327600002"/>
    <n v="105.96"/>
    <n v="45.451331000000003"/>
    <n v="86.521849920000022"/>
    <n v="1.8294075120210664E-2"/>
  </r>
  <r>
    <x v="57"/>
    <x v="0"/>
    <s v="Resumen"/>
    <n v="0"/>
    <n v="0"/>
    <n v="22999.875418079999"/>
    <n v="26399.300313399999"/>
    <n v="6598.6999999999989"/>
    <n v="4.0006820000000003"/>
    <n v="27.391203700004553"/>
    <n v="1.038650769880238E-3"/>
  </r>
  <r>
    <x v="57"/>
    <x v="0"/>
    <s v="Suscripción"/>
    <n v="16000.03192788"/>
    <n v="4003.48"/>
    <n v="22999.875418079999"/>
    <n v="26371.909109699995"/>
    <n v="6598.6999999999989"/>
    <n v="3.9965310000000001"/>
    <s v="-"/>
    <m/>
  </r>
  <r>
    <x v="58"/>
    <x v="2"/>
    <s v="Resumen"/>
    <n v="0"/>
    <n v="0"/>
    <n v="5000.1536452799992"/>
    <n v="4729.5011828400002"/>
    <n v="105.96"/>
    <n v="44.634779000000002"/>
    <n v="23.478934680000748"/>
    <n v="4.9891253041101239E-3"/>
  </r>
  <r>
    <x v="58"/>
    <x v="0"/>
    <s v="Resumen"/>
    <n v="0"/>
    <n v="0"/>
    <n v="6999.843490199999"/>
    <n v="10371.877181819997"/>
    <n v="2595.2199999999993"/>
    <n v="3.9965310000000001"/>
    <n v="43.464744560000327"/>
    <n v="4.2082696468627081E-3"/>
  </r>
  <r>
    <x v="58"/>
    <x v="0"/>
    <s v="Rescate"/>
    <n v="-2000.00014882"/>
    <n v="-502.54"/>
    <n v="6999.843490199999"/>
    <n v="10328.412437259996"/>
    <n v="2595.2199999999993"/>
    <n v="3.9797829999999998"/>
    <s v="-"/>
    <m/>
  </r>
  <r>
    <x v="59"/>
    <x v="2"/>
    <s v="Resumen"/>
    <n v="0"/>
    <n v="0"/>
    <n v="5000.1536452799992"/>
    <n v="4706.0222481599994"/>
    <n v="105.96"/>
    <n v="44.413195999999999"/>
    <n v="40.740136559999883"/>
    <n v="8.7326201471722101E-3"/>
  </r>
  <r>
    <x v="59"/>
    <x v="0"/>
    <s v="Resumen"/>
    <n v="0"/>
    <n v="0"/>
    <n v="8999.8436390199986"/>
    <n v="12328.412586079996"/>
    <n v="3097.7599999999993"/>
    <n v="3.9797829999999998"/>
    <n v="12.899072639998849"/>
    <n v="1.0473840677388438E-3"/>
  </r>
  <r>
    <x v="60"/>
    <x v="2"/>
    <s v="Resumen"/>
    <n v="0"/>
    <n v="0"/>
    <n v="5000.1536452799992"/>
    <n v="4665.2821115999996"/>
    <n v="105.96"/>
    <n v="44.028709999999997"/>
    <n v="-62.541406560000723"/>
    <n v="-1.3228371642844374E-2"/>
  </r>
  <r>
    <x v="60"/>
    <x v="0"/>
    <s v="Resumen"/>
    <n v="0"/>
    <n v="0"/>
    <n v="8999.8436390199986"/>
    <n v="12315.513513439997"/>
    <n v="3097.7599999999993"/>
    <n v="3.975619"/>
    <n v="12.892877119998957"/>
    <n v="1.0479781097969835E-3"/>
  </r>
  <r>
    <x v="61"/>
    <x v="2"/>
    <s v="Resumen"/>
    <n v="0"/>
    <n v="0"/>
    <n v="5000.1536452799992"/>
    <n v="4727.8235181600003"/>
    <n v="105.96"/>
    <n v="44.618946000000001"/>
    <n v="73.724636880000617"/>
    <n v="1.5840797275825009E-2"/>
  </r>
  <r>
    <x v="61"/>
    <x v="0"/>
    <s v="Resumen"/>
    <n v="0"/>
    <n v="0"/>
    <n v="8999.8436390199986"/>
    <n v="12302.620636319998"/>
    <n v="3097.7599999999993"/>
    <n v="3.971457"/>
    <n v="12.908365920000506"/>
    <n v="1.050339148385878E-3"/>
  </r>
  <r>
    <x v="62"/>
    <x v="2"/>
    <s v="Resumen"/>
    <n v="0"/>
    <n v="0"/>
    <n v="5000.1536452799992"/>
    <n v="4654.0988812799997"/>
    <n v="105.96"/>
    <n v="43.923167999999997"/>
    <n v="64.178064719999384"/>
    <n v="1.398239039079956E-2"/>
  </r>
  <r>
    <x v="62"/>
    <x v="0"/>
    <s v="Resumen"/>
    <n v="0"/>
    <n v="0"/>
    <n v="8999.8436390199986"/>
    <n v="12289.712270399998"/>
    <n v="3097.7599999999993"/>
    <n v="3.9672900000000002"/>
    <n v="38.718902239999807"/>
    <n v="3.1604704268822391E-3"/>
  </r>
  <r>
    <x v="62"/>
    <x v="0"/>
    <s v="Rescate"/>
    <n v="-5000.0027133900003"/>
    <n v="-1264.29"/>
    <n v="8999.8436390199986"/>
    <n v="12250.993368159998"/>
    <n v="3097.7599999999993"/>
    <n v="3.9547910000000002"/>
    <s v="-"/>
    <m/>
  </r>
  <r>
    <x v="63"/>
    <x v="2"/>
    <s v="Resumen"/>
    <n v="0"/>
    <n v="0"/>
    <n v="5000.1536452799992"/>
    <n v="4589.9208165600003"/>
    <n v="105.96"/>
    <n v="43.317486000000002"/>
    <n v="8.1190790400005426"/>
    <n v="1.7720275789137245E-3"/>
  </r>
  <r>
    <x v="63"/>
    <x v="0"/>
    <s v="Resumen"/>
    <n v="0"/>
    <n v="0"/>
    <n v="13999.846352409999"/>
    <n v="17250.996081549998"/>
    <n v="4362.0499999999993"/>
    <n v="3.9547910000000002"/>
    <n v="18.163576200000534"/>
    <n v="1.0540099077944536E-3"/>
  </r>
  <r>
    <x v="64"/>
    <x v="2"/>
    <s v="Resumen"/>
    <n v="0"/>
    <n v="0"/>
    <n v="5000.1536452799992"/>
    <n v="4581.8017375199997"/>
    <n v="105.96"/>
    <n v="43.240862"/>
    <n v="84.947390280000036"/>
    <n v="1.8890402872874353E-2"/>
  </r>
  <r>
    <x v="64"/>
    <x v="0"/>
    <s v="Resumen"/>
    <n v="0"/>
    <n v="0"/>
    <n v="13999.846352409999"/>
    <n v="17232.832505349998"/>
    <n v="4362.0499999999993"/>
    <n v="3.9506269999999999"/>
    <n v="18.215920800001186"/>
    <n v="1.0581659318713789E-3"/>
  </r>
  <r>
    <x v="64"/>
    <x v="0"/>
    <s v="Rescate"/>
    <n v="-1000.0306834"/>
    <n v="-253.4"/>
    <n v="13999.846352409999"/>
    <n v="17214.616584549996"/>
    <n v="4362.0499999999993"/>
    <n v="3.9464510000000002"/>
    <s v="-"/>
    <m/>
  </r>
  <r>
    <x v="65"/>
    <x v="2"/>
    <s v="Resumen"/>
    <n v="0"/>
    <n v="0"/>
    <n v="5000.1536452799992"/>
    <n v="4496.8543472399997"/>
    <n v="105.96"/>
    <n v="42.439169"/>
    <n v="-224.01830088000042"/>
    <n v="-4.7452731216804038E-2"/>
  </r>
  <r>
    <x v="65"/>
    <x v="0"/>
    <s v="Resumen"/>
    <n v="0"/>
    <n v="0"/>
    <n v="14999.877035809999"/>
    <n v="18214.647267949997"/>
    <n v="4615.4499999999989"/>
    <n v="3.9464510000000002"/>
    <n v="19.389505449998978"/>
    <n v="1.0656351068552531E-3"/>
  </r>
  <r>
    <x v="66"/>
    <x v="2"/>
    <s v="Resumen"/>
    <n v="0"/>
    <n v="0"/>
    <n v="5000.1536452799992"/>
    <n v="4720.8726481200001"/>
    <n v="105.96"/>
    <n v="44.553347000000002"/>
    <n v="80.27519003999987"/>
    <n v="1.7298460115351813E-2"/>
  </r>
  <r>
    <x v="66"/>
    <x v="0"/>
    <s v="Resumen"/>
    <n v="0"/>
    <n v="0"/>
    <n v="14999.877035809999"/>
    <n v="18195.257762499998"/>
    <n v="4615.4499999999989"/>
    <n v="3.94225"/>
    <n v="78.402649150000798"/>
    <n v="4.3276081118640616E-3"/>
  </r>
  <r>
    <x v="67"/>
    <x v="2"/>
    <s v="Resumen"/>
    <n v="0"/>
    <n v="0"/>
    <n v="5000.1536452799992"/>
    <n v="4640.5974580800003"/>
    <n v="105.96"/>
    <n v="43.795748000000003"/>
    <n v="170.66786472000058"/>
    <n v="3.8181331753753905E-2"/>
  </r>
  <r>
    <x v="67"/>
    <x v="0"/>
    <s v="Resumen"/>
    <n v="0"/>
    <n v="0"/>
    <n v="14999.877035809999"/>
    <n v="18116.855113349997"/>
    <n v="4615.4499999999989"/>
    <n v="3.9252630000000002"/>
    <n v="19.841819550001674"/>
    <n v="1.0964140451174896E-3"/>
  </r>
  <r>
    <x v="68"/>
    <x v="2"/>
    <s v="Resumen"/>
    <n v="0"/>
    <n v="0"/>
    <n v="5000.1536452799992"/>
    <n v="4469.9295933599997"/>
    <n v="105.96"/>
    <n v="42.185065999999999"/>
    <n v="133.3445143200006"/>
    <n v="3.0748737056836214E-2"/>
  </r>
  <r>
    <x v="68"/>
    <x v="0"/>
    <s v="Resumen"/>
    <n v="0"/>
    <n v="0"/>
    <n v="14999.877035809999"/>
    <n v="18097.013293799995"/>
    <n v="4615.4499999999989"/>
    <n v="3.9209640000000001"/>
    <n v="19.841819549998036"/>
    <n v="1.0976174883478807E-3"/>
  </r>
  <r>
    <x v="68"/>
    <x v="0"/>
    <s v="Suscripción"/>
    <n v="5000.0145389999998"/>
    <n v="1276.5999999999999"/>
    <n v="14999.877035809999"/>
    <n v="18077.171474249997"/>
    <n v="4615.4499999999989"/>
    <n v="3.9166650000000001"/>
    <s v="-"/>
    <m/>
  </r>
  <r>
    <x v="69"/>
    <x v="2"/>
    <s v="Resumen"/>
    <n v="0"/>
    <n v="0"/>
    <n v="5000.1536452799992"/>
    <n v="4336.5850790399991"/>
    <n v="105.96"/>
    <n v="40.926623999999997"/>
    <n v="-139.54942596000092"/>
    <n v="-3.1176325421883293E-2"/>
  </r>
  <r>
    <x v="69"/>
    <x v="0"/>
    <s v="Resumen"/>
    <n v="0"/>
    <n v="0"/>
    <n v="9999.8624968099994"/>
    <n v="13077.156935249997"/>
    <n v="3338.8499999999995"/>
    <n v="3.9166650000000001"/>
    <n v="14.660890350000045"/>
    <n v="1.1223651513160974E-3"/>
  </r>
  <r>
    <x v="70"/>
    <x v="2"/>
    <s v="Resumen"/>
    <n v="0"/>
    <n v="0"/>
    <n v="5000.1536452799992"/>
    <n v="4476.134505"/>
    <n v="105.96"/>
    <n v="42.243625000000002"/>
    <n v="-72.958440119999977"/>
    <n v="-1.6038019227166047E-2"/>
  </r>
  <r>
    <x v="70"/>
    <x v="0"/>
    <s v="Resumen"/>
    <n v="0"/>
    <n v="0"/>
    <n v="9999.8624968099994"/>
    <n v="13062.496044899997"/>
    <n v="3338.8499999999995"/>
    <n v="3.912274"/>
    <n v="14.420493150000766"/>
    <n v="1.1051816103307699E-3"/>
  </r>
  <r>
    <x v="70"/>
    <x v="0"/>
    <s v="Rescate"/>
    <n v="-1000.0066049499999"/>
    <n v="-255.89"/>
    <n v="9999.8624968099994"/>
    <n v="13048.075551749997"/>
    <n v="3338.8499999999995"/>
    <n v="3.9079549999999998"/>
    <n v="0"/>
    <m/>
  </r>
  <r>
    <x v="70"/>
    <x v="0"/>
    <s v="Rescate"/>
    <n v="-10000.026969949999"/>
    <n v="-2558.89"/>
    <n v="10999.869101759999"/>
    <n v="14048.082156699997"/>
    <n v="3594.7399999999993"/>
    <n v="3.9079549999999998"/>
    <s v="-"/>
    <m/>
  </r>
  <r>
    <x v="71"/>
    <x v="2"/>
    <s v="Resumen"/>
    <n v="0"/>
    <n v="0"/>
    <n v="5000.1536452799992"/>
    <n v="4549.09294512"/>
    <n v="105.96"/>
    <n v="42.932172000000001"/>
    <n v="-118.51488252000036"/>
    <n v="-2.5390925479684689E-2"/>
  </r>
  <r>
    <x v="71"/>
    <x v="0"/>
    <s v="Resumen"/>
    <n v="0"/>
    <n v="0"/>
    <n v="20999.896071709998"/>
    <n v="24048.109126649997"/>
    <n v="6153.6299999999992"/>
    <n v="3.9079549999999998"/>
    <n v="81.301759559999482"/>
    <n v="3.3922649068243473E-3"/>
  </r>
  <r>
    <x v="71"/>
    <x v="0"/>
    <s v="Rescate"/>
    <n v="-1000.01421268"/>
    <n v="-256.76"/>
    <n v="20999.896071709998"/>
    <n v="23966.807367089998"/>
    <n v="6153.6299999999992"/>
    <n v="3.8947430000000001"/>
    <s v="-"/>
    <m/>
  </r>
  <r>
    <x v="72"/>
    <x v="2"/>
    <s v="Resumen"/>
    <n v="0"/>
    <n v="0"/>
    <n v="5000.1536452799992"/>
    <n v="4667.6078276400003"/>
    <n v="105.96"/>
    <n v="44.050659000000003"/>
    <n v="-81.418392479999056"/>
    <n v="-1.7144228881082513E-2"/>
  </r>
  <r>
    <x v="72"/>
    <x v="0"/>
    <s v="Resumen"/>
    <n v="0"/>
    <n v="0"/>
    <n v="21999.910284389996"/>
    <n v="24966.82157977"/>
    <n v="6410.3899999999994"/>
    <n v="3.8947430000000001"/>
    <n v="28.013404300003458"/>
    <n v="1.1232856078325156E-3"/>
  </r>
  <r>
    <x v="73"/>
    <x v="2"/>
    <s v="Resumen"/>
    <n v="0"/>
    <n v="0"/>
    <n v="5000.1536452799992"/>
    <n v="4749.0262201199994"/>
    <n v="105.96"/>
    <n v="44.819046999999998"/>
    <n v="-5.457469800000581"/>
    <n v="-1.147857507971061E-3"/>
  </r>
  <r>
    <x v="73"/>
    <x v="0"/>
    <s v="Resumen"/>
    <n v="0"/>
    <n v="0"/>
    <n v="21999.910284389996"/>
    <n v="24938.808175469996"/>
    <n v="6410.3899999999994"/>
    <n v="3.8903729999999999"/>
    <n v="28.077508199996373"/>
    <n v="1.1271250359946167E-3"/>
  </r>
  <r>
    <x v="73"/>
    <x v="0"/>
    <s v="Rescate"/>
    <n v="-9000.0375078599991"/>
    <n v="-2316.02"/>
    <n v="21999.910284389996"/>
    <n v="24910.73066727"/>
    <n v="6410.3899999999994"/>
    <n v="3.885993"/>
    <s v="-"/>
    <m/>
  </r>
  <r>
    <x v="74"/>
    <x v="2"/>
    <s v="Resumen"/>
    <n v="0"/>
    <n v="0"/>
    <n v="5000.1536452799992"/>
    <n v="4754.48368992"/>
    <n v="105.96"/>
    <n v="44.870552000000004"/>
    <n v="1.1177720400000908"/>
    <n v="2.3515379613337482E-4"/>
  </r>
  <r>
    <x v="74"/>
    <x v="0"/>
    <s v="Resumen"/>
    <n v="0"/>
    <n v="0"/>
    <n v="30999.947792249997"/>
    <n v="33910.768175129997"/>
    <n v="8726.41"/>
    <n v="3.885993"/>
    <n v="77.673775409995869"/>
    <n v="2.2957928261696718E-3"/>
  </r>
  <r>
    <x v="74"/>
    <x v="0"/>
    <s v="Rescate"/>
    <n v="-8000.0304037199994"/>
    <n v="-2063.41"/>
    <n v="30999.947792249997"/>
    <n v="33833.094399720001"/>
    <n v="8726.41"/>
    <n v="3.8770920000000002"/>
    <s v="-"/>
    <m/>
  </r>
  <r>
    <x v="75"/>
    <x v="2"/>
    <s v="Resumen"/>
    <n v="0"/>
    <n v="0"/>
    <n v="5000.1536452799992"/>
    <n v="4753.3659178799999"/>
    <n v="105.96"/>
    <n v="44.860002999999999"/>
    <n v="27.068223719999878"/>
    <n v="5.7271516674555958E-3"/>
  </r>
  <r>
    <x v="75"/>
    <x v="0"/>
    <s v="Resumen"/>
    <n v="0"/>
    <n v="0"/>
    <n v="38999.978195969998"/>
    <n v="41833.124803439998"/>
    <n v="10789.82"/>
    <n v="3.8770920000000002"/>
    <n v="140.22450071999629"/>
    <n v="3.3632704777521649E-3"/>
  </r>
  <r>
    <x v="76"/>
    <x v="2"/>
    <s v="Resumen"/>
    <n v="0"/>
    <n v="0"/>
    <n v="5000.1536452799992"/>
    <n v="4726.29769416"/>
    <n v="105.96"/>
    <n v="44.604545999999999"/>
    <n v="250.88318736000019"/>
    <n v="5.6058089586742223E-2"/>
  </r>
  <r>
    <x v="76"/>
    <x v="0"/>
    <s v="Resumen"/>
    <n v="0"/>
    <n v="0"/>
    <n v="38999.978195969998"/>
    <n v="41692.900302720001"/>
    <n v="10789.82"/>
    <n v="3.864096"/>
    <n v="46.061741580000671"/>
    <n v="1.1060081190166959E-3"/>
  </r>
  <r>
    <x v="77"/>
    <x v="2"/>
    <s v="Resumen"/>
    <n v="0"/>
    <n v="0"/>
    <n v="5000.1536452799992"/>
    <n v="4475.4145067999998"/>
    <n v="105.96"/>
    <n v="42.236829999999998"/>
    <n v="20.383949040000516"/>
    <n v="4.5754902858060748E-3"/>
  </r>
  <r>
    <x v="77"/>
    <x v="0"/>
    <s v="Resumen"/>
    <n v="0"/>
    <n v="0"/>
    <n v="38999.978195969998"/>
    <n v="41646.838561140001"/>
    <n v="10789.82"/>
    <n v="3.8598270000000001"/>
    <n v="46.417805639997823"/>
    <n v="1.1158013500107062E-3"/>
  </r>
  <r>
    <x v="77"/>
    <x v="0"/>
    <s v="Suscripción"/>
    <n v="19000.0272"/>
    <n v="4928"/>
    <n v="38999.978195969998"/>
    <n v="41600.420755500003"/>
    <n v="10789.82"/>
    <n v="3.8555250000000001"/>
    <s v="-"/>
    <m/>
  </r>
  <r>
    <x v="78"/>
    <x v="2"/>
    <s v="Resumen"/>
    <n v="0"/>
    <n v="0"/>
    <n v="5000.1536452799992"/>
    <n v="4455.0305577599993"/>
    <n v="105.96"/>
    <n v="42.044455999999997"/>
    <n v="71.994945839999673"/>
    <n v="1.6425818134857093E-2"/>
  </r>
  <r>
    <x v="78"/>
    <x v="0"/>
    <s v="Resumen"/>
    <n v="0"/>
    <n v="0"/>
    <n v="19999.950995969997"/>
    <n v="22600.393555499999"/>
    <n v="5861.82"/>
    <n v="3.8555250000000001"/>
    <n v="25.299615120002272"/>
    <n v="1.120687036200894E-3"/>
  </r>
  <r>
    <x v="79"/>
    <x v="2"/>
    <s v="Resumen"/>
    <n v="0"/>
    <n v="0"/>
    <n v="5000.1536452799992"/>
    <n v="4383.0356119199996"/>
    <n v="105.96"/>
    <n v="41.365001999999997"/>
    <n v="-52.438226520000171"/>
    <n v="-1.1822463265490399E-2"/>
  </r>
  <r>
    <x v="79"/>
    <x v="0"/>
    <s v="Resumen"/>
    <n v="0"/>
    <n v="0"/>
    <n v="19999.950995969997"/>
    <n v="22575.093940379997"/>
    <n v="5861.82"/>
    <n v="3.8512089999999999"/>
    <n v="25.299615119998634"/>
    <n v="1.1219443847280816E-3"/>
  </r>
  <r>
    <x v="80"/>
    <x v="2"/>
    <s v="Resumen"/>
    <n v="0"/>
    <n v="0"/>
    <n v="5000.1536452799992"/>
    <n v="4435.4738384399998"/>
    <n v="105.96"/>
    <n v="41.859889000000003"/>
    <n v="5.2630332000007911"/>
    <n v="1.1879870803835327E-3"/>
  </r>
  <r>
    <x v="80"/>
    <x v="0"/>
    <s v="Resumen"/>
    <n v="0"/>
    <n v="0"/>
    <n v="19999.950995969997"/>
    <n v="22549.794325259998"/>
    <n v="5861.82"/>
    <n v="3.8468930000000001"/>
    <n v="75.681958019999001"/>
    <n v="3.3675171140606138E-3"/>
  </r>
  <r>
    <x v="80"/>
    <x v="0"/>
    <s v="Rescate"/>
    <n v="-1000.0175250599999"/>
    <n v="-260.83"/>
    <n v="19999.950995969997"/>
    <n v="22474.112367239999"/>
    <n v="5861.82"/>
    <n v="3.8339819999999998"/>
    <s v="-"/>
    <m/>
  </r>
  <r>
    <x v="81"/>
    <x v="2"/>
    <s v="Resumen"/>
    <n v="0"/>
    <n v="0"/>
    <n v="5000.1536452799992"/>
    <n v="4430.210805239999"/>
    <n v="105.96"/>
    <n v="41.810218999999996"/>
    <n v="158.60813327999949"/>
    <n v="3.7130825467721583E-2"/>
  </r>
  <r>
    <x v="81"/>
    <x v="0"/>
    <s v="Resumen"/>
    <n v="0"/>
    <n v="0"/>
    <n v="20999.968521029998"/>
    <n v="23474.129892299996"/>
    <n v="6122.65"/>
    <n v="3.8339819999999998"/>
    <n v="26.10697959999743"/>
    <n v="1.1133979055375882E-3"/>
  </r>
  <r>
    <x v="82"/>
    <x v="2"/>
    <s v="Resumen"/>
    <n v="0"/>
    <n v="0"/>
    <n v="5000.1536452799992"/>
    <n v="4271.6026719599995"/>
    <n v="105.96"/>
    <n v="40.313350999999997"/>
    <n v="-37.657654200000252"/>
    <n v="-8.7387744879077779E-3"/>
  </r>
  <r>
    <x v="82"/>
    <x v="0"/>
    <s v="Resumen"/>
    <n v="0"/>
    <n v="0"/>
    <n v="20999.968521029998"/>
    <n v="23448.022912699998"/>
    <n v="6122.65"/>
    <n v="3.8297180000000002"/>
    <n v="26.015139849998377"/>
    <n v="1.1107134837585063E-3"/>
  </r>
  <r>
    <x v="83"/>
    <x v="2"/>
    <s v="Resumen"/>
    <n v="0"/>
    <n v="0"/>
    <n v="5000.1536452799992"/>
    <n v="4309.2603261599997"/>
    <n v="105.96"/>
    <n v="40.668745999999999"/>
    <n v="-45.19268172000011"/>
    <n v="-1.0378497973963096E-2"/>
  </r>
  <r>
    <x v="83"/>
    <x v="0"/>
    <s v="Resumen"/>
    <n v="0"/>
    <n v="0"/>
    <n v="20999.968521029998"/>
    <n v="23422.00777285"/>
    <n v="6122.65"/>
    <n v="3.825469"/>
    <n v="25.996771900001477"/>
    <n v="1.1111625780542498E-3"/>
  </r>
  <r>
    <x v="84"/>
    <x v="2"/>
    <s v="Resumen"/>
    <n v="0"/>
    <n v="0"/>
    <n v="5000.1536452799992"/>
    <n v="4354.4530078799999"/>
    <n v="105.96"/>
    <n v="41.095253"/>
    <n v="-12.723041039999771"/>
    <n v="-2.9133336731746043E-3"/>
  </r>
  <r>
    <x v="84"/>
    <x v="0"/>
    <s v="Resumen"/>
    <n v="0"/>
    <n v="0"/>
    <n v="20999.968521029998"/>
    <n v="23396.011000949999"/>
    <n v="6122.65"/>
    <n v="3.8212229999999998"/>
    <n v="25.892686849998427"/>
    <n v="1.1079399129261388E-3"/>
  </r>
  <r>
    <x v="85"/>
    <x v="2"/>
    <s v="Resumen"/>
    <n v="0"/>
    <n v="0"/>
    <n v="5000.1536452799992"/>
    <n v="4367.1760489199996"/>
    <n v="105.96"/>
    <n v="41.215327000000002"/>
    <n v="36.86592107999968"/>
    <n v="8.5134597734664412E-3"/>
  </r>
  <r>
    <x v="85"/>
    <x v="0"/>
    <s v="Resumen"/>
    <n v="0"/>
    <n v="0"/>
    <n v="20999.968521029998"/>
    <n v="23370.1183141"/>
    <n v="6122.65"/>
    <n v="3.8169940000000002"/>
    <n v="77.494381050000811"/>
    <n v="3.3269923248125397E-3"/>
  </r>
  <r>
    <x v="86"/>
    <x v="2"/>
    <s v="Resumen"/>
    <n v="0"/>
    <n v="0"/>
    <n v="5000.1536452799992"/>
    <n v="4330.31012784"/>
    <n v="105.96"/>
    <n v="40.867404000000001"/>
    <n v="-43.232633640000131"/>
    <n v="-9.8850373707950502E-3"/>
  </r>
  <r>
    <x v="86"/>
    <x v="0"/>
    <s v="Resumen"/>
    <n v="0"/>
    <n v="0"/>
    <n v="20999.968521029998"/>
    <n v="23292.623933049999"/>
    <n v="6122.65"/>
    <n v="3.8043369999999999"/>
    <n v="25.617167600001267"/>
    <n v="1.1010083015078513E-3"/>
  </r>
  <r>
    <x v="87"/>
    <x v="2"/>
    <s v="Resumen"/>
    <n v="0"/>
    <n v="0"/>
    <n v="5000.1536452799992"/>
    <n v="4373.5427614800001"/>
    <n v="105.96"/>
    <n v="41.275413"/>
    <n v="-100.66242383999997"/>
    <n v="-2.2498392378220915E-2"/>
  </r>
  <r>
    <x v="87"/>
    <x v="0"/>
    <s v="Resumen"/>
    <n v="0"/>
    <n v="0"/>
    <n v="20999.968521029998"/>
    <n v="23267.006765449998"/>
    <n v="6122.65"/>
    <n v="3.8001529999999999"/>
    <n v="25.445733399999881"/>
    <n v="1.0948375354353675E-3"/>
  </r>
  <r>
    <x v="87"/>
    <x v="0"/>
    <s v="Rescate"/>
    <n v="-2000.0348993599998"/>
    <n v="-526.88"/>
    <n v="20999.968521029998"/>
    <n v="23241.561032049998"/>
    <n v="6122.65"/>
    <n v="3.7959969999999998"/>
    <s v="-"/>
    <m/>
  </r>
  <r>
    <x v="88"/>
    <x v="2"/>
    <s v="Resumen"/>
    <n v="0"/>
    <n v="0"/>
    <n v="5000.1536452799992"/>
    <n v="4474.2051853200001"/>
    <n v="105.96"/>
    <n v="42.225417"/>
    <n v="-7.4208026399992377"/>
    <n v="-1.6558281882370685E-3"/>
  </r>
  <r>
    <x v="88"/>
    <x v="0"/>
    <s v="Resumen"/>
    <n v="0"/>
    <n v="0"/>
    <n v="23000.003420389996"/>
    <n v="25241.595931409996"/>
    <n v="6649.53"/>
    <n v="3.7959969999999998"/>
    <n v="27.622147619997122"/>
    <n v="1.0955094923497015E-3"/>
  </r>
  <r>
    <x v="89"/>
    <x v="2"/>
    <s v="Resumen"/>
    <n v="0"/>
    <n v="0"/>
    <n v="5000.1536452799992"/>
    <n v="4481.6259879599993"/>
    <n v="105.96"/>
    <n v="42.295451"/>
    <n v="282.65328011999918"/>
    <n v="6.7314864798299678E-2"/>
  </r>
  <r>
    <x v="89"/>
    <x v="0"/>
    <s v="Resumen"/>
    <n v="0"/>
    <n v="0"/>
    <n v="23000.003420389996"/>
    <n v="25213.973783789999"/>
    <n v="6649.53"/>
    <n v="3.7918430000000001"/>
    <n v="109.99652526000136"/>
    <n v="4.3816373846748326E-3"/>
  </r>
  <r>
    <x v="90"/>
    <x v="2"/>
    <s v="Resumen"/>
    <n v="0"/>
    <n v="0"/>
    <n v="5000.1536452799992"/>
    <n v="4198.9727078400001"/>
    <n v="105.96"/>
    <n v="39.627904000000001"/>
    <n v="-151.21382063999954"/>
    <n v="-3.4760307322462269E-2"/>
  </r>
  <r>
    <x v="90"/>
    <x v="0"/>
    <s v="Resumen"/>
    <n v="0"/>
    <n v="0"/>
    <n v="23000.003420389996"/>
    <n v="25103.977258529998"/>
    <n v="6649.53"/>
    <n v="3.7753009999999998"/>
    <n v="27.435960779999732"/>
    <n v="1.0940887124039197E-3"/>
  </r>
  <r>
    <x v="91"/>
    <x v="2"/>
    <s v="Resumen"/>
    <n v="0"/>
    <n v="0"/>
    <n v="5000.1536452799992"/>
    <n v="4350.1865284799997"/>
    <n v="105.96"/>
    <n v="41.054988000000002"/>
    <n v="-159.28998588000013"/>
    <n v="-3.5323387398239169E-2"/>
  </r>
  <r>
    <x v="91"/>
    <x v="0"/>
    <s v="Resumen"/>
    <n v="0"/>
    <n v="0"/>
    <n v="23000.003420389996"/>
    <n v="25076.541297749998"/>
    <n v="6649.53"/>
    <n v="3.7711749999999999"/>
    <n v="27.110133810001571"/>
    <n v="1.0822654467709915E-3"/>
  </r>
  <r>
    <x v="92"/>
    <x v="2"/>
    <s v="Resumen"/>
    <n v="0"/>
    <n v="0"/>
    <n v="5000.1536452799992"/>
    <n v="4509.4765143599998"/>
    <n v="105.96"/>
    <n v="42.558290999999997"/>
    <n v="-128.42574515999968"/>
    <n v="-2.7690481164493415E-2"/>
  </r>
  <r>
    <x v="92"/>
    <x v="0"/>
    <s v="Resumen"/>
    <n v="0"/>
    <n v="0"/>
    <n v="23000.003420389996"/>
    <n v="25049.431163939997"/>
    <n v="6649.53"/>
    <n v="3.7670979999999998"/>
    <n v="26.864101199997094"/>
    <n v="1.0735949326318706E-3"/>
  </r>
  <r>
    <x v="93"/>
    <x v="2"/>
    <s v="Resumen"/>
    <n v="0"/>
    <n v="0"/>
    <n v="5000.1536452799992"/>
    <n v="4637.9022595199995"/>
    <n v="105.96"/>
    <n v="43.770311999999997"/>
    <n v="57.650187000000187"/>
    <n v="1.2586684332480745E-2"/>
  </r>
  <r>
    <x v="93"/>
    <x v="0"/>
    <s v="Resumen"/>
    <n v="0"/>
    <n v="0"/>
    <n v="23000.003420389996"/>
    <n v="25022.56706274"/>
    <n v="6649.53"/>
    <n v="3.763058"/>
    <n v="26.850802140001178"/>
    <n v="1.074216152082188E-3"/>
  </r>
  <r>
    <x v="94"/>
    <x v="2"/>
    <s v="Resumen"/>
    <n v="0"/>
    <n v="0"/>
    <n v="5000.1536452799992"/>
    <n v="4580.2520725199993"/>
    <n v="105.96"/>
    <n v="43.226236999999998"/>
    <n v="-116.54805300000044"/>
    <n v="-2.4814352300566854E-2"/>
  </r>
  <r>
    <x v="94"/>
    <x v="0"/>
    <s v="Resumen"/>
    <n v="0"/>
    <n v="0"/>
    <n v="23000.003420389996"/>
    <n v="24995.716260599998"/>
    <n v="6649.53"/>
    <n v="3.75902"/>
    <n v="80.891532449997612"/>
    <n v="3.2467229182874652E-3"/>
  </r>
  <r>
    <x v="95"/>
    <x v="2"/>
    <s v="Resumen"/>
    <n v="0"/>
    <n v="0"/>
    <n v="5000.1536452799992"/>
    <n v="4696.8001255199997"/>
    <n v="105.96"/>
    <n v="44.326161999999997"/>
    <n v="-188.84371331999955"/>
    <n v="-3.8652779357088281E-2"/>
  </r>
  <r>
    <x v="95"/>
    <x v="0"/>
    <s v="Resumen"/>
    <n v="0"/>
    <n v="0"/>
    <n v="23000.003420389996"/>
    <n v="24914.824728150001"/>
    <n v="6649.53"/>
    <n v="3.746855"/>
    <n v="26.338788330001989"/>
    <n v="1.0582720215960915E-3"/>
  </r>
  <r>
    <x v="96"/>
    <x v="2"/>
    <s v="Resumen"/>
    <n v="0"/>
    <n v="0"/>
    <n v="5000.1536452799992"/>
    <n v="4885.6438388399993"/>
    <n v="105.96"/>
    <n v="46.108378999999999"/>
    <n v="-72.551553720000811"/>
    <n v="-1.4632653208638623E-2"/>
  </r>
  <r>
    <x v="96"/>
    <x v="0"/>
    <s v="Resumen"/>
    <n v="0"/>
    <n v="0"/>
    <n v="23000.003420389996"/>
    <n v="24888.485939819999"/>
    <n v="6649.53"/>
    <n v="3.7428940000000002"/>
    <n v="26.305540679997648"/>
    <n v="1.0580544528954667E-3"/>
  </r>
  <r>
    <x v="97"/>
    <x v="2"/>
    <s v="Resumen"/>
    <n v="0"/>
    <n v="0"/>
    <n v="5000.1536452799992"/>
    <n v="4958.1953925600001"/>
    <n v="105.96"/>
    <n v="46.793086000000002"/>
    <n v="10.328239080000458"/>
    <n v="2.0874123656969834E-3"/>
  </r>
  <r>
    <x v="97"/>
    <x v="0"/>
    <s v="Resumen"/>
    <n v="0"/>
    <n v="0"/>
    <n v="23000.003420389996"/>
    <n v="24862.180399140001"/>
    <n v="6649.53"/>
    <n v="3.7389380000000001"/>
    <n v="26.059508070004085"/>
    <n v="1.0492583839600892E-3"/>
  </r>
  <r>
    <x v="98"/>
    <x v="2"/>
    <s v="Resumen"/>
    <n v="0"/>
    <n v="0"/>
    <n v="5000.1536452799992"/>
    <n v="4947.8671534799996"/>
    <n v="105.96"/>
    <n v="46.695613000000002"/>
    <n v="-128.6280227999996"/>
    <n v="-2.5337958243517325E-2"/>
  </r>
  <r>
    <x v="98"/>
    <x v="0"/>
    <s v="Resumen"/>
    <n v="0"/>
    <n v="0"/>
    <n v="23000.003420389996"/>
    <n v="24836.120891069997"/>
    <n v="6649.53"/>
    <n v="3.7350189999999999"/>
    <n v="25.806825929998013"/>
    <n v="1.0401652257300054E-3"/>
  </r>
  <r>
    <x v="99"/>
    <x v="2"/>
    <s v="Resumen"/>
    <n v="0"/>
    <n v="0"/>
    <n v="5000.1536452799992"/>
    <n v="5076.4951762799992"/>
    <n v="105.96"/>
    <n v="47.909542999999999"/>
    <n v="-37.468515600000501"/>
    <n v="-7.3267073951841337E-3"/>
  </r>
  <r>
    <x v="99"/>
    <x v="0"/>
    <s v="Resumen"/>
    <n v="0"/>
    <n v="0"/>
    <n v="23000.003420389996"/>
    <n v="24810.314065139999"/>
    <n v="6649.53"/>
    <n v="3.7311380000000001"/>
    <n v="73.922825009998633"/>
    <n v="2.9884239900796377E-3"/>
  </r>
  <r>
    <x v="100"/>
    <x v="2"/>
    <s v="Resumen"/>
    <n v="0"/>
    <n v="0"/>
    <n v="5000.1536452799992"/>
    <n v="5113.9636918799997"/>
    <n v="105.96"/>
    <n v="48.263153000000003"/>
    <n v="-38.351480280000033"/>
    <n v="-7.4435431448813304E-3"/>
  </r>
  <r>
    <x v="100"/>
    <x v="0"/>
    <s v="Resumen"/>
    <n v="0"/>
    <n v="0"/>
    <n v="23000.003420389996"/>
    <n v="24736.39124013"/>
    <n v="6649.53"/>
    <n v="3.720021"/>
    <n v="24.257485440000892"/>
    <n v="9.8160222345822007E-4"/>
  </r>
  <r>
    <x v="101"/>
    <x v="2"/>
    <s v="Resumen"/>
    <n v="0"/>
    <n v="0"/>
    <n v="5000.1536452799992"/>
    <n v="5152.3151721599997"/>
    <n v="105.96"/>
    <n v="48.625095999999999"/>
    <n v="-11.479176599999846"/>
    <n v="-2.2230119607216624E-3"/>
  </r>
  <r>
    <x v="101"/>
    <x v="0"/>
    <s v="Resumen"/>
    <n v="0"/>
    <n v="0"/>
    <n v="23000.003420389996"/>
    <n v="24712.133754689999"/>
    <n v="6649.53"/>
    <n v="3.7163729999999999"/>
    <n v="24.224237790000188"/>
    <n v="9.8121867197448805E-4"/>
  </r>
  <r>
    <x v="102"/>
    <x v="2"/>
    <s v="Resumen"/>
    <n v="0"/>
    <n v="0"/>
    <n v="5000.1536452799992"/>
    <n v="5163.7943487599996"/>
    <n v="105.96"/>
    <n v="48.733431000000003"/>
    <n v="133.28348135999931"/>
    <n v="2.649501906928332E-2"/>
  </r>
  <r>
    <x v="102"/>
    <x v="0"/>
    <s v="Resumen"/>
    <n v="0"/>
    <n v="0"/>
    <n v="23000.003420389996"/>
    <n v="24687.909516899999"/>
    <n v="6649.53"/>
    <n v="3.7127300000000001"/>
    <n v="24.097896720002609"/>
    <n v="9.770548482573142E-4"/>
  </r>
  <r>
    <x v="103"/>
    <x v="2"/>
    <s v="Resumen"/>
    <n v="0"/>
    <n v="0"/>
    <n v="5000.1536452799992"/>
    <n v="5030.5108674000003"/>
    <n v="105.96"/>
    <n v="47.475565000000003"/>
    <n v="-167.40567419999934"/>
    <n v="-3.2206302825414201E-2"/>
  </r>
  <r>
    <x v="103"/>
    <x v="0"/>
    <s v="Resumen"/>
    <n v="0"/>
    <n v="0"/>
    <n v="23000.003420389996"/>
    <n v="24663.811620179997"/>
    <n v="6649.53"/>
    <n v="3.7091059999999998"/>
    <n v="23.964906119996158"/>
    <n v="9.7260776002811998E-4"/>
  </r>
  <r>
    <x v="103"/>
    <x v="0"/>
    <s v="Rescate"/>
    <n v="-2000.0076494800001"/>
    <n v="-539.74"/>
    <n v="23000.003420389996"/>
    <n v="24639.846714060001"/>
    <n v="6649.53"/>
    <n v="3.7055020000000001"/>
    <s v="-"/>
    <n v="0"/>
  </r>
  <r>
    <x v="104"/>
    <x v="2"/>
    <s v="Resumen"/>
    <n v="0"/>
    <n v="0"/>
    <n v="5000.1536452799992"/>
    <n v="5197.9165415999996"/>
    <n v="105.96"/>
    <n v="49.055459999999997"/>
    <n v="-42.336212039999737"/>
    <n v="-8.0790400826739397E-3"/>
  </r>
  <r>
    <x v="104"/>
    <x v="0"/>
    <s v="Resumen"/>
    <n v="0"/>
    <n v="0"/>
    <n v="25000.011069869997"/>
    <n v="26639.854363539998"/>
    <n v="7189.2699999999995"/>
    <n v="3.7055020000000001"/>
    <n v="75.861177040002076"/>
    <n v="2.8557896588587441E-3"/>
  </r>
  <r>
    <x v="105"/>
    <x v="2"/>
    <s v="Resumen"/>
    <n v="0"/>
    <n v="0"/>
    <n v="5000.1536452799992"/>
    <n v="5240.2527536399994"/>
    <n v="105.96"/>
    <n v="49.455008999999997"/>
    <n v="240.09910836000017"/>
    <n v="4.8018346113553205E-2"/>
  </r>
  <r>
    <x v="105"/>
    <x v="0"/>
    <s v="Resumen"/>
    <n v="0"/>
    <n v="0"/>
    <n v="25000.011069869997"/>
    <n v="26563.993186499996"/>
    <n v="7189.2699999999995"/>
    <n v="3.69495"/>
    <n v="25.176823539997713"/>
    <n v="9.4867921747783426E-4"/>
  </r>
  <r>
    <x v="106"/>
    <x v="2"/>
    <s v="Suscripción"/>
    <n v="5000.1536452799992"/>
    <n v="105.96"/>
    <n v="5000.1536452799992"/>
    <n v="5000.1536452799992"/>
    <n v="105.96"/>
    <n v="47.189067999999999"/>
    <s v="-"/>
    <s v="-"/>
  </r>
  <r>
    <x v="106"/>
    <x v="0"/>
    <s v="Resumen"/>
    <n v="0"/>
    <n v="0"/>
    <n v="25000.011069869997"/>
    <n v="26538.816362959999"/>
    <n v="7189.2699999999995"/>
    <n v="3.6914479999999998"/>
    <n v="25.385312369999156"/>
    <n v="9.5745104892537678E-4"/>
  </r>
  <r>
    <x v="106"/>
    <x v="0"/>
    <s v="Rescate"/>
    <n v="-5000.0041102599998"/>
    <n v="-1355.78"/>
    <n v="25000.011069869997"/>
    <n v="26513.431050589999"/>
    <n v="7189.2699999999995"/>
    <n v="3.6879170000000001"/>
    <n v="3.637978807091713E-12"/>
    <s v="-"/>
  </r>
  <r>
    <x v="107"/>
    <x v="0"/>
    <s v="Resumen"/>
    <n v="0"/>
    <n v="0"/>
    <n v="30000.015180129998"/>
    <n v="31513.435160849996"/>
    <n v="8545.0499999999993"/>
    <n v="3.6879170000000001"/>
    <n v="32.180658299999777"/>
    <n v="1.0232558392287809E-3"/>
  </r>
  <r>
    <x v="108"/>
    <x v="0"/>
    <s v="Resumen"/>
    <n v="0"/>
    <n v="0"/>
    <n v="30000.015180129998"/>
    <n v="31481.254502549997"/>
    <n v="8545.0499999999993"/>
    <n v="3.684151"/>
    <n v="31.975577099998191"/>
    <n v="1.0198355562859322E-3"/>
  </r>
  <r>
    <x v="109"/>
    <x v="0"/>
    <s v="Resumen"/>
    <n v="0"/>
    <n v="0"/>
    <n v="30000.015180129998"/>
    <n v="31449.278925449998"/>
    <n v="8545.0499999999993"/>
    <n v="3.680409"/>
    <n v="95.619109499999468"/>
    <n v="3.0528110400000088E-3"/>
  </r>
  <r>
    <x v="110"/>
    <x v="0"/>
    <s v="Resumen"/>
    <n v="0"/>
    <n v="0"/>
    <n v="30000.015180129998"/>
    <n v="31353.659815949999"/>
    <n v="8545.0499999999993"/>
    <n v="3.669219"/>
    <n v="31.999796009818965"/>
    <n v="1.0216507039998953E-3"/>
  </r>
  <r>
    <x v="110"/>
    <x v="0"/>
    <s v="Suscripción"/>
    <n v="5000"/>
    <n v="1364.08"/>
    <n v="30000.015180129998"/>
    <n v="31321.66001994018"/>
    <n v="8545.0499999999993"/>
    <n v="3.6654741657380803"/>
    <n v="0"/>
    <s v="-"/>
  </r>
  <r>
    <x v="111"/>
    <x v="0"/>
    <s v="Resumen"/>
    <n v="0"/>
    <n v="0"/>
    <n v="25000.015180129998"/>
    <n v="26321.66001994018"/>
    <n v="7180.9699999999993"/>
    <n v="3.6654741657380803"/>
    <n v="26.498969460182707"/>
    <n v="1.0087678872156146E-3"/>
  </r>
  <r>
    <x v="112"/>
    <x v="0"/>
    <s v="Resumen"/>
    <n v="0"/>
    <n v="0"/>
    <n v="25000.015180129998"/>
    <n v="26295.161050479997"/>
    <n v="7180.9699999999993"/>
    <n v="3.6617839999999999"/>
    <n v="26.512141240000346"/>
    <n v="1.0102795672325806E-3"/>
  </r>
  <r>
    <x v="113"/>
    <x v="0"/>
    <s v="Resumen"/>
    <n v="0"/>
    <n v="0"/>
    <n v="25000.015180129998"/>
    <n v="26268.648909239997"/>
    <n v="7180.9699999999993"/>
    <n v="3.6580919999999999"/>
    <n v="26.267988259998674"/>
    <n v="1.0040083482552313E-3"/>
  </r>
  <r>
    <x v="114"/>
    <x v="0"/>
    <s v="Resumen"/>
    <n v="0"/>
    <n v="0"/>
    <n v="25000.015180129998"/>
    <n v="26242.380920979998"/>
    <n v="7180.9699999999993"/>
    <n v="3.6544340000000002"/>
    <n v="79.263546860001952"/>
    <n v="3.0326325327454814E-3"/>
  </r>
  <r>
    <x v="115"/>
    <x v="0"/>
    <s v="Resumen"/>
    <n v="0"/>
    <n v="0"/>
    <n v="25000.015180129998"/>
    <n v="26163.117374119996"/>
    <n v="7180.9699999999993"/>
    <n v="3.6433960000000001"/>
    <n v="26.239264379997621"/>
    <n v="1.0049115257081743E-3"/>
  </r>
  <r>
    <x v="116"/>
    <x v="0"/>
    <s v="Resumen"/>
    <n v="0"/>
    <n v="0"/>
    <n v="25000.015180129998"/>
    <n v="26136.878109739999"/>
    <n v="7180.9699999999993"/>
    <n v="3.639742"/>
    <n v="25.858672970003681"/>
    <n v="9.913132767432806E-4"/>
  </r>
  <r>
    <x v="117"/>
    <x v="0"/>
    <s v="Resumen"/>
    <n v="0"/>
    <n v="0"/>
    <n v="25000.015180129998"/>
    <n v="26111.019436769995"/>
    <n v="7180.9699999999993"/>
    <n v="3.6361409999999998"/>
    <n v="25.750958419997914"/>
    <n v="9.8812731687057025E-4"/>
  </r>
  <r>
    <x v="118"/>
    <x v="0"/>
    <s v="Resumen"/>
    <n v="0"/>
    <n v="0"/>
    <n v="25000.015180129998"/>
    <n v="26085.268478349997"/>
    <n v="7180.9699999999993"/>
    <n v="3.632555"/>
    <n v="24.9036039599996"/>
    <n v="9.5833614275776552E-4"/>
  </r>
  <r>
    <x v="119"/>
    <x v="0"/>
    <s v="Resumen"/>
    <n v="0"/>
    <n v="0"/>
    <n v="25000.015180129998"/>
    <n v="26060.364874389998"/>
    <n v="7180.9699999999993"/>
    <n v="3.6290870000000002"/>
    <n v="74.071705549999024"/>
    <n v="2.8531305743575326E-3"/>
  </r>
  <r>
    <x v="120"/>
    <x v="0"/>
    <s v="Resumen"/>
    <n v="0"/>
    <n v="0"/>
    <n v="25000.015180129998"/>
    <n v="25986.293168839999"/>
    <n v="7180.9699999999993"/>
    <n v="3.6187719999999999"/>
    <n v="24.738441649999004"/>
    <n v="9.5360022144554124E-4"/>
  </r>
  <r>
    <x v="121"/>
    <x v="0"/>
    <s v="Resumen"/>
    <n v="0"/>
    <n v="0"/>
    <n v="25000.015180129998"/>
    <n v="25961.55472719"/>
    <n v="7180.9699999999993"/>
    <n v="3.6153270000000002"/>
    <n v="19.402980940001726"/>
    <n v="7.4847375895881934E-4"/>
  </r>
  <r>
    <x v="122"/>
    <x v="0"/>
    <s v="Resumen"/>
    <n v="0"/>
    <n v="0"/>
    <n v="25000.015180129998"/>
    <n v="25942.151746249998"/>
    <n v="7180.9699999999993"/>
    <n v="3.612625"/>
    <n v="18.756693639999867"/>
    <n v="7.2405013465061082E-4"/>
  </r>
  <r>
    <x v="123"/>
    <x v="0"/>
    <s v="Resumen"/>
    <n v="0"/>
    <n v="0"/>
    <n v="25000.015180129998"/>
    <n v="25923.395052609998"/>
    <n v="7180.9699999999993"/>
    <n v="3.6100129999999999"/>
    <n v="18.153492159999587"/>
    <n v="7.0221890618846075E-4"/>
  </r>
  <r>
    <x v="124"/>
    <x v="0"/>
    <s v="Resumen"/>
    <n v="0"/>
    <n v="0"/>
    <n v="25000.015180129998"/>
    <n v="25905.241560449998"/>
    <n v="7180.9699999999993"/>
    <n v="3.6074850000000001"/>
    <n v="53.627483960000973"/>
    <n v="2.075857757601148E-3"/>
  </r>
  <r>
    <x v="125"/>
    <x v="0"/>
    <s v="Resumen"/>
    <n v="0"/>
    <n v="0"/>
    <n v="25000.015180129998"/>
    <n v="25851.614076489997"/>
    <n v="7180.9699999999993"/>
    <n v="3.6000169999999998"/>
    <n v="17.722633960001986"/>
    <n v="6.8649700992720142E-4"/>
  </r>
  <r>
    <x v="126"/>
    <x v="0"/>
    <s v="Resumen"/>
    <n v="0"/>
    <n v="0"/>
    <n v="25000.015180129998"/>
    <n v="25833.891442529995"/>
    <n v="7180.9699999999993"/>
    <n v="3.5975489999999999"/>
    <n v="17.851891419995809"/>
    <m/>
  </r>
  <r>
    <x v="127"/>
    <x v="0"/>
    <s v="Resumen"/>
    <n v="0"/>
    <n v="0"/>
    <n v="25000.015180129998"/>
    <n v="25816.03955111"/>
    <n v="7180.9699999999993"/>
    <n v="3.5950630000000001"/>
    <n v="17.679548140000406"/>
    <n v="6.8529736533502164E-4"/>
  </r>
  <r>
    <x v="127"/>
    <x v="0"/>
    <s v="Rescate"/>
    <n v="-2000.0009767000001"/>
    <n v="-556.70000000000005"/>
    <n v="25000.015180129998"/>
    <n v="25798.360002969999"/>
    <n v="7180.9699999999993"/>
    <n v="3.5926010000000002"/>
    <s v=" "/>
    <n v="2.6602892659896016E-3"/>
  </r>
  <r>
    <x v="128"/>
    <x v="0"/>
    <s v="Resumen"/>
    <n v="0"/>
    <n v="0"/>
    <n v="27000.016156829999"/>
    <n v="27798.360979669997"/>
    <n v="7737.6699999999992"/>
    <n v="3.5926010000000002"/>
    <n v="73.755470439999044"/>
    <n v="3.3410247000674651E-3"/>
  </r>
  <r>
    <x v="129"/>
    <x v="0"/>
    <s v="Resumen"/>
    <n v="0"/>
    <n v="0"/>
    <n v="27000.016156829999"/>
    <n v="27724.605509229998"/>
    <n v="7737.6699999999992"/>
    <n v="3.5830690000000001"/>
    <n v="18.810275769999862"/>
    <n v="1.4194140684998847E-3"/>
  </r>
  <r>
    <x v="130"/>
    <x v="0"/>
    <s v="Resumen"/>
    <n v="0"/>
    <n v="0"/>
    <n v="27000.016156829999"/>
    <n v="27705.795233459998"/>
    <n v="7737.6699999999992"/>
    <n v="3.580638"/>
    <n v="20.486640737271955"/>
    <n v="7.3998238699986469E-4"/>
  </r>
  <r>
    <x v="130"/>
    <x v="3"/>
    <s v="Rescate"/>
    <n v="-20000"/>
    <n v="0"/>
    <n v="0"/>
    <m/>
    <n v="0"/>
    <s v="-"/>
    <n v="688.86000000000058"/>
    <s v="-"/>
  </r>
  <r>
    <x v="130"/>
    <x v="0"/>
    <s v="Suscripción"/>
    <n v="20000"/>
    <n v="5589.73"/>
    <n v="27000.016156829999"/>
    <n v="27685.308592722726"/>
    <n v="7737.6699999999992"/>
    <n v="3.5779903501600261"/>
    <n v="6.5970758627272517"/>
    <n v="8.5913839167436564E-4"/>
  </r>
  <r>
    <x v="131"/>
    <x v="3"/>
    <s v="Resumen"/>
    <n v="0"/>
    <n v="0"/>
    <n v="0"/>
    <e v="#VALUE!"/>
    <n v="0"/>
    <s v="-"/>
    <s v="-"/>
    <s v="-"/>
  </r>
  <r>
    <x v="131"/>
    <x v="0"/>
    <s v="Resumen"/>
    <n v="0"/>
    <n v="0"/>
    <n v="7000.0161568299991"/>
    <n v="7678.7115168599985"/>
    <n v="2147.9399999999996"/>
    <n v="3.574919"/>
    <n v="95.737981680000303"/>
    <n v="1.2625387815985243E-2"/>
  </r>
  <r>
    <x v="123"/>
    <x v="3"/>
    <s v="Resumen"/>
    <n v="0"/>
    <n v="0"/>
    <n v="0"/>
    <e v="#VALUE!"/>
    <n v="0"/>
    <s v="-"/>
    <s v="-"/>
    <s v="-"/>
  </r>
  <r>
    <x v="123"/>
    <x v="0"/>
    <s v="Resumen"/>
    <n v="0"/>
    <n v="0"/>
    <n v="7000.0161568299991"/>
    <n v="7582.9735351799982"/>
    <n v="2147.9399999999996"/>
    <n v="3.5303469999999999"/>
    <n v="16.788299040000311"/>
    <n v="2.2188591101114639E-3"/>
  </r>
  <r>
    <x v="132"/>
    <x v="3"/>
    <s v="Resumen"/>
    <n v="0"/>
    <n v="0"/>
    <n v="0"/>
    <e v="#VALUE!"/>
    <n v="0"/>
    <s v="-"/>
    <s v="-"/>
    <s v="-"/>
  </r>
  <r>
    <x v="132"/>
    <x v="0"/>
    <s v="Resumen"/>
    <n v="0"/>
    <n v="0"/>
    <n v="7000.0161568299991"/>
    <n v="7566.1852361399979"/>
    <n v="2147.9399999999996"/>
    <n v="3.5225309999999999"/>
    <n v="5.5975316399990334"/>
    <n v="7.4035668373606371E-4"/>
  </r>
  <r>
    <x v="133"/>
    <x v="3"/>
    <s v="Resumen"/>
    <n v="0"/>
    <n v="0"/>
    <n v="0"/>
    <e v="#VALUE!"/>
    <n v="0"/>
    <s v="-"/>
    <s v="-"/>
    <s v="-"/>
  </r>
  <r>
    <x v="133"/>
    <x v="0"/>
    <s v="Resumen"/>
    <n v="0"/>
    <n v="0"/>
    <n v="7000.0161568299991"/>
    <n v="7560.5877044999988"/>
    <n v="2147.9399999999996"/>
    <n v="3.5199250000000002"/>
    <n v="5.4879866999999649"/>
    <n v="7.2639500535914186E-4"/>
  </r>
  <r>
    <x v="134"/>
    <x v="3"/>
    <s v="Resumen"/>
    <n v="0"/>
    <n v="0"/>
    <n v="0"/>
    <e v="#VALUE!"/>
    <n v="0"/>
    <s v="-"/>
    <s v="-"/>
    <s v="-"/>
  </r>
  <r>
    <x v="134"/>
    <x v="0"/>
    <s v="Resumen"/>
    <n v="0"/>
    <n v="0"/>
    <n v="7000.0161568299991"/>
    <n v="7555.0997177999989"/>
    <n v="2147.9399999999996"/>
    <n v="3.5173700000000001"/>
    <n v="5.4407320200007234"/>
    <n v="7.2065930795656196E-4"/>
  </r>
  <r>
    <x v="135"/>
    <x v="3"/>
    <s v="Resumen"/>
    <n v="0"/>
    <n v="0"/>
    <n v="0"/>
    <e v="#VALUE!"/>
    <n v="0"/>
    <s v="-"/>
    <s v="-"/>
    <s v="-"/>
  </r>
  <r>
    <x v="135"/>
    <x v="0"/>
    <s v="Resumen"/>
    <n v="0"/>
    <n v="0"/>
    <n v="7000.0161568299991"/>
    <n v="7549.6589857799981"/>
    <n v="2147.9399999999996"/>
    <n v="3.514837"/>
    <n v="5.5717563600001085"/>
    <n v="7.3855937644411488E-4"/>
  </r>
  <r>
    <x v="136"/>
    <x v="0"/>
    <s v="Resumen"/>
    <n v="0"/>
    <n v="0"/>
    <n v="7000.0161568299991"/>
    <n v="7544.087229419998"/>
    <n v="2147.9399999999996"/>
    <n v="3.5122429999999998"/>
    <n v="16.461812159998772"/>
    <n v="2.18685325683903E-3"/>
  </r>
  <r>
    <x v="136"/>
    <x v="3"/>
    <s v="Resumen"/>
    <n v="0"/>
    <n v="0"/>
    <n v="0"/>
    <e v="#VALUE!"/>
    <n v="0"/>
    <s v="-"/>
    <s v="-"/>
    <s v="-"/>
  </r>
  <r>
    <x v="137"/>
    <x v="0"/>
    <s v="Resumen"/>
    <n v="0"/>
    <n v="0"/>
    <n v="7000.0161568299991"/>
    <n v="7527.6254172599993"/>
    <n v="2147.9399999999996"/>
    <n v="3.5045790000000001"/>
    <n v="12.464495820000593"/>
    <n v="1.6585800291302516E-3"/>
  </r>
  <r>
    <x v="137"/>
    <x v="3"/>
    <s v="Resumen"/>
    <n v="0"/>
    <n v="0"/>
    <n v="0"/>
    <e v="#VALUE!"/>
    <n v="0"/>
    <s v="-"/>
    <s v="-"/>
    <s v="-"/>
  </r>
  <r>
    <x v="138"/>
    <x v="0"/>
    <s v="Resumen"/>
    <n v="0"/>
    <n v="0"/>
    <n v="7000.0161568299991"/>
    <n v="7515.1609214399987"/>
    <n v="2147.9399999999996"/>
    <n v="3.4987759999999999"/>
    <n v="7.511346180000146"/>
    <n v="1.0004923784338422E-3"/>
  </r>
  <r>
    <x v="138"/>
    <x v="3"/>
    <s v="Suscripción"/>
    <n v="19311.14"/>
    <n v="0"/>
    <n v="0"/>
    <m/>
    <n v="0"/>
    <s v="-"/>
    <s v="-"/>
    <s v="-"/>
  </r>
  <r>
    <x v="139"/>
    <x v="0"/>
    <s v="Rescate"/>
    <n v="-20000.02139079"/>
    <n v="-5722.01"/>
    <n v="7000.0161568299991"/>
    <n v="7507.6495752599985"/>
    <n v="2147.9399999999996"/>
    <n v="3.495279"/>
    <s v="-"/>
    <n v="0"/>
  </r>
  <r>
    <x v="139"/>
    <x v="0"/>
    <s v="Resumen"/>
    <n v="0"/>
    <n v="0"/>
    <n v="27000.037547619999"/>
    <n v="27507.670966049998"/>
    <n v="7869.95"/>
    <n v="3.495279"/>
    <n v="286.09629235000102"/>
    <n v="1.0509909723422842E-2"/>
  </r>
  <r>
    <x v="140"/>
    <x v="0"/>
    <s v="Rescate"/>
    <n v="-5000.0158900400002"/>
    <n v="-1445.54"/>
    <n v="27000.037547619999"/>
    <n v="27221.574673699997"/>
    <n v="7869.95"/>
    <n v="3.4589259999999999"/>
    <n v="115.12082541999916"/>
    <n v="3.5855958739243994E-3"/>
  </r>
  <r>
    <x v="141"/>
    <x v="0"/>
    <s v="Suscripción"/>
    <n v="20000.020515840002"/>
    <n v="5802.88"/>
    <n v="32000.053437660001"/>
    <n v="32106.46973832"/>
    <n v="9315.49"/>
    <n v="3.4465680000000001"/>
    <n v="27.918224279999777"/>
    <n v="2.3113923608890454E-3"/>
  </r>
  <r>
    <x v="142"/>
    <x v="0"/>
    <s v="Resumen"/>
    <n v="0"/>
    <n v="0"/>
    <n v="12000.032921819999"/>
    <n v="12078.530998199998"/>
    <n v="3512.6099999999997"/>
    <n v="3.4386199999999998"/>
    <n v="65.703370049999648"/>
    <m/>
  </r>
  <r>
    <x v="143"/>
    <x v="0"/>
    <s v="Suscripción"/>
    <n v="7000.0188185999996"/>
    <n v="2046.84"/>
    <n v="12000.032921819999"/>
    <n v="12012.827628149998"/>
    <n v="3512.6099999999997"/>
    <n v="3.419915"/>
    <n v="12.794706329999826"/>
    <m/>
  </r>
  <r>
    <x v="144"/>
    <x v="0"/>
    <s v="Suscripción"/>
    <n v="5000.0141032199999"/>
    <n v="1465.77"/>
    <n v="5000.0141032199999"/>
    <n v="5000.0141032199999"/>
    <n v="1465.77"/>
    <n v="3.4111859999999998"/>
    <n v="0"/>
    <m/>
  </r>
  <r>
    <x v="144"/>
    <x v="1"/>
    <s v="Rescate"/>
    <n v="-5048.0336696599998"/>
    <n v="-1199.02"/>
    <n v="0"/>
    <n v="0"/>
    <n v="0"/>
    <n v="4.2101329999999999"/>
    <s v="-"/>
    <m/>
  </r>
  <r>
    <x v="144"/>
    <x v="1"/>
    <s v="Resumen"/>
    <n v="0"/>
    <n v="0"/>
    <n v="5000"/>
    <n v="5048.0336696599998"/>
    <n v="1199.02"/>
    <n v="4.2101329999999999"/>
    <n v="48.024348060000193"/>
    <m/>
  </r>
  <r>
    <x v="145"/>
    <x v="1"/>
    <s v="Suscripción"/>
    <n v="5000"/>
    <n v="1199.02"/>
    <n v="5000"/>
    <n v="5000.0093215999996"/>
    <n v="1199.02"/>
    <n v="4.1700799999999996"/>
    <s v="-"/>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8" firstHeaderRow="0" firstDataRow="1" firstDataCol="1"/>
  <pivotFields count="13">
    <pivotField axis="axisRow" numFmtId="14" showAll="0">
      <items count="15">
        <item x="0"/>
        <item x="1"/>
        <item x="2"/>
        <item x="3"/>
        <item x="4"/>
        <item x="5"/>
        <item x="6"/>
        <item x="7"/>
        <item x="8"/>
        <item x="9"/>
        <item sd="0" x="10"/>
        <item x="11"/>
        <item x="12"/>
        <item x="13"/>
        <item t="default"/>
      </items>
    </pivotField>
    <pivotField axis="axisRow" showAll="0">
      <items count="5">
        <item x="1"/>
        <item sd="0" x="2"/>
        <item x="0"/>
        <item sd="0" x="3"/>
        <item t="default"/>
      </items>
    </pivotField>
    <pivotField showAll="0"/>
    <pivotField numFmtId="44" showAll="0"/>
    <pivotField showAll="0"/>
    <pivotField numFmtId="168" showAll="0"/>
    <pivotField showAll="0"/>
    <pivotField numFmtId="2" showAll="0"/>
    <pivotField showAll="0"/>
    <pivotField dataField="1" showAll="0"/>
    <pivotField dataField="1" showAll="0"/>
    <pivotField axis="axisRow" showAll="0" defaultSubtotal="0">
      <items count="6">
        <item x="0"/>
        <item x="1"/>
        <item x="2"/>
        <item x="3"/>
        <item x="4"/>
        <item x="5"/>
      </items>
    </pivotField>
    <pivotField axis="axisRow" showAll="0" defaultSubtotal="0">
      <items count="4">
        <item x="0"/>
        <item sd="0" x="1"/>
        <item x="2"/>
        <item x="3"/>
      </items>
    </pivotField>
  </pivotFields>
  <rowFields count="4">
    <field x="1"/>
    <field x="12"/>
    <field x="11"/>
    <field x="0"/>
  </rowFields>
  <rowItems count="15">
    <i>
      <x/>
    </i>
    <i r="1">
      <x v="1"/>
    </i>
    <i r="1">
      <x v="2"/>
    </i>
    <i r="2">
      <x v="1"/>
    </i>
    <i r="3">
      <x v="1"/>
    </i>
    <i r="3">
      <x v="2"/>
    </i>
    <i>
      <x v="1"/>
    </i>
    <i>
      <x v="2"/>
    </i>
    <i r="1">
      <x v="1"/>
    </i>
    <i r="1">
      <x v="2"/>
    </i>
    <i r="2">
      <x v="1"/>
    </i>
    <i r="3">
      <x v="1"/>
    </i>
    <i r="3">
      <x v="2"/>
    </i>
    <i>
      <x v="3"/>
    </i>
    <i t="grand">
      <x/>
    </i>
  </rowItems>
  <colFields count="1">
    <field x="-2"/>
  </colFields>
  <colItems count="2">
    <i>
      <x/>
    </i>
    <i i="1">
      <x v="1"/>
    </i>
  </colItems>
  <dataFields count="2">
    <dataField name="Sum of Dif" fld="9" baseField="0" baseItem="0"/>
    <dataField name="Sum of Crecimiento" fld="10" baseField="1" baseItem="2" numFmtId="166"/>
  </dataFields>
  <formats count="8">
    <format dxfId="83">
      <pivotArea outline="0" collapsedLevelsAreSubtotals="1" fieldPosition="0">
        <references count="1">
          <reference field="4294967294" count="1" selected="0">
            <x v="1"/>
          </reference>
        </references>
      </pivotArea>
    </format>
    <format dxfId="82">
      <pivotArea dataOnly="0" labelOnly="1" outline="0" fieldPosition="0">
        <references count="1">
          <reference field="4294967294" count="1">
            <x v="1"/>
          </reference>
        </references>
      </pivotArea>
    </format>
    <format dxfId="81">
      <pivotArea outline="0" collapsedLevelsAreSubtotals="1" fieldPosition="0">
        <references count="1">
          <reference field="4294967294" count="1" selected="0">
            <x v="1"/>
          </reference>
        </references>
      </pivotArea>
    </format>
    <format dxfId="80">
      <pivotArea dataOnly="0" labelOnly="1" outline="0" fieldPosition="0">
        <references count="1">
          <reference field="4294967294" count="1">
            <x v="1"/>
          </reference>
        </references>
      </pivotArea>
    </format>
    <format dxfId="79">
      <pivotArea outline="0" collapsedLevelsAreSubtotals="1" fieldPosition="0">
        <references count="1">
          <reference field="4294967294" count="1" selected="0">
            <x v="1"/>
          </reference>
        </references>
      </pivotArea>
    </format>
    <format dxfId="78">
      <pivotArea dataOnly="0" labelOnly="1" outline="0" fieldPosition="0">
        <references count="1">
          <reference field="4294967294" count="1">
            <x v="1"/>
          </reference>
        </references>
      </pivotArea>
    </format>
    <format dxfId="77">
      <pivotArea outline="0" collapsedLevelsAreSubtotals="1" fieldPosition="0">
        <references count="1">
          <reference field="4294967294" count="1" selected="0">
            <x v="1"/>
          </reference>
        </references>
      </pivotArea>
    </format>
    <format dxfId="76">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52" firstHeaderRow="1" firstDataRow="2" firstDataCol="1"/>
  <pivotFields count="12">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5">
        <item h="1" x="3"/>
        <item h="1" x="0"/>
        <item h="1" x="2"/>
        <item x="1"/>
        <item t="default"/>
      </items>
    </pivotField>
    <pivotField showAll="0">
      <items count="4">
        <item h="1" x="1"/>
        <item x="0"/>
        <item x="2"/>
        <item t="default"/>
      </items>
    </pivotField>
    <pivotField numFmtId="44" showAll="0"/>
    <pivotField showAll="0"/>
    <pivotField numFmtId="44" showAll="0"/>
    <pivotField numFmtId="44" showAll="0"/>
    <pivotField showAll="0"/>
    <pivotField dataField="1" showAll="0"/>
    <pivotField showAll="0" defaultSubtotal="0"/>
    <pivotField showAll="0" defaultSubtotal="0"/>
    <pivotField axis="axisRow" showAll="0" defaultSubtotal="0">
      <items count="14">
        <item h="1" x="0"/>
        <item h="1" x="1"/>
        <item h="1" x="2"/>
        <item h="1" x="3"/>
        <item h="1" x="4"/>
        <item h="1" x="5"/>
        <item h="1" x="6"/>
        <item h="1" x="7"/>
        <item h="1" x="8"/>
        <item h="1" x="9"/>
        <item x="10"/>
        <item x="11"/>
        <item x="12"/>
        <item h="1" x="13"/>
      </items>
    </pivotField>
  </pivotFields>
  <rowFields count="2">
    <field x="11"/>
    <field x="0"/>
  </rowFields>
  <rowItems count="48">
    <i>
      <x v="10"/>
    </i>
    <i r="1">
      <x v="275"/>
    </i>
    <i r="1">
      <x v="276"/>
    </i>
    <i r="1">
      <x v="277"/>
    </i>
    <i r="1">
      <x v="278"/>
    </i>
    <i r="1">
      <x v="279"/>
    </i>
    <i r="1">
      <x v="282"/>
    </i>
    <i r="1">
      <x v="283"/>
    </i>
    <i r="1">
      <x v="284"/>
    </i>
    <i r="1">
      <x v="285"/>
    </i>
    <i r="1">
      <x v="286"/>
    </i>
    <i r="1">
      <x v="290"/>
    </i>
    <i r="1">
      <x v="291"/>
    </i>
    <i r="1">
      <x v="292"/>
    </i>
    <i r="1">
      <x v="293"/>
    </i>
    <i r="1">
      <x v="296"/>
    </i>
    <i r="1">
      <x v="297"/>
    </i>
    <i r="1">
      <x v="298"/>
    </i>
    <i r="1">
      <x v="299"/>
    </i>
    <i r="1">
      <x v="300"/>
    </i>
    <i r="1">
      <x v="303"/>
    </i>
    <i r="1">
      <x v="304"/>
    </i>
    <i r="1">
      <x v="305"/>
    </i>
    <i>
      <x v="11"/>
    </i>
    <i r="1">
      <x v="306"/>
    </i>
    <i r="1">
      <x v="307"/>
    </i>
    <i r="1">
      <x v="310"/>
    </i>
    <i r="1">
      <x v="312"/>
    </i>
    <i r="1">
      <x v="313"/>
    </i>
    <i r="1">
      <x v="314"/>
    </i>
    <i r="1">
      <x v="317"/>
    </i>
    <i r="1">
      <x v="318"/>
    </i>
    <i r="1">
      <x v="319"/>
    </i>
    <i r="1">
      <x v="320"/>
    </i>
    <i r="1">
      <x v="321"/>
    </i>
    <i r="1">
      <x v="325"/>
    </i>
    <i r="1">
      <x v="326"/>
    </i>
    <i r="1">
      <x v="327"/>
    </i>
    <i r="1">
      <x v="328"/>
    </i>
    <i r="1">
      <x v="331"/>
    </i>
    <i r="1">
      <x v="332"/>
    </i>
    <i r="1">
      <x v="333"/>
    </i>
    <i r="1">
      <x v="334"/>
    </i>
    <i>
      <x v="12"/>
    </i>
    <i r="1">
      <x v="338"/>
    </i>
    <i r="1">
      <x v="339"/>
    </i>
    <i r="1">
      <x v="340"/>
    </i>
    <i t="grand">
      <x/>
    </i>
  </rowItems>
  <colFields count="1">
    <field x="1"/>
  </colFields>
  <colItems count="2">
    <i>
      <x v="3"/>
    </i>
    <i t="grand">
      <x/>
    </i>
  </colItems>
  <dataFields count="1">
    <dataField name="Min of Valor Cuotaparte" fld="8" subtotal="min" baseField="0" baseItem="200"/>
  </dataFields>
  <chartFormats count="1">
    <chartFormat chart="1"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ombre_Inversión" sourceName="Nombre Inversión">
  <pivotTables>
    <pivotTable tabId="4" name="PivotTable1"/>
  </pivotTables>
  <data>
    <tabular pivotCacheId="1">
      <items count="4">
        <i x="1" s="1"/>
        <i x="0"/>
        <i x="3"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echa" sourceName="Fecha">
  <pivotTables>
    <pivotTable tabId="4" name="PivotTable1"/>
  </pivotTables>
  <data>
    <tabular pivotCacheId="1">
      <items count="368">
        <i x="306" s="1"/>
        <i x="275" s="1"/>
        <i x="307" s="1"/>
        <i x="276" s="1"/>
        <i x="338" s="1"/>
        <i x="277" s="1"/>
        <i x="339" s="1"/>
        <i x="278" s="1"/>
        <i x="340" s="1"/>
        <i x="310" s="1"/>
        <i x="279" s="1"/>
        <i x="312" s="1"/>
        <i x="313" s="1"/>
        <i x="282" s="1"/>
        <i x="314" s="1"/>
        <i x="283" s="1"/>
        <i x="284" s="1"/>
        <i x="285" s="1"/>
        <i x="317" s="1"/>
        <i x="286" s="1"/>
        <i x="318" s="1"/>
        <i x="319" s="1"/>
        <i x="320" s="1"/>
        <i x="321" s="1"/>
        <i x="290" s="1"/>
        <i x="291" s="1"/>
        <i x="292" s="1"/>
        <i x="293" s="1"/>
        <i x="325" s="1"/>
        <i x="326" s="1"/>
        <i x="327" s="1"/>
        <i x="296" s="1"/>
        <i x="328" s="1"/>
        <i x="297" s="1"/>
        <i x="298" s="1"/>
        <i x="299" s="1"/>
        <i x="331" s="1"/>
        <i x="300" s="1"/>
        <i x="332" s="1"/>
        <i x="333" s="1"/>
        <i x="334" s="1"/>
        <i x="303" s="1"/>
        <i x="304" s="1"/>
        <i x="305" s="1"/>
        <i x="0" s="1" nd="1"/>
        <i x="367" s="1" nd="1"/>
        <i x="92" s="1" nd="1"/>
        <i x="214" s="1" nd="1"/>
        <i x="336" s="1" nd="1"/>
        <i x="32" s="1" nd="1"/>
        <i x="1" s="1" nd="1"/>
        <i x="183" s="1" nd="1"/>
        <i x="153" s="1" nd="1"/>
        <i x="61" s="1" nd="1"/>
        <i x="122" s="1" nd="1"/>
        <i x="245" s="1" nd="1"/>
        <i x="93" s="1" nd="1"/>
        <i x="215" s="1" nd="1"/>
        <i x="337" s="1" nd="1"/>
        <i x="33" s="1" nd="1"/>
        <i x="2" s="1" nd="1"/>
        <i x="184" s="1" nd="1"/>
        <i x="154" s="1" nd="1"/>
        <i x="62" s="1" nd="1"/>
        <i x="123" s="1" nd="1"/>
        <i x="246" s="1" nd="1"/>
        <i x="94" s="1" nd="1"/>
        <i x="216" s="1" nd="1"/>
        <i x="34" s="1" nd="1"/>
        <i x="3" s="1" nd="1"/>
        <i x="185" s="1" nd="1"/>
        <i x="155" s="1" nd="1"/>
        <i x="63" s="1" nd="1"/>
        <i x="124" s="1" nd="1"/>
        <i x="308" s="1" nd="1"/>
        <i x="247" s="1" nd="1"/>
        <i x="95" s="1" nd="1"/>
        <i x="217" s="1" nd="1"/>
        <i x="35" s="1" nd="1"/>
        <i x="4" s="1" nd="1"/>
        <i x="186" s="1" nd="1"/>
        <i x="156" s="1" nd="1"/>
        <i x="64" s="1" nd="1"/>
        <i x="125" s="1" nd="1"/>
        <i x="309" s="1" nd="1"/>
        <i x="248" s="1" nd="1"/>
        <i x="96" s="1" nd="1"/>
        <i x="218" s="1" nd="1"/>
        <i x="36" s="1" nd="1"/>
        <i x="5" s="1" nd="1"/>
        <i x="187" s="1" nd="1"/>
        <i x="157" s="1" nd="1"/>
        <i x="65" s="1" nd="1"/>
        <i x="126"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281" s="1" nd="1"/>
        <i x="251" s="1" nd="1"/>
        <i x="99" s="1" nd="1"/>
        <i x="221" s="1" nd="1"/>
        <i x="343" s="1" nd="1"/>
        <i x="39" s="1" nd="1"/>
        <i x="8" s="1" nd="1"/>
        <i x="190" s="1" nd="1"/>
        <i x="160" s="1" nd="1"/>
        <i x="68" s="1" nd="1"/>
        <i x="129" s="1" nd="1"/>
        <i x="252" s="1" nd="1"/>
        <i x="100" s="1" nd="1"/>
        <i x="222" s="1" nd="1"/>
        <i x="344" s="1" nd="1"/>
        <i x="40" s="1" nd="1"/>
        <i x="9" s="1" nd="1"/>
        <i x="191" s="1" nd="1"/>
        <i x="161" s="1" nd="1"/>
        <i x="69" s="1" nd="1"/>
        <i x="130" s="1" nd="1"/>
        <i x="253" s="1" nd="1"/>
        <i x="101" s="1" nd="1"/>
        <i x="223" s="1" nd="1"/>
        <i x="345" s="1" nd="1"/>
        <i x="41" s="1" nd="1"/>
        <i x="10" s="1" nd="1"/>
        <i x="192" s="1" nd="1"/>
        <i x="162" s="1" nd="1"/>
        <i x="70" s="1" nd="1"/>
        <i x="131" s="1" nd="1"/>
        <i x="315" s="1" nd="1"/>
        <i x="254" s="1" nd="1"/>
        <i x="102" s="1" nd="1"/>
        <i x="224" s="1" nd="1"/>
        <i x="346" s="1" nd="1"/>
        <i x="42" s="1" nd="1"/>
        <i x="11" s="1" nd="1"/>
        <i x="193" s="1" nd="1"/>
        <i x="163" s="1" nd="1"/>
        <i x="71" s="1" nd="1"/>
        <i x="132" s="1" nd="1"/>
        <i x="316" s="1" nd="1"/>
        <i x="255" s="1" nd="1"/>
        <i x="103" s="1" nd="1"/>
        <i x="225" s="1" nd="1"/>
        <i x="347" s="1" nd="1"/>
        <i x="43" s="1" nd="1"/>
        <i x="12" s="1" nd="1"/>
        <i x="194" s="1" nd="1"/>
        <i x="164" s="1" nd="1"/>
        <i x="72" s="1" nd="1"/>
        <i x="133" s="1" nd="1"/>
        <i x="256" s="1" nd="1"/>
        <i x="104" s="1" nd="1"/>
        <i x="226" s="1" nd="1"/>
        <i x="348" s="1" nd="1"/>
        <i x="44" s="1" nd="1"/>
        <i x="13" s="1" nd="1"/>
        <i x="195" s="1" nd="1"/>
        <i x="165" s="1" nd="1"/>
        <i x="73" s="1" nd="1"/>
        <i x="134" s="1" nd="1"/>
        <i x="287" s="1" nd="1"/>
        <i x="257" s="1" nd="1"/>
        <i x="105" s="1" nd="1"/>
        <i x="227" s="1" nd="1"/>
        <i x="349" s="1" nd="1"/>
        <i x="45" s="1" nd="1"/>
        <i x="14" s="1" nd="1"/>
        <i x="196" s="1" nd="1"/>
        <i x="166" s="1" nd="1"/>
        <i x="74" s="1" nd="1"/>
        <i x="135" s="1" nd="1"/>
        <i x="288" s="1" nd="1"/>
        <i x="258" s="1" nd="1"/>
        <i x="106" s="1" nd="1"/>
        <i x="228" s="1" nd="1"/>
        <i x="350" s="1" nd="1"/>
        <i x="46" s="1" nd="1"/>
        <i x="15" s="1" nd="1"/>
        <i x="197" s="1" nd="1"/>
        <i x="167" s="1" nd="1"/>
        <i x="75" s="1" nd="1"/>
        <i x="136" s="1" nd="1"/>
        <i x="289" s="1" nd="1"/>
        <i x="259" s="1" nd="1"/>
        <i x="107" s="1" nd="1"/>
        <i x="229" s="1" nd="1"/>
        <i x="351" s="1" nd="1"/>
        <i x="47" s="1" nd="1"/>
        <i x="16" s="1" nd="1"/>
        <i x="198" s="1" nd="1"/>
        <i x="168" s="1" nd="1"/>
        <i x="76" s="1" nd="1"/>
        <i x="137" s="1" nd="1"/>
        <i x="260" s="1" nd="1"/>
        <i x="108" s="1" nd="1"/>
        <i x="230" s="1" nd="1"/>
        <i x="352" s="1" nd="1"/>
        <i x="48" s="1" nd="1"/>
        <i x="17" s="1" nd="1"/>
        <i x="199" s="1" nd="1"/>
        <i x="169" s="1" nd="1"/>
        <i x="77" s="1" nd="1"/>
        <i x="138" s="1" nd="1"/>
        <i x="322" s="1" nd="1"/>
        <i x="261" s="1" nd="1"/>
        <i x="109" s="1" nd="1"/>
        <i x="231" s="1" nd="1"/>
        <i x="353" s="1" nd="1"/>
        <i x="49" s="1" nd="1"/>
        <i x="18" s="1" nd="1"/>
        <i x="200" s="1" nd="1"/>
        <i x="170" s="1" nd="1"/>
        <i x="78" s="1" nd="1"/>
        <i x="139" s="1" nd="1"/>
        <i x="323" s="1" nd="1"/>
        <i x="262" s="1" nd="1"/>
        <i x="110" s="1" nd="1"/>
        <i x="232" s="1" nd="1"/>
        <i x="354" s="1" nd="1"/>
        <i x="50" s="1" nd="1"/>
        <i x="19" s="1" nd="1"/>
        <i x="201" s="1" nd="1"/>
        <i x="171" s="1" nd="1"/>
        <i x="79" s="1" nd="1"/>
        <i x="140" s="1" nd="1"/>
        <i x="324" s="1" nd="1"/>
        <i x="263" s="1" nd="1"/>
        <i x="111" s="1" nd="1"/>
        <i x="233" s="1" nd="1"/>
        <i x="355" s="1" nd="1"/>
        <i x="51" s="1" nd="1"/>
        <i x="20" s="1" nd="1"/>
        <i x="202" s="1" nd="1"/>
        <i x="172" s="1" nd="1"/>
        <i x="80" s="1" nd="1"/>
        <i x="141" s="1" nd="1"/>
        <i x="294" s="1" nd="1"/>
        <i x="264" s="1" nd="1"/>
        <i x="112" s="1" nd="1"/>
        <i x="234" s="1" nd="1"/>
        <i x="356" s="1" nd="1"/>
        <i x="52" s="1" nd="1"/>
        <i x="21" s="1" nd="1"/>
        <i x="203" s="1" nd="1"/>
        <i x="173" s="1" nd="1"/>
        <i x="81" s="1" nd="1"/>
        <i x="142" s="1" nd="1"/>
        <i x="295" s="1" nd="1"/>
        <i x="265" s="1" nd="1"/>
        <i x="113" s="1" nd="1"/>
        <i x="235" s="1" nd="1"/>
        <i x="357" s="1" nd="1"/>
        <i x="53" s="1" nd="1"/>
        <i x="22" s="1" nd="1"/>
        <i x="204" s="1" nd="1"/>
        <i x="174" s="1" nd="1"/>
        <i x="82" s="1" nd="1"/>
        <i x="143" s="1" nd="1"/>
        <i x="266" s="1" nd="1"/>
        <i x="114" s="1" nd="1"/>
        <i x="236" s="1" nd="1"/>
        <i x="358" s="1" nd="1"/>
        <i x="54" s="1" nd="1"/>
        <i x="23" s="1" nd="1"/>
        <i x="205" s="1" nd="1"/>
        <i x="175" s="1" nd="1"/>
        <i x="83" s="1" nd="1"/>
        <i x="144" s="1" nd="1"/>
        <i x="267" s="1" nd="1"/>
        <i x="115" s="1" nd="1"/>
        <i x="237" s="1" nd="1"/>
        <i x="359" s="1" nd="1"/>
        <i x="55" s="1" nd="1"/>
        <i x="24" s="1" nd="1"/>
        <i x="206" s="1" nd="1"/>
        <i x="176" s="1" nd="1"/>
        <i x="84" s="1" nd="1"/>
        <i x="145" s="1" nd="1"/>
        <i x="329" s="1" nd="1"/>
        <i x="268" s="1" nd="1"/>
        <i x="116" s="1" nd="1"/>
        <i x="238" s="1" nd="1"/>
        <i x="360" s="1" nd="1"/>
        <i x="56" s="1" nd="1"/>
        <i x="25" s="1" nd="1"/>
        <i x="207" s="1" nd="1"/>
        <i x="177" s="1" nd="1"/>
        <i x="85" s="1" nd="1"/>
        <i x="146" s="1" nd="1"/>
        <i x="330" s="1" nd="1"/>
        <i x="269" s="1" nd="1"/>
        <i x="117" s="1" nd="1"/>
        <i x="239" s="1" nd="1"/>
        <i x="361" s="1" nd="1"/>
        <i x="57" s="1" nd="1"/>
        <i x="26" s="1" nd="1"/>
        <i x="208" s="1" nd="1"/>
        <i x="178" s="1" nd="1"/>
        <i x="86" s="1" nd="1"/>
        <i x="147" s="1" nd="1"/>
        <i x="270" s="1" nd="1"/>
        <i x="118" s="1" nd="1"/>
        <i x="240" s="1" nd="1"/>
        <i x="362" s="1" nd="1"/>
        <i x="58" s="1" nd="1"/>
        <i x="27" s="1" nd="1"/>
        <i x="209" s="1" nd="1"/>
        <i x="179" s="1" nd="1"/>
        <i x="87" s="1" nd="1"/>
        <i x="148" s="1" nd="1"/>
        <i x="301" s="1" nd="1"/>
        <i x="271" s="1" nd="1"/>
        <i x="119" s="1" nd="1"/>
        <i x="241" s="1" nd="1"/>
        <i x="363" s="1" nd="1"/>
        <i x="59" s="1" nd="1"/>
        <i x="28" s="1" nd="1"/>
        <i x="210" s="1" nd="1"/>
        <i x="180" s="1" nd="1"/>
        <i x="88" s="1" nd="1"/>
        <i x="149" s="1" nd="1"/>
        <i x="302" s="1" nd="1"/>
        <i x="272" s="1" nd="1"/>
        <i x="120" s="1" nd="1"/>
        <i x="242" s="1" nd="1"/>
        <i x="364" s="1" nd="1"/>
        <i x="60" s="1" nd="1"/>
        <i x="29" s="1" nd="1"/>
        <i x="211" s="1" nd="1"/>
        <i x="181" s="1" nd="1"/>
        <i x="89" s="1" nd="1"/>
        <i x="150" s="1" nd="1"/>
        <i x="273" s="1" nd="1"/>
        <i x="121" s="1" nd="1"/>
        <i x="243" s="1" nd="1"/>
        <i x="365" s="1" nd="1"/>
        <i x="30" s="1" nd="1"/>
        <i x="212" s="1" nd="1"/>
        <i x="182" s="1" nd="1"/>
        <i x="90" s="1" nd="1"/>
        <i x="151" s="1" nd="1"/>
        <i x="335" s="1" nd="1"/>
        <i x="274" s="1" nd="1"/>
        <i x="244" s="1" nd="1"/>
        <i x="366" s="1" nd="1"/>
        <i x="31" s="1" nd="1"/>
        <i x="213" s="1" nd="1"/>
        <i x="91" s="1" nd="1"/>
        <i x="15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ión" sourceName="Acción">
  <pivotTables>
    <pivotTable tabId="4" name="PivotTable1"/>
  </pivotTables>
  <data>
    <tabular pivotCacheId="1">
      <items count="3">
        <i x="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4" name="PivotTable1"/>
  </pivotTables>
  <data>
    <tabular pivotCacheId="1">
      <items count="14">
        <i x="9"/>
        <i x="10" s="1"/>
        <i x="11" s="1"/>
        <i x="12" s="1"/>
        <i x="1" nd="1"/>
        <i x="2" nd="1"/>
        <i x="3" nd="1"/>
        <i x="4" nd="1"/>
        <i x="5" nd="1"/>
        <i x="6" nd="1"/>
        <i x="7" nd="1"/>
        <i x="8"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ombre Inversión" cache="Slicer_Nombre_Inversión" caption="Nombre Inversión" rowHeight="241300"/>
  <slicer name="Fecha" cache="Slicer_Fecha" caption="Fecha" startItem="76" style="SlicerStyleLight4" rowHeight="241300"/>
  <slicer name="Acción" cache="Slicer_Acción" caption="Acción" rowHeight="241300"/>
  <slicer name="Months" cache="Slicer_Months" caption="Months" rowHeight="241300"/>
</slicers>
</file>

<file path=xl/tables/table1.xml><?xml version="1.0" encoding="utf-8"?>
<table xmlns="http://schemas.openxmlformats.org/spreadsheetml/2006/main" id="2" name="Inversiones" displayName="Inversiones" ref="A2:K279" totalsRowCount="1">
  <autoFilter ref="A2:K278">
    <filterColumn colId="0">
      <dynamicFilter type="lastMonth" val="43497" maxVal="43525"/>
    </filterColumn>
    <filterColumn colId="1">
      <filters>
        <filter val="FIMA Ahorro Plus &quot;A&quot;"/>
      </filters>
    </filterColumn>
  </autoFilter>
  <tableColumns count="11">
    <tableColumn id="1" name="Fecha" totalsRowLabel="Total" dataDxfId="75"/>
    <tableColumn id="2" name="Nombre Inversión"/>
    <tableColumn id="3" name="Acción"/>
    <tableColumn id="10" name="Monto" dataDxfId="74" totalsRowDxfId="73" dataCellStyle="Currency"/>
    <tableColumn id="6" name="Cant. Cuotapartes" dataDxfId="72" totalsRowDxfId="71" dataCellStyle="Currency"/>
    <tableColumn id="4" name="Monto Invertido" dataDxfId="70" totalsRowDxfId="69" dataCellStyle="Currency"/>
    <tableColumn id="5" name="Saldo Valorizado" totalsRowDxfId="68" dataCellStyle="Currency">
      <calculatedColumnFormula>Inversiones[[#This Row],[Total Cuotapartes]]*Inversiones[[#This Row],[Valor Cuotaparte]]</calculatedColumnFormula>
    </tableColumn>
    <tableColumn id="9" name="Total Cuotapartes" dataDxfId="67" totalsRowDxfId="66">
      <calculatedColumnFormula>_xlfn.IFNA(VLOOKUP(Inversiones[[#This Row],[Nombre Inversión]],B7:H14,7,FALSE),0)+Inversiones[[#This Row],[Cant. Cuotapartes]]</calculatedColumnFormula>
    </tableColumn>
    <tableColumn id="7" name="Valor Cuotaparte" dataDxfId="65" totalsRowDxfId="64"/>
    <tableColumn id="8" name="Dif" totalsRowFunction="sum" dataDxfId="63" totalsRowDxfId="62">
      <calculatedColumnFormula>IF(ABS(Inversiones[[#This Row],[Saldo Valorizado]]-Inversiones[[#This Row],[Monto Invertido]]-G7+F7)&gt;500,"-",Inversiones[[#This Row],[Saldo Valorizado]]-Inversiones[[#This Row],[Monto Invertido]]-G7+F7)</calculatedColumnFormula>
    </tableColumn>
    <tableColumn id="11" name="Crecimiento" totalsRowFunction="sum" totalsRowDxfId="6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C2:F18" totalsRowCount="1">
  <autoFilter ref="C2:F17"/>
  <tableColumns count="4">
    <tableColumn id="1" name="Período" totalsRowLabel="Total" dataDxfId="11"/>
    <tableColumn id="2" name="Hab c/Desc" totalsRowFunction="sum" dataDxfId="10" totalsRowDxfId="9" dataCellStyle="Currency"/>
    <tableColumn id="4" name="Hab s/Desc" totalsRowFunction="sum" dataDxfId="8" totalsRowDxfId="7" dataCellStyle="Currency"/>
    <tableColumn id="3" name="Neto" totalsRowFunction="sum" dataDxfId="6" totalsRowDxfId="5" dataCellStyle="Currency"/>
  </tableColumns>
  <tableStyleInfo name="TableStyleMedium2" showFirstColumn="0" showLastColumn="0" showRowStripes="1" showColumnStripes="0"/>
</table>
</file>

<file path=xl/tables/table11.xml><?xml version="1.0" encoding="utf-8"?>
<table xmlns="http://schemas.openxmlformats.org/spreadsheetml/2006/main" id="10" name="Table10" displayName="Table10" ref="J3:K16" totalsRowCount="1">
  <autoFilter ref="J3:K15"/>
  <tableColumns count="2">
    <tableColumn id="1" name="Column1" totalsRowLabel="Total"/>
    <tableColumn id="2" name="Column2" totalsRowFunction="sum" dataDxfId="4" totalsRowDxfId="3" dataCellStyle="Currency"/>
  </tableColumns>
  <tableStyleInfo name="TableStyleMedium2" showFirstColumn="0" showLastColumn="0" showRowStripes="1" showColumnStripes="0"/>
</table>
</file>

<file path=xl/tables/table12.xml><?xml version="1.0" encoding="utf-8"?>
<table xmlns="http://schemas.openxmlformats.org/spreadsheetml/2006/main" id="5" name="Table1" displayName="Table1" ref="A1:F66" totalsRowCount="1">
  <autoFilter ref="A1:F65"/>
  <tableColumns count="6">
    <tableColumn id="1" name="Fecha" totalsRowLabel="Total"/>
    <tableColumn id="2" name="Movimiento"/>
    <tableColumn id="3" name="Débito" totalsRowFunction="sum" totalsRowDxfId="2"/>
    <tableColumn id="4" name="Crédito" totalsRowFunction="sum" totalsRowDxfId="1"/>
    <tableColumn id="5" name="Saldo Parcial" totalsRowDxfId="0"/>
    <tableColumn id="6" name="Detalle" totalsRowFunction="count"/>
  </tableColumns>
  <tableStyleInfo name="TableStyleMedium2" showFirstColumn="0" showLastColumn="0" showRowStripes="1" showColumnStripes="0"/>
</table>
</file>

<file path=xl/tables/table2.xml><?xml version="1.0" encoding="utf-8"?>
<table xmlns="http://schemas.openxmlformats.org/spreadsheetml/2006/main" id="7" name="Table7" displayName="Table7" ref="A2:H39" totalsRowCount="1" headerRowDxfId="60" dataDxfId="58" headerRowBorderDxfId="59" tableBorderDxfId="57" totalsRowBorderDxfId="56" dataCellStyle="Currency">
  <autoFilter ref="A2:H38"/>
  <tableColumns count="8">
    <tableColumn id="1" name="Fecha" totalsRowLabel="Total" dataDxfId="55" totalsRowDxfId="54"/>
    <tableColumn id="2" name="Nombre Inversión" totalsRowFunction="count" dataDxfId="53" totalsRowDxfId="52"/>
    <tableColumn id="3" name="Acción" dataDxfId="51" totalsRowDxfId="50"/>
    <tableColumn id="4" name="Monto" dataDxfId="49" totalsRowDxfId="48" dataCellStyle="Currency"/>
    <tableColumn id="5" name="Monto Invertido" dataDxfId="47" totalsRowDxfId="46" dataCellStyle="Currency">
      <calculatedColumnFormula>_xlfn.IFNA(VLOOKUP(Table7[[#This Row],[Nombre Inversión]],B4:E13,4,FALSE),0)+Table7[[#This Row],[Monto]]</calculatedColumnFormula>
    </tableColumn>
    <tableColumn id="6" name="Saldo Valorizado" dataDxfId="45" totalsRowDxfId="44" dataCellStyle="Currency">
      <calculatedColumnFormula>F4+Table7[[#This Row],[Monto]]+G3</calculatedColumnFormula>
    </tableColumn>
    <tableColumn id="7" name="Dif" totalsRowFunction="sum" dataDxfId="43" totalsRowDxfId="42"/>
    <tableColumn id="8" name="Crecimiento" totalsRowFunction="sum" dataDxfId="41" totalsRowDxfId="40" dataCellStyle="40% - Accent2">
      <calculatedColumnFormula>IFERROR((Inversiones[[#This Row],[Valor Cuotaparte]]-VLOOKUP(Inversiones[[#This Row],[Nombre Inversión]],B5:F19,8,FALSE))/VLOOKUP(Inversiones[[#This Row],[Nombre Inversión]],B7:F20,8,FALSE),"-")</calculatedColumnFormula>
    </tableColumn>
  </tableColumns>
  <tableStyleInfo name="TableStyleMedium7" showFirstColumn="0" showLastColumn="0" showRowStripes="1" showColumnStripes="0"/>
</table>
</file>

<file path=xl/tables/table3.xml><?xml version="1.0" encoding="utf-8"?>
<table xmlns="http://schemas.openxmlformats.org/spreadsheetml/2006/main" id="4" name="Table4" displayName="Table4" ref="D2:H49" totalsRowShown="0" headerRowDxfId="39">
  <autoFilter ref="D2:H49"/>
  <tableColumns count="5">
    <tableColumn id="1" name="Name Stock"/>
    <tableColumn id="4" name="Total Purchase" dataDxfId="38">
      <calculatedColumnFormula>$F$1/100*Table4[[#This Row],[% Portfolio]]</calculatedColumnFormula>
    </tableColumn>
    <tableColumn id="2" name="% Portfolio"/>
    <tableColumn id="5" name="Cost Basis" dataDxfId="37"/>
    <tableColumn id="6" name="Share">
      <calculatedColumnFormula>E3/G3</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1" name="Dolar" displayName="Dolar" ref="A2:D24" totalsRowShown="0">
  <autoFilter ref="A2:D24"/>
  <tableColumns count="4">
    <tableColumn id="1" name="fecha" dataDxfId="36"/>
    <tableColumn id="2" name="compra" dataDxfId="35"/>
    <tableColumn id="3" name="venta" dataDxfId="34"/>
    <tableColumn id="4" name="dif" dataDxfId="33" dataCellStyle="Percent"/>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B2:E13" totalsRowCount="1">
  <autoFilter ref="B2:E12"/>
  <tableColumns count="4">
    <tableColumn id="1" name="Categoría" totalsRowLabel="Total"/>
    <tableColumn id="3" name="Maxi" totalsRowFunction="sum" dataDxfId="32" totalsRowDxfId="31" dataCellStyle="Currency"/>
    <tableColumn id="2" name="Leo" totalsRowFunction="sum" dataDxfId="30" totalsRowDxfId="29" dataCellStyle="Bad"/>
    <tableColumn id="4" name="Gera" totalsRowFunction="sum" dataDxfId="28" totalsRowDxfId="27" dataCellStyle="Bad"/>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I2:J9" totalsRowCount="1">
  <autoFilter ref="I2:J8"/>
  <tableColumns count="2">
    <tableColumn id="1" name="Categoría" totalsRowLabel="Total"/>
    <tableColumn id="2" name="Importe" totalsRowFunction="sum" dataDxfId="26" totalsRowDxfId="25"/>
  </tableColumns>
  <tableStyleInfo name="TableStyleMedium7" showFirstColumn="0" showLastColumn="0" showRowStripes="1" showColumnStripes="0"/>
</table>
</file>

<file path=xl/tables/table7.xml><?xml version="1.0" encoding="utf-8"?>
<table xmlns="http://schemas.openxmlformats.org/spreadsheetml/2006/main" id="8" name="Table8" displayName="Table8" ref="I19:L23" totalsRowShown="0" dataDxfId="24" dataCellStyle="Currency">
  <autoFilter ref="I19:L23"/>
  <tableColumns count="4">
    <tableColumn id="1" name="X" dataDxfId="23" totalsRowDxfId="22"/>
    <tableColumn id="2" name="Alquiler" dataDxfId="21" totalsRowDxfId="20" dataCellStyle="Currency"/>
    <tableColumn id="3" name="Expensas" dataDxfId="19" totalsRowDxfId="18" dataCellStyle="Currency">
      <calculatedColumnFormula>K19*1.1</calculatedColumnFormula>
    </tableColumn>
    <tableColumn id="4" name="Total" dataDxfId="17" totalsRowDxfId="16" dataCellStyle="Currency">
      <calculatedColumnFormula>J20+K20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11" name="Table612" displayName="Table612" ref="B3:C8" totalsRowCount="1">
  <autoFilter ref="B3:C7"/>
  <tableColumns count="2">
    <tableColumn id="1" name="Categoría" totalsRowLabel="Total"/>
    <tableColumn id="2" name="Importe" totalsRowFunction="sum" dataDxfId="15" totalsRowDxfId="14"/>
  </tableColumns>
  <tableStyleInfo name="TableStyleMedium7" showFirstColumn="0" showLastColumn="0" showRowStripes="1" showColumnStripes="0"/>
</table>
</file>

<file path=xl/tables/table9.xml><?xml version="1.0" encoding="utf-8"?>
<table xmlns="http://schemas.openxmlformats.org/spreadsheetml/2006/main" id="12" name="Table12" displayName="Table12" ref="H3:J7" totalsRowShown="0">
  <autoFilter ref="H3:J7"/>
  <tableColumns count="3">
    <tableColumn id="1" name="Semestre"/>
    <tableColumn id="2" name="Alquiler" dataDxfId="13" dataCellStyle="Currency">
      <calculatedColumnFormula>I3*1.15</calculatedColumnFormula>
    </tableColumn>
    <tableColumn id="3" name="Total Semestre" dataDxfId="12" dataCellStyle="Currency">
      <calculatedColumnFormula>I4*6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7.bin"/><Relationship Id="rId4"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N20"/>
  <sheetViews>
    <sheetView topLeftCell="A13" workbookViewId="0">
      <selection activeCell="K19" sqref="K19"/>
    </sheetView>
  </sheetViews>
  <sheetFormatPr defaultRowHeight="14.5" x14ac:dyDescent="0.35"/>
  <cols>
    <col min="3" max="3" width="18.81640625" bestFit="1" customWidth="1"/>
    <col min="4" max="4" width="12.26953125" bestFit="1" customWidth="1"/>
    <col min="5" max="5" width="10.08984375" bestFit="1" customWidth="1"/>
    <col min="6" max="7" width="11.08984375" bestFit="1" customWidth="1"/>
    <col min="8" max="8" width="10.1796875" bestFit="1" customWidth="1"/>
    <col min="10" max="13" width="13.1796875" customWidth="1"/>
    <col min="14" max="14" width="11.1796875" bestFit="1" customWidth="1"/>
    <col min="15" max="15" width="11.1796875" customWidth="1"/>
  </cols>
  <sheetData>
    <row r="2" spans="2:14" x14ac:dyDescent="0.35">
      <c r="B2" t="s">
        <v>0</v>
      </c>
      <c r="I2" t="s">
        <v>68</v>
      </c>
      <c r="M2" t="s">
        <v>4</v>
      </c>
    </row>
    <row r="3" spans="2:14" x14ac:dyDescent="0.35">
      <c r="B3" t="s">
        <v>1</v>
      </c>
      <c r="C3" t="s">
        <v>6</v>
      </c>
      <c r="D3" t="s">
        <v>7</v>
      </c>
      <c r="I3" t="s">
        <v>2</v>
      </c>
      <c r="J3" s="6">
        <v>1495</v>
      </c>
      <c r="M3" t="s">
        <v>13</v>
      </c>
      <c r="N3" s="6">
        <v>12000</v>
      </c>
    </row>
    <row r="4" spans="2:14" x14ac:dyDescent="0.35">
      <c r="B4" s="1">
        <v>43304</v>
      </c>
      <c r="C4" t="s">
        <v>8</v>
      </c>
      <c r="D4" s="3">
        <v>555.62</v>
      </c>
      <c r="I4" t="s">
        <v>60</v>
      </c>
      <c r="J4" s="6">
        <v>3118.8</v>
      </c>
      <c r="M4" t="s">
        <v>12</v>
      </c>
      <c r="N4" s="6">
        <v>15000</v>
      </c>
    </row>
    <row r="5" spans="2:14" x14ac:dyDescent="0.35">
      <c r="B5" s="1">
        <v>43313</v>
      </c>
      <c r="C5" t="s">
        <v>9</v>
      </c>
      <c r="D5" s="4">
        <v>9212.41</v>
      </c>
      <c r="I5" t="s">
        <v>3</v>
      </c>
      <c r="J5" s="6">
        <v>27480.55</v>
      </c>
      <c r="M5" t="s">
        <v>69</v>
      </c>
      <c r="N5" s="6">
        <v>480.55</v>
      </c>
    </row>
    <row r="6" spans="2:14" x14ac:dyDescent="0.35">
      <c r="B6" s="1">
        <v>43313</v>
      </c>
      <c r="C6" t="s">
        <v>10</v>
      </c>
      <c r="D6" s="3">
        <v>1500</v>
      </c>
      <c r="I6" s="2" t="s">
        <v>5</v>
      </c>
      <c r="J6" s="8">
        <f>SUM(J3:J5)</f>
        <v>32094.35</v>
      </c>
      <c r="M6" s="2" t="s">
        <v>5</v>
      </c>
      <c r="N6" s="8">
        <f>SUM(N3:N5)</f>
        <v>27480.55</v>
      </c>
    </row>
    <row r="7" spans="2:14" x14ac:dyDescent="0.35">
      <c r="B7" s="1">
        <v>43313</v>
      </c>
      <c r="C7" t="s">
        <v>11</v>
      </c>
      <c r="D7" s="3">
        <v>6900</v>
      </c>
    </row>
    <row r="8" spans="2:14" x14ac:dyDescent="0.35">
      <c r="C8" s="2" t="s">
        <v>5</v>
      </c>
      <c r="D8" s="5">
        <f>SUM(D4:D7)</f>
        <v>18168.03</v>
      </c>
      <c r="H8" t="s">
        <v>67</v>
      </c>
      <c r="J8" s="6">
        <v>24000</v>
      </c>
    </row>
    <row r="9" spans="2:14" x14ac:dyDescent="0.35">
      <c r="H9" t="s">
        <v>65</v>
      </c>
      <c r="J9" s="6">
        <f>J8*0.83</f>
        <v>19920</v>
      </c>
      <c r="M9">
        <f>27*16</f>
        <v>432</v>
      </c>
    </row>
    <row r="10" spans="2:14" x14ac:dyDescent="0.35">
      <c r="J10" s="7">
        <f>SUM(J3:J4)</f>
        <v>4613.8</v>
      </c>
    </row>
    <row r="11" spans="2:14" x14ac:dyDescent="0.35">
      <c r="E11" s="2"/>
    </row>
    <row r="12" spans="2:14" x14ac:dyDescent="0.35">
      <c r="H12" s="3"/>
      <c r="J12" s="7">
        <f>J9+J10-D8</f>
        <v>6365.77</v>
      </c>
    </row>
    <row r="13" spans="2:14" x14ac:dyDescent="0.35">
      <c r="L13" s="7"/>
    </row>
    <row r="14" spans="2:14" x14ac:dyDescent="0.35">
      <c r="D14" t="s">
        <v>349</v>
      </c>
      <c r="E14" t="s">
        <v>350</v>
      </c>
      <c r="F14" t="s">
        <v>351</v>
      </c>
      <c r="G14" t="s">
        <v>352</v>
      </c>
    </row>
    <row r="15" spans="2:14" x14ac:dyDescent="0.35">
      <c r="C15">
        <v>0</v>
      </c>
      <c r="D15" s="6">
        <v>1350</v>
      </c>
      <c r="E15" s="6">
        <v>1755</v>
      </c>
      <c r="F15" s="6">
        <f t="shared" ref="F15:G20" si="0">E15*1.3</f>
        <v>2281.5</v>
      </c>
      <c r="G15" s="6">
        <f t="shared" si="0"/>
        <v>2965.9500000000003</v>
      </c>
    </row>
    <row r="16" spans="2:14" x14ac:dyDescent="0.35">
      <c r="C16">
        <v>1</v>
      </c>
      <c r="D16" s="6">
        <f>D$15*($C$16+1)</f>
        <v>2700</v>
      </c>
      <c r="E16" s="6">
        <f>E$15*($C$16+1)</f>
        <v>3510</v>
      </c>
      <c r="F16" s="6">
        <f t="shared" si="0"/>
        <v>4563</v>
      </c>
      <c r="G16" s="6">
        <f t="shared" si="0"/>
        <v>5931.9000000000005</v>
      </c>
    </row>
    <row r="17" spans="3:13" x14ac:dyDescent="0.35">
      <c r="C17">
        <v>2</v>
      </c>
      <c r="D17" s="6">
        <f>D$15+$C$17*D$15</f>
        <v>4050</v>
      </c>
      <c r="E17" s="6">
        <f>E$15+$C$17*E$15</f>
        <v>5265</v>
      </c>
      <c r="F17" s="6">
        <f t="shared" si="0"/>
        <v>6844.5</v>
      </c>
      <c r="G17" s="6">
        <f t="shared" si="0"/>
        <v>8897.85</v>
      </c>
    </row>
    <row r="18" spans="3:13" x14ac:dyDescent="0.35">
      <c r="C18">
        <v>3</v>
      </c>
      <c r="D18" s="6">
        <f>$C$18*D$15+D$15/2</f>
        <v>4725</v>
      </c>
      <c r="E18" s="6">
        <f>$C$18*E$15+E$15/2</f>
        <v>6142.5</v>
      </c>
      <c r="F18" s="6">
        <f t="shared" si="0"/>
        <v>7985.25</v>
      </c>
      <c r="G18" s="6">
        <f t="shared" si="0"/>
        <v>10380.825000000001</v>
      </c>
    </row>
    <row r="19" spans="3:13" x14ac:dyDescent="0.35">
      <c r="C19">
        <v>4</v>
      </c>
      <c r="D19" s="6">
        <f>D$15*($C$19)</f>
        <v>5400</v>
      </c>
      <c r="E19" s="6">
        <f>E$15*($C$19)</f>
        <v>7020</v>
      </c>
      <c r="F19" s="6">
        <f t="shared" si="0"/>
        <v>9126</v>
      </c>
      <c r="G19" s="6">
        <f t="shared" si="0"/>
        <v>11863.800000000001</v>
      </c>
    </row>
    <row r="20" spans="3:13" x14ac:dyDescent="0.35">
      <c r="C20">
        <v>5</v>
      </c>
      <c r="D20" s="6">
        <f>D$15*($C$20)</f>
        <v>6750</v>
      </c>
      <c r="E20" s="6">
        <f>E$15*($C$20)</f>
        <v>8775</v>
      </c>
      <c r="F20" s="6">
        <f t="shared" si="0"/>
        <v>11407.5</v>
      </c>
      <c r="G20" s="6">
        <f t="shared" si="0"/>
        <v>14829.75</v>
      </c>
      <c r="J20" s="6">
        <f>D20*2+D18*10</f>
        <v>60750</v>
      </c>
      <c r="K20" s="6">
        <f>E20*2+E18*10</f>
        <v>78975</v>
      </c>
      <c r="L20" s="6">
        <f>F20*2+F18*10</f>
        <v>102667.5</v>
      </c>
      <c r="M20" s="6">
        <f>G20*2+G18*10</f>
        <v>133467.75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P16"/>
  <sheetViews>
    <sheetView workbookViewId="0">
      <selection activeCell="B7" sqref="B7"/>
    </sheetView>
  </sheetViews>
  <sheetFormatPr defaultRowHeight="14.5" x14ac:dyDescent="0.35"/>
  <cols>
    <col min="1" max="1" width="13.6328125" bestFit="1" customWidth="1"/>
    <col min="2" max="4" width="11" customWidth="1"/>
    <col min="5" max="5" width="13.6328125" bestFit="1" customWidth="1"/>
    <col min="6" max="6" width="11.81640625" bestFit="1" customWidth="1"/>
    <col min="7" max="7" width="11.26953125" bestFit="1" customWidth="1"/>
    <col min="8" max="8" width="10.08984375" bestFit="1" customWidth="1"/>
    <col min="9" max="9" width="11.08984375" bestFit="1" customWidth="1"/>
    <col min="10" max="10" width="11.26953125" bestFit="1" customWidth="1"/>
    <col min="13" max="13" width="9.453125" bestFit="1" customWidth="1"/>
    <col min="16" max="17" width="11.1796875" bestFit="1" customWidth="1"/>
  </cols>
  <sheetData>
    <row r="2" spans="1:16" x14ac:dyDescent="0.35">
      <c r="A2" s="96" t="s">
        <v>281</v>
      </c>
      <c r="B2" s="97"/>
      <c r="C2" s="97"/>
      <c r="D2" s="97"/>
      <c r="E2" s="98"/>
      <c r="G2" t="s">
        <v>93</v>
      </c>
      <c r="H2">
        <v>19311.14</v>
      </c>
      <c r="I2">
        <v>20000</v>
      </c>
      <c r="J2" s="24">
        <f>(I2-H2)/H2</f>
        <v>3.5671638235754109E-2</v>
      </c>
    </row>
    <row r="3" spans="1:16" x14ac:dyDescent="0.35">
      <c r="A3" s="72"/>
      <c r="B3" s="72" t="s">
        <v>282</v>
      </c>
      <c r="C3" s="72">
        <v>1</v>
      </c>
      <c r="D3" s="72">
        <v>30</v>
      </c>
      <c r="E3" s="72">
        <v>360</v>
      </c>
    </row>
    <row r="4" spans="1:16" x14ac:dyDescent="0.35">
      <c r="A4" s="72" t="s">
        <v>7</v>
      </c>
      <c r="B4" s="72" t="s">
        <v>283</v>
      </c>
      <c r="C4" s="72" t="s">
        <v>284</v>
      </c>
      <c r="D4" s="72" t="s">
        <v>285</v>
      </c>
      <c r="E4" s="72" t="s">
        <v>286</v>
      </c>
      <c r="F4">
        <v>50</v>
      </c>
    </row>
    <row r="5" spans="1:16" x14ac:dyDescent="0.35">
      <c r="A5" s="73">
        <v>37879.017660649981</v>
      </c>
      <c r="B5" s="74">
        <v>1.0820000000000001E-3</v>
      </c>
      <c r="C5" s="73">
        <f t="shared" ref="C5:E7" si="0">$A5*(1+$B5)^C$3-$A5</f>
        <v>40.985097108823538</v>
      </c>
      <c r="D5" s="73">
        <f t="shared" si="0"/>
        <v>1249.03960762317</v>
      </c>
      <c r="E5" s="73">
        <f t="shared" si="0"/>
        <v>18028.941749795202</v>
      </c>
      <c r="F5" s="7">
        <f>E5+A5</f>
        <v>55907.959410445183</v>
      </c>
    </row>
    <row r="6" spans="1:16" x14ac:dyDescent="0.35">
      <c r="A6" s="73">
        <f>A5/38.5</f>
        <v>983.87058858831119</v>
      </c>
      <c r="B6" s="74">
        <v>5.0000000000000001E-4</v>
      </c>
      <c r="C6" s="73">
        <f t="shared" si="0"/>
        <v>0.49193529429408045</v>
      </c>
      <c r="D6" s="73">
        <f t="shared" si="0"/>
        <v>14.865555759232848</v>
      </c>
      <c r="E6" s="73">
        <f t="shared" si="0"/>
        <v>193.9833761754503</v>
      </c>
      <c r="F6" s="7">
        <f>(E6+A6)*F4</f>
        <v>58892.698238188073</v>
      </c>
      <c r="I6" s="6"/>
      <c r="J6" s="7"/>
    </row>
    <row r="7" spans="1:16" x14ac:dyDescent="0.35">
      <c r="A7" s="73">
        <v>37879.017660649981</v>
      </c>
      <c r="B7" s="29">
        <v>1.2700000000000001E-3</v>
      </c>
      <c r="C7" s="73">
        <f t="shared" si="0"/>
        <v>48.106352429029357</v>
      </c>
      <c r="D7" s="73">
        <f t="shared" si="0"/>
        <v>1470.0846640817399</v>
      </c>
      <c r="E7" s="73">
        <f t="shared" si="0"/>
        <v>21939.020599916468</v>
      </c>
      <c r="H7">
        <v>22900</v>
      </c>
      <c r="J7" s="7"/>
    </row>
    <row r="8" spans="1:16" x14ac:dyDescent="0.35">
      <c r="B8" s="22">
        <v>1.2699999999999999E-2</v>
      </c>
      <c r="H8">
        <v>-9100</v>
      </c>
      <c r="I8" s="6"/>
    </row>
    <row r="9" spans="1:16" x14ac:dyDescent="0.35">
      <c r="H9">
        <v>-7500</v>
      </c>
      <c r="I9" s="6"/>
    </row>
    <row r="10" spans="1:16" x14ac:dyDescent="0.35">
      <c r="H10">
        <v>-2000</v>
      </c>
      <c r="I10" s="6"/>
    </row>
    <row r="11" spans="1:16" x14ac:dyDescent="0.35">
      <c r="H11">
        <f>SUM(H7:H10)</f>
        <v>4300</v>
      </c>
      <c r="I11" s="6"/>
    </row>
    <row r="12" spans="1:16" x14ac:dyDescent="0.35">
      <c r="I12" s="6"/>
      <c r="J12" s="7"/>
    </row>
    <row r="15" spans="1:16" x14ac:dyDescent="0.35">
      <c r="F15">
        <f>1000/100*3</f>
        <v>30</v>
      </c>
      <c r="H15" t="s">
        <v>311</v>
      </c>
    </row>
    <row r="16" spans="1:16" x14ac:dyDescent="0.35">
      <c r="P16" s="7"/>
    </row>
  </sheetData>
  <mergeCells count="1">
    <mergeCell ref="A2:E2"/>
  </mergeCell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N39"/>
  <sheetViews>
    <sheetView topLeftCell="C4" workbookViewId="0">
      <selection activeCell="M24" sqref="M24"/>
    </sheetView>
  </sheetViews>
  <sheetFormatPr defaultRowHeight="14.5" x14ac:dyDescent="0.35"/>
  <cols>
    <col min="2" max="2" width="19.08984375" bestFit="1" customWidth="1"/>
    <col min="3" max="4" width="15.54296875" customWidth="1"/>
    <col min="5" max="5" width="12.90625" bestFit="1" customWidth="1"/>
    <col min="6" max="6" width="8.7265625" customWidth="1"/>
    <col min="7" max="7" width="10.7265625" bestFit="1" customWidth="1"/>
    <col min="8" max="8" width="14.26953125" bestFit="1" customWidth="1"/>
    <col min="9" max="9" width="18.54296875" customWidth="1"/>
    <col min="10" max="10" width="14.7265625" customWidth="1"/>
    <col min="11" max="11" width="10.54296875" customWidth="1"/>
    <col min="12" max="13" width="11.08984375" bestFit="1" customWidth="1"/>
  </cols>
  <sheetData>
    <row r="1" spans="2:14" x14ac:dyDescent="0.35">
      <c r="B1" s="99" t="s">
        <v>280</v>
      </c>
      <c r="C1" s="99"/>
      <c r="D1" s="99"/>
      <c r="E1" s="99"/>
      <c r="I1" s="99" t="s">
        <v>275</v>
      </c>
      <c r="J1" s="99"/>
      <c r="L1" s="99" t="s">
        <v>274</v>
      </c>
      <c r="M1" s="99"/>
    </row>
    <row r="2" spans="2:14" x14ac:dyDescent="0.35">
      <c r="B2" t="s">
        <v>195</v>
      </c>
      <c r="C2" t="s">
        <v>216</v>
      </c>
      <c r="D2" t="s">
        <v>217</v>
      </c>
      <c r="E2" t="s">
        <v>312</v>
      </c>
      <c r="I2" t="s">
        <v>195</v>
      </c>
      <c r="J2" t="s">
        <v>276</v>
      </c>
      <c r="L2" t="s">
        <v>332</v>
      </c>
      <c r="M2">
        <v>1700</v>
      </c>
    </row>
    <row r="3" spans="2:14" x14ac:dyDescent="0.35">
      <c r="B3" s="59" t="s">
        <v>196</v>
      </c>
      <c r="C3" s="60">
        <f>22908*1.2</f>
        <v>27489.599999999999</v>
      </c>
      <c r="D3" s="60">
        <v>19000</v>
      </c>
      <c r="E3" s="60">
        <v>7000</v>
      </c>
      <c r="I3" t="s">
        <v>277</v>
      </c>
      <c r="J3" s="81">
        <v>54000</v>
      </c>
      <c r="L3" t="s">
        <v>333</v>
      </c>
      <c r="M3">
        <v>400</v>
      </c>
    </row>
    <row r="4" spans="2:14" x14ac:dyDescent="0.35">
      <c r="B4" s="59" t="s">
        <v>64</v>
      </c>
      <c r="C4" s="60">
        <v>0</v>
      </c>
      <c r="D4" s="60">
        <v>0</v>
      </c>
      <c r="E4" s="60">
        <v>0</v>
      </c>
      <c r="I4" s="24" t="s">
        <v>278</v>
      </c>
      <c r="J4" s="7">
        <v>-15900</v>
      </c>
      <c r="L4" t="s">
        <v>334</v>
      </c>
      <c r="M4">
        <v>400</v>
      </c>
    </row>
    <row r="5" spans="2:14" x14ac:dyDescent="0.35">
      <c r="B5" s="63" t="s">
        <v>211</v>
      </c>
      <c r="C5" s="64">
        <f t="shared" ref="C5:E6" si="0">$F5/3*-1</f>
        <v>-5300</v>
      </c>
      <c r="D5" s="64">
        <f t="shared" si="0"/>
        <v>-5300</v>
      </c>
      <c r="E5" s="64">
        <f t="shared" si="0"/>
        <v>-5300</v>
      </c>
      <c r="F5">
        <v>15900</v>
      </c>
      <c r="G5" s="7">
        <f>SUM(E5:E6)</f>
        <v>-7033.333333333333</v>
      </c>
      <c r="H5">
        <f>F5/2*-1</f>
        <v>-7950</v>
      </c>
      <c r="I5" t="s">
        <v>279</v>
      </c>
      <c r="J5" s="7">
        <v>-24000</v>
      </c>
      <c r="L5" t="s">
        <v>335</v>
      </c>
      <c r="M5">
        <v>350</v>
      </c>
    </row>
    <row r="6" spans="2:14" x14ac:dyDescent="0.35">
      <c r="B6" s="63" t="s">
        <v>212</v>
      </c>
      <c r="C6" s="64">
        <f t="shared" si="0"/>
        <v>-1733.3333333333333</v>
      </c>
      <c r="D6" s="64">
        <f t="shared" si="0"/>
        <v>-1733.3333333333333</v>
      </c>
      <c r="E6" s="64">
        <f t="shared" si="0"/>
        <v>-1733.3333333333333</v>
      </c>
      <c r="F6">
        <v>5200</v>
      </c>
      <c r="H6">
        <f>F6/2*-1</f>
        <v>-2600</v>
      </c>
      <c r="I6" t="s">
        <v>289</v>
      </c>
      <c r="J6" s="7">
        <v>-3500</v>
      </c>
      <c r="L6" t="s">
        <v>346</v>
      </c>
      <c r="M6">
        <v>450</v>
      </c>
    </row>
    <row r="7" spans="2:14" x14ac:dyDescent="0.35">
      <c r="B7" s="61" t="s">
        <v>197</v>
      </c>
      <c r="C7" s="62">
        <v>-5265</v>
      </c>
      <c r="D7" s="62">
        <v>-3500</v>
      </c>
      <c r="E7" s="62">
        <v>0</v>
      </c>
      <c r="I7" t="s">
        <v>94</v>
      </c>
      <c r="J7" s="7">
        <v>0</v>
      </c>
      <c r="L7" s="65" t="s">
        <v>219</v>
      </c>
      <c r="M7" s="65">
        <v>600</v>
      </c>
    </row>
    <row r="8" spans="2:14" x14ac:dyDescent="0.35">
      <c r="B8" s="61" t="s">
        <v>207</v>
      </c>
      <c r="C8" s="62">
        <v>-1300</v>
      </c>
      <c r="D8" s="62">
        <v>-1300</v>
      </c>
      <c r="E8" s="62">
        <v>-1300</v>
      </c>
      <c r="I8" t="s">
        <v>95</v>
      </c>
      <c r="J8" s="7">
        <v>0</v>
      </c>
      <c r="M8" s="57">
        <f>SUM(M2:M7)</f>
        <v>3900</v>
      </c>
      <c r="N8">
        <f>M8/3</f>
        <v>1300</v>
      </c>
    </row>
    <row r="9" spans="2:14" x14ac:dyDescent="0.35">
      <c r="B9" s="61" t="s">
        <v>208</v>
      </c>
      <c r="C9" s="62">
        <v>-2000</v>
      </c>
      <c r="D9" s="62">
        <v>0</v>
      </c>
      <c r="E9" s="62">
        <v>0</v>
      </c>
      <c r="I9" t="s">
        <v>5</v>
      </c>
      <c r="J9" s="7">
        <f>SUBTOTAL(109,Table6[Importe])</f>
        <v>10600</v>
      </c>
      <c r="K9" s="57"/>
      <c r="N9" s="57"/>
    </row>
    <row r="10" spans="2:14" x14ac:dyDescent="0.35">
      <c r="B10" s="61" t="s">
        <v>214</v>
      </c>
      <c r="C10" s="62">
        <v>-4000</v>
      </c>
      <c r="D10" s="62">
        <v>0</v>
      </c>
      <c r="E10" s="62">
        <v>0</v>
      </c>
      <c r="I10" s="57"/>
      <c r="K10" s="57"/>
    </row>
    <row r="11" spans="2:14" x14ac:dyDescent="0.35">
      <c r="B11" s="61" t="s">
        <v>218</v>
      </c>
      <c r="C11" s="62">
        <v>0</v>
      </c>
      <c r="D11" s="62">
        <v>0</v>
      </c>
      <c r="E11" s="62">
        <v>0</v>
      </c>
      <c r="H11" s="57"/>
      <c r="J11" s="58"/>
      <c r="K11" s="57"/>
    </row>
    <row r="12" spans="2:14" x14ac:dyDescent="0.35">
      <c r="B12" s="61" t="s">
        <v>287</v>
      </c>
      <c r="C12" s="62">
        <v>-4000</v>
      </c>
      <c r="D12" s="62">
        <v>-3000</v>
      </c>
      <c r="E12" s="75">
        <v>-3000</v>
      </c>
      <c r="H12" s="57" t="s">
        <v>288</v>
      </c>
      <c r="I12" s="57"/>
      <c r="J12" s="58"/>
      <c r="K12" s="57"/>
    </row>
    <row r="13" spans="2:14" x14ac:dyDescent="0.35">
      <c r="B13" t="s">
        <v>5</v>
      </c>
      <c r="C13" s="92">
        <f>SUBTOTAL(109,Table3[Maxi])</f>
        <v>3891.2666666666664</v>
      </c>
      <c r="D13" s="92">
        <f>SUBTOTAL(109,Table3[Leo])</f>
        <v>4166.6666666666661</v>
      </c>
      <c r="E13" s="92">
        <f>SUBTOTAL(109,Table3[Gera])</f>
        <v>-4333.333333333333</v>
      </c>
      <c r="H13" s="57"/>
      <c r="I13" s="57"/>
      <c r="J13" s="57"/>
      <c r="K13" s="57"/>
    </row>
    <row r="14" spans="2:14" x14ac:dyDescent="0.35">
      <c r="F14" s="57"/>
      <c r="G14" s="57"/>
      <c r="H14" s="57"/>
      <c r="I14" s="57"/>
      <c r="J14" s="57"/>
    </row>
    <row r="15" spans="2:14" x14ac:dyDescent="0.35">
      <c r="F15" s="57"/>
      <c r="G15" s="57"/>
      <c r="H15" s="57"/>
      <c r="I15" s="57"/>
      <c r="J15" s="57"/>
    </row>
    <row r="16" spans="2:14" x14ac:dyDescent="0.35">
      <c r="B16" t="s">
        <v>287</v>
      </c>
      <c r="C16" t="s">
        <v>327</v>
      </c>
      <c r="I16" s="57"/>
      <c r="J16" s="57"/>
    </row>
    <row r="17" spans="2:12" x14ac:dyDescent="0.35">
      <c r="B17">
        <v>150</v>
      </c>
      <c r="C17">
        <f>B17*30</f>
        <v>4500</v>
      </c>
    </row>
    <row r="19" spans="2:12" x14ac:dyDescent="0.35">
      <c r="I19" t="s">
        <v>295</v>
      </c>
      <c r="J19" t="s">
        <v>211</v>
      </c>
      <c r="K19" t="s">
        <v>212</v>
      </c>
      <c r="L19" t="s">
        <v>5</v>
      </c>
    </row>
    <row r="20" spans="2:12" x14ac:dyDescent="0.35">
      <c r="I20" s="13" t="s">
        <v>293</v>
      </c>
      <c r="J20" s="64">
        <v>16000</v>
      </c>
      <c r="K20" s="64">
        <v>4700</v>
      </c>
      <c r="L20" s="6">
        <f>J20+K20</f>
        <v>20700</v>
      </c>
    </row>
    <row r="21" spans="2:12" x14ac:dyDescent="0.35">
      <c r="I21" s="13" t="s">
        <v>290</v>
      </c>
      <c r="J21" s="6">
        <f>J20*1.15</f>
        <v>18400</v>
      </c>
      <c r="K21" s="6">
        <f>K20*1.1</f>
        <v>5170</v>
      </c>
      <c r="L21" s="6">
        <f>J21+K21</f>
        <v>23570</v>
      </c>
    </row>
    <row r="22" spans="2:12" x14ac:dyDescent="0.35">
      <c r="I22" s="13" t="s">
        <v>291</v>
      </c>
      <c r="J22" s="6">
        <f>J21*1.15</f>
        <v>21160</v>
      </c>
      <c r="K22" s="6">
        <f>K21*1.1</f>
        <v>5687.0000000000009</v>
      </c>
      <c r="L22" s="6">
        <f>J22+K22</f>
        <v>26847</v>
      </c>
    </row>
    <row r="23" spans="2:12" x14ac:dyDescent="0.35">
      <c r="I23" s="13" t="s">
        <v>292</v>
      </c>
      <c r="J23" s="6">
        <f>J22*1.15</f>
        <v>24333.999999999996</v>
      </c>
      <c r="K23" s="6">
        <f>K22*1.1</f>
        <v>6255.7000000000016</v>
      </c>
      <c r="L23" s="6">
        <f>J23+K23</f>
        <v>30589.699999999997</v>
      </c>
    </row>
    <row r="28" spans="2:12" x14ac:dyDescent="0.35">
      <c r="I28" t="s">
        <v>313</v>
      </c>
      <c r="J28">
        <v>15000</v>
      </c>
    </row>
    <row r="29" spans="2:12" x14ac:dyDescent="0.35">
      <c r="I29" t="s">
        <v>314</v>
      </c>
      <c r="J29">
        <v>20000</v>
      </c>
      <c r="K29">
        <f>J29-J28</f>
        <v>5000</v>
      </c>
      <c r="L29" s="24">
        <f>K29/J28</f>
        <v>0.33333333333333331</v>
      </c>
    </row>
    <row r="30" spans="2:12" x14ac:dyDescent="0.35">
      <c r="H30" t="s">
        <v>319</v>
      </c>
      <c r="I30" t="s">
        <v>315</v>
      </c>
      <c r="J30">
        <v>24000</v>
      </c>
      <c r="K30">
        <f>J30-J29</f>
        <v>4000</v>
      </c>
      <c r="L30" s="24">
        <f>K30/J29</f>
        <v>0.2</v>
      </c>
    </row>
    <row r="31" spans="2:12" x14ac:dyDescent="0.35">
      <c r="I31" t="s">
        <v>316</v>
      </c>
      <c r="J31">
        <v>27600</v>
      </c>
      <c r="K31">
        <f>J31-J30</f>
        <v>3600</v>
      </c>
      <c r="L31" s="24">
        <f>K31/J30</f>
        <v>0.15</v>
      </c>
    </row>
    <row r="32" spans="2:12" x14ac:dyDescent="0.35">
      <c r="I32" t="s">
        <v>331</v>
      </c>
      <c r="J32">
        <v>30600</v>
      </c>
      <c r="K32">
        <f>J32-J31</f>
        <v>3000</v>
      </c>
      <c r="L32" s="24">
        <f>K32/J31</f>
        <v>0.10869565217391304</v>
      </c>
    </row>
    <row r="34" spans="9:12" x14ac:dyDescent="0.35">
      <c r="K34">
        <f>J31-J28</f>
        <v>12600</v>
      </c>
      <c r="L34" s="24">
        <f>K34/J28</f>
        <v>0.84</v>
      </c>
    </row>
    <row r="35" spans="9:12" x14ac:dyDescent="0.35">
      <c r="I35" t="s">
        <v>317</v>
      </c>
      <c r="J35" s="6">
        <f>J31*1.25</f>
        <v>34500</v>
      </c>
    </row>
    <row r="36" spans="9:12" x14ac:dyDescent="0.35">
      <c r="I36" t="s">
        <v>318</v>
      </c>
      <c r="J36" s="6">
        <f>J35*1.25+5000</f>
        <v>48125</v>
      </c>
    </row>
    <row r="37" spans="9:12" x14ac:dyDescent="0.35">
      <c r="I37" t="s">
        <v>328</v>
      </c>
      <c r="J37" s="6">
        <f>J36*1.25</f>
        <v>60156.25</v>
      </c>
    </row>
    <row r="38" spans="9:12" x14ac:dyDescent="0.35">
      <c r="I38" t="s">
        <v>329</v>
      </c>
      <c r="J38" s="6">
        <f>J37*1.25</f>
        <v>75195.3125</v>
      </c>
    </row>
    <row r="39" spans="9:12" x14ac:dyDescent="0.35">
      <c r="I39" t="s">
        <v>330</v>
      </c>
      <c r="J39" s="6">
        <f>J38*1.25</f>
        <v>93994.140625</v>
      </c>
    </row>
  </sheetData>
  <mergeCells count="3">
    <mergeCell ref="B1:E1"/>
    <mergeCell ref="I1:J1"/>
    <mergeCell ref="L1:M1"/>
  </mergeCells>
  <pageMargins left="0.7" right="0.7" top="0.75" bottom="0.75" header="0.3" footer="0.3"/>
  <pageSetup orientation="portrait" horizontalDpi="0" verticalDpi="0"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9"/>
  <sheetViews>
    <sheetView workbookViewId="0">
      <selection activeCell="J11" sqref="J11"/>
    </sheetView>
  </sheetViews>
  <sheetFormatPr defaultRowHeight="14.5" x14ac:dyDescent="0.35"/>
  <cols>
    <col min="2" max="2" width="19" bestFit="1" customWidth="1"/>
    <col min="3" max="3" width="11.7265625" bestFit="1" customWidth="1"/>
    <col min="8" max="8" width="10.6328125" customWidth="1"/>
    <col min="9" max="9" width="11.08984375" bestFit="1" customWidth="1"/>
    <col min="10" max="10" width="15.36328125" customWidth="1"/>
  </cols>
  <sheetData>
    <row r="2" spans="2:10" x14ac:dyDescent="0.35">
      <c r="B2" s="99" t="s">
        <v>275</v>
      </c>
      <c r="C2" s="99"/>
    </row>
    <row r="3" spans="2:10" x14ac:dyDescent="0.35">
      <c r="B3" t="s">
        <v>195</v>
      </c>
      <c r="C3" t="s">
        <v>276</v>
      </c>
      <c r="H3" t="s">
        <v>340</v>
      </c>
      <c r="I3" t="s">
        <v>211</v>
      </c>
      <c r="J3" t="s">
        <v>345</v>
      </c>
    </row>
    <row r="4" spans="2:10" x14ac:dyDescent="0.35">
      <c r="B4" s="24" t="s">
        <v>278</v>
      </c>
      <c r="C4" s="7">
        <v>15900</v>
      </c>
      <c r="H4" t="s">
        <v>341</v>
      </c>
      <c r="I4" s="46">
        <v>15900</v>
      </c>
      <c r="J4" s="46">
        <f>I4*6</f>
        <v>95400</v>
      </c>
    </row>
    <row r="5" spans="2:10" x14ac:dyDescent="0.35">
      <c r="B5" t="s">
        <v>279</v>
      </c>
      <c r="C5" s="7">
        <v>24180</v>
      </c>
      <c r="H5" t="s">
        <v>342</v>
      </c>
      <c r="I5" s="46">
        <f>I4*1.15</f>
        <v>18285</v>
      </c>
      <c r="J5" s="46">
        <f>I5*6</f>
        <v>109710</v>
      </c>
    </row>
    <row r="6" spans="2:10" x14ac:dyDescent="0.35">
      <c r="B6" t="s">
        <v>289</v>
      </c>
      <c r="C6" s="7">
        <v>3500</v>
      </c>
      <c r="H6" t="s">
        <v>343</v>
      </c>
      <c r="I6" s="46">
        <v>21000</v>
      </c>
      <c r="J6" s="46">
        <f>I6*6</f>
        <v>126000</v>
      </c>
    </row>
    <row r="7" spans="2:10" x14ac:dyDescent="0.35">
      <c r="B7" t="s">
        <v>339</v>
      </c>
      <c r="C7" s="7">
        <v>0</v>
      </c>
      <c r="H7" t="s">
        <v>344</v>
      </c>
      <c r="I7" s="46">
        <v>24180</v>
      </c>
      <c r="J7" s="94">
        <f>I7*6</f>
        <v>145080</v>
      </c>
    </row>
    <row r="8" spans="2:10" x14ac:dyDescent="0.35">
      <c r="B8" t="s">
        <v>5</v>
      </c>
      <c r="C8" s="7">
        <f>SUBTOTAL(109,Table612[Importe])</f>
        <v>43580</v>
      </c>
      <c r="D8">
        <f>Table612[[#Totals],[Importe]]-10000</f>
        <v>33580</v>
      </c>
      <c r="I8" t="s">
        <v>5</v>
      </c>
      <c r="J8" s="8">
        <f>SUM(J4:J7)</f>
        <v>476190</v>
      </c>
    </row>
    <row r="9" spans="2:10" x14ac:dyDescent="0.35">
      <c r="D9">
        <f>D8/2</f>
        <v>16790</v>
      </c>
    </row>
  </sheetData>
  <mergeCells count="1">
    <mergeCell ref="B2:C2"/>
  </mergeCells>
  <pageMargins left="0.7" right="0.7" top="0.75" bottom="0.75" header="0.3" footer="0.3"/>
  <pageSetup orientation="portrait" horizontalDpi="0" verticalDpi="0" r:id="rId1"/>
  <ignoredErrors>
    <ignoredError sqref="I4 I6:I7" calculatedColumn="1"/>
  </ignoredErrors>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25"/>
  <sheetViews>
    <sheetView workbookViewId="0">
      <selection activeCell="G20" sqref="G20"/>
    </sheetView>
  </sheetViews>
  <sheetFormatPr defaultRowHeight="14.5" x14ac:dyDescent="0.35"/>
  <cols>
    <col min="3" max="3" width="10.1796875" customWidth="1"/>
    <col min="4" max="6" width="14.90625" customWidth="1"/>
    <col min="8" max="8" width="12.90625" bestFit="1" customWidth="1"/>
    <col min="9" max="9" width="12.08984375" bestFit="1" customWidth="1"/>
    <col min="10" max="10" width="11.08984375" bestFit="1" customWidth="1"/>
    <col min="11" max="11" width="12.08984375" style="6" bestFit="1" customWidth="1"/>
  </cols>
  <sheetData>
    <row r="2" spans="3:11" x14ac:dyDescent="0.35">
      <c r="C2" t="s">
        <v>296</v>
      </c>
      <c r="D2" t="s">
        <v>299</v>
      </c>
      <c r="E2" t="s">
        <v>297</v>
      </c>
      <c r="F2" t="s">
        <v>298</v>
      </c>
    </row>
    <row r="3" spans="3:11" x14ac:dyDescent="0.35">
      <c r="C3" s="83">
        <v>43040</v>
      </c>
      <c r="D3" s="6">
        <v>1000</v>
      </c>
      <c r="E3" s="6">
        <v>0</v>
      </c>
      <c r="F3" s="6">
        <v>830</v>
      </c>
      <c r="H3" s="100" t="s">
        <v>337</v>
      </c>
      <c r="I3" s="102" t="s">
        <v>338</v>
      </c>
      <c r="J3" t="s">
        <v>294</v>
      </c>
      <c r="K3" s="6" t="s">
        <v>301</v>
      </c>
    </row>
    <row r="4" spans="3:11" x14ac:dyDescent="0.35">
      <c r="C4" s="83">
        <v>43070</v>
      </c>
      <c r="D4" s="6">
        <v>16333</v>
      </c>
      <c r="E4" s="6">
        <v>0</v>
      </c>
      <c r="F4" s="6">
        <v>13557</v>
      </c>
      <c r="H4" s="101"/>
      <c r="I4" s="103"/>
      <c r="J4" t="s">
        <v>298</v>
      </c>
      <c r="K4" s="6">
        <v>252057</v>
      </c>
    </row>
    <row r="5" spans="3:11" x14ac:dyDescent="0.35">
      <c r="C5" s="83">
        <v>43101</v>
      </c>
      <c r="D5" s="6">
        <v>15000</v>
      </c>
      <c r="E5" s="6">
        <v>0</v>
      </c>
      <c r="F5" s="6">
        <v>12450</v>
      </c>
      <c r="H5" s="82">
        <v>22908</v>
      </c>
      <c r="I5" s="82">
        <v>26900</v>
      </c>
      <c r="J5" s="61" t="s">
        <v>300</v>
      </c>
      <c r="K5" s="62">
        <v>-33000</v>
      </c>
    </row>
    <row r="6" spans="3:11" x14ac:dyDescent="0.35">
      <c r="C6" s="83">
        <v>43132</v>
      </c>
      <c r="D6" s="6">
        <v>15000</v>
      </c>
      <c r="E6" s="6">
        <v>0</v>
      </c>
      <c r="F6" s="6">
        <v>12450</v>
      </c>
      <c r="H6" s="82">
        <v>22908</v>
      </c>
      <c r="I6" s="7">
        <f>H6*1.1</f>
        <v>25198.800000000003</v>
      </c>
      <c r="J6" s="63" t="s">
        <v>302</v>
      </c>
      <c r="K6" s="64">
        <f>-(6300+4725*4)</f>
        <v>-25200</v>
      </c>
    </row>
    <row r="7" spans="3:11" x14ac:dyDescent="0.35">
      <c r="C7" s="83">
        <v>43160</v>
      </c>
      <c r="D7" s="6">
        <v>15000</v>
      </c>
      <c r="E7" s="6">
        <v>0</v>
      </c>
      <c r="F7" s="6">
        <v>12450</v>
      </c>
      <c r="H7" s="82">
        <v>22908</v>
      </c>
      <c r="I7" s="7">
        <f>H7*1.1</f>
        <v>25198.800000000003</v>
      </c>
      <c r="J7" t="s">
        <v>303</v>
      </c>
      <c r="K7" s="84">
        <f>-(6000+4000+4000+4000)</f>
        <v>-18000</v>
      </c>
    </row>
    <row r="8" spans="3:11" x14ac:dyDescent="0.35">
      <c r="C8" s="83">
        <v>43191</v>
      </c>
      <c r="D8" s="6">
        <v>15100</v>
      </c>
      <c r="E8" s="6">
        <v>0</v>
      </c>
      <c r="F8" s="6">
        <v>12533</v>
      </c>
      <c r="H8" s="82">
        <v>22908</v>
      </c>
      <c r="I8" s="7">
        <f>H8*1.1</f>
        <v>25198.800000000003</v>
      </c>
      <c r="J8" t="s">
        <v>304</v>
      </c>
      <c r="K8" s="84">
        <v>-45000</v>
      </c>
    </row>
    <row r="9" spans="3:11" x14ac:dyDescent="0.35">
      <c r="C9" s="83">
        <v>43221</v>
      </c>
      <c r="D9" s="6">
        <v>20000</v>
      </c>
      <c r="E9" s="6">
        <v>0</v>
      </c>
      <c r="F9" s="6">
        <v>16600</v>
      </c>
      <c r="H9" s="82">
        <v>22908</v>
      </c>
      <c r="I9" s="7">
        <f>$I$8*1.15</f>
        <v>28978.620000000003</v>
      </c>
      <c r="J9" t="s">
        <v>305</v>
      </c>
      <c r="K9" s="84">
        <f>-(13*40*13)</f>
        <v>-6760</v>
      </c>
    </row>
    <row r="10" spans="3:11" x14ac:dyDescent="0.35">
      <c r="C10" s="83">
        <v>43252</v>
      </c>
      <c r="D10" s="6">
        <v>30000</v>
      </c>
      <c r="E10" s="6">
        <v>1365</v>
      </c>
      <c r="F10" s="6">
        <v>26265</v>
      </c>
      <c r="H10" s="82">
        <v>34362</v>
      </c>
      <c r="I10" s="7">
        <f>$I$8*1.15*1.5</f>
        <v>43467.930000000008</v>
      </c>
      <c r="J10" s="61" t="s">
        <v>306</v>
      </c>
      <c r="K10" s="62">
        <v>-11000</v>
      </c>
    </row>
    <row r="11" spans="3:11" x14ac:dyDescent="0.35">
      <c r="C11" s="83">
        <v>43282</v>
      </c>
      <c r="D11" s="6">
        <v>24000</v>
      </c>
      <c r="E11" s="6">
        <v>841</v>
      </c>
      <c r="F11" s="6">
        <v>20761</v>
      </c>
      <c r="H11" s="82">
        <v>22908</v>
      </c>
      <c r="I11" s="7">
        <f>$I$8*1.15</f>
        <v>28978.620000000003</v>
      </c>
      <c r="J11" s="59" t="s">
        <v>307</v>
      </c>
      <c r="K11" s="60">
        <v>-32000</v>
      </c>
    </row>
    <row r="12" spans="3:11" x14ac:dyDescent="0.35">
      <c r="C12" s="83">
        <v>43313</v>
      </c>
      <c r="D12" s="6">
        <v>24000</v>
      </c>
      <c r="E12" s="6">
        <v>913</v>
      </c>
      <c r="F12" s="6">
        <v>20833</v>
      </c>
      <c r="H12" s="82">
        <v>22908</v>
      </c>
      <c r="I12" s="7">
        <f>$I$8*1.15</f>
        <v>28978.620000000003</v>
      </c>
      <c r="J12" s="63" t="s">
        <v>308</v>
      </c>
      <c r="K12" s="64">
        <v>-20000</v>
      </c>
    </row>
    <row r="13" spans="3:11" x14ac:dyDescent="0.35">
      <c r="C13" s="83">
        <v>43344</v>
      </c>
      <c r="D13" s="6">
        <v>24000</v>
      </c>
      <c r="E13" s="6">
        <v>730</v>
      </c>
      <c r="F13" s="6">
        <v>20650</v>
      </c>
      <c r="H13" s="82">
        <v>22908</v>
      </c>
      <c r="I13" s="7">
        <f>$I$8*1.15</f>
        <v>28978.620000000003</v>
      </c>
      <c r="J13" s="63" t="s">
        <v>309</v>
      </c>
      <c r="K13" s="64">
        <v>-12000</v>
      </c>
    </row>
    <row r="14" spans="3:11" x14ac:dyDescent="0.35">
      <c r="C14" s="83">
        <v>43374</v>
      </c>
      <c r="D14" s="6">
        <v>27600</v>
      </c>
      <c r="E14" s="6">
        <v>0</v>
      </c>
      <c r="F14" s="6">
        <v>22908</v>
      </c>
      <c r="H14" s="82">
        <v>22908</v>
      </c>
      <c r="I14" s="7">
        <f>$I$8*1.15*1.1</f>
        <v>31876.482000000007</v>
      </c>
      <c r="J14" t="s">
        <v>310</v>
      </c>
      <c r="K14" s="84">
        <v>-10000</v>
      </c>
    </row>
    <row r="15" spans="3:11" x14ac:dyDescent="0.35">
      <c r="C15" s="83">
        <v>43405</v>
      </c>
      <c r="D15" s="6">
        <v>27600</v>
      </c>
      <c r="E15" s="6">
        <v>2500</v>
      </c>
      <c r="F15" s="6">
        <v>25408</v>
      </c>
      <c r="H15" s="82">
        <v>22908</v>
      </c>
      <c r="I15" s="7">
        <f>$I$8*1.15*1.1</f>
        <v>31876.482000000007</v>
      </c>
      <c r="J15" t="s">
        <v>336</v>
      </c>
      <c r="K15" s="93">
        <f>600*12*-1</f>
        <v>-7200</v>
      </c>
    </row>
    <row r="16" spans="3:11" x14ac:dyDescent="0.35">
      <c r="C16" s="83">
        <v>43435</v>
      </c>
      <c r="D16" s="6">
        <v>41400</v>
      </c>
      <c r="E16" s="84">
        <v>0</v>
      </c>
      <c r="F16" s="6">
        <v>34362</v>
      </c>
      <c r="H16" s="85">
        <v>34362</v>
      </c>
      <c r="I16" s="7">
        <f>$I$8*1.15*1.1*1.5</f>
        <v>47814.723000000013</v>
      </c>
      <c r="J16" t="s">
        <v>5</v>
      </c>
      <c r="K16" s="92">
        <f>SUBTOTAL(109,Table10[Column2])</f>
        <v>31897</v>
      </c>
    </row>
    <row r="17" spans="3:10" x14ac:dyDescent="0.35">
      <c r="C17" s="83">
        <v>43466</v>
      </c>
      <c r="D17" s="93">
        <v>28888</v>
      </c>
      <c r="E17" s="93">
        <v>2500.96</v>
      </c>
      <c r="F17" s="93">
        <v>26478</v>
      </c>
      <c r="H17" s="86">
        <f>SUM(H5:H16)</f>
        <v>297804</v>
      </c>
      <c r="I17" s="86">
        <f>SUM(I5:I16)</f>
        <v>373446.49700000003</v>
      </c>
    </row>
    <row r="18" spans="3:10" x14ac:dyDescent="0.35">
      <c r="C18" t="s">
        <v>5</v>
      </c>
      <c r="D18" s="92">
        <f>SUBTOTAL(109,Table9[Hab c/Desc])</f>
        <v>324921</v>
      </c>
      <c r="E18" s="7">
        <f>SUBTOTAL(109,Table9[Hab s/Desc])</f>
        <v>8849.9599999999991</v>
      </c>
      <c r="F18" s="92">
        <f>SUBTOTAL(109,Table9[Neto])</f>
        <v>278535</v>
      </c>
      <c r="J18" s="7"/>
    </row>
    <row r="23" spans="3:10" x14ac:dyDescent="0.35">
      <c r="E23" t="s">
        <v>348</v>
      </c>
      <c r="F23" t="s">
        <v>347</v>
      </c>
    </row>
    <row r="24" spans="3:10" x14ac:dyDescent="0.35">
      <c r="E24">
        <v>27600</v>
      </c>
      <c r="F24">
        <f>E24*0.83</f>
        <v>22908</v>
      </c>
    </row>
    <row r="25" spans="3:10" x14ac:dyDescent="0.35">
      <c r="D25">
        <v>15</v>
      </c>
      <c r="E25">
        <f>E24*(1+D25/100)</f>
        <v>31739.999999999996</v>
      </c>
      <c r="F25">
        <f>E25*0.83</f>
        <v>26344.199999999997</v>
      </c>
      <c r="G25">
        <f>F25-F24</f>
        <v>3436.1999999999971</v>
      </c>
    </row>
  </sheetData>
  <mergeCells count="2">
    <mergeCell ref="H3:H4"/>
    <mergeCell ref="I3:I4"/>
  </mergeCells>
  <pageMargins left="0.7" right="0.7" top="0.75" bottom="0.75" header="0.3" footer="0.3"/>
  <pageSetup orientation="portrait" horizontalDpi="0" verticalDpi="0"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workbookViewId="0">
      <selection activeCell="J55" sqref="J55"/>
    </sheetView>
  </sheetViews>
  <sheetFormatPr defaultRowHeight="14.5" x14ac:dyDescent="0.35"/>
  <cols>
    <col min="1" max="1" width="10.453125" style="67" bestFit="1" customWidth="1"/>
    <col min="2" max="2" width="43.36328125" style="67" customWidth="1"/>
    <col min="3" max="5" width="16.08984375" style="67" customWidth="1"/>
    <col min="6" max="6" width="9" style="67" bestFit="1" customWidth="1"/>
    <col min="7" max="8" width="8.7265625" style="67"/>
    <col min="9" max="9" width="22.26953125" style="67" bestFit="1" customWidth="1"/>
    <col min="10" max="10" width="11.7265625" style="67" bestFit="1" customWidth="1"/>
    <col min="11" max="11" width="10.7265625" style="67" bestFit="1" customWidth="1"/>
    <col min="12" max="16384" width="8.7265625" style="67"/>
  </cols>
  <sheetData>
    <row r="1" spans="1:6" x14ac:dyDescent="0.35">
      <c r="A1" s="67" t="s">
        <v>1</v>
      </c>
      <c r="B1" s="67" t="s">
        <v>15</v>
      </c>
      <c r="C1" s="67" t="s">
        <v>16</v>
      </c>
      <c r="D1" s="67" t="s">
        <v>17</v>
      </c>
      <c r="E1" s="67" t="s">
        <v>18</v>
      </c>
      <c r="F1" s="67" t="s">
        <v>220</v>
      </c>
    </row>
    <row r="2" spans="1:6" x14ac:dyDescent="0.35">
      <c r="A2" s="67" t="s">
        <v>221</v>
      </c>
      <c r="B2" s="67" t="s">
        <v>222</v>
      </c>
      <c r="C2" s="67">
        <v>-100</v>
      </c>
      <c r="D2" s="67">
        <v>0</v>
      </c>
      <c r="E2" s="67">
        <v>5767.24</v>
      </c>
    </row>
    <row r="3" spans="1:6" x14ac:dyDescent="0.35">
      <c r="A3" s="67" t="s">
        <v>223</v>
      </c>
      <c r="B3" s="67" t="s">
        <v>224</v>
      </c>
      <c r="C3" s="67">
        <v>0</v>
      </c>
      <c r="D3" s="68">
        <v>4810.3900000000003</v>
      </c>
      <c r="E3" s="67">
        <v>5867.24</v>
      </c>
    </row>
    <row r="4" spans="1:6" x14ac:dyDescent="0.35">
      <c r="A4" s="67" t="s">
        <v>225</v>
      </c>
      <c r="B4" s="67" t="s">
        <v>38</v>
      </c>
      <c r="C4" s="68">
        <v>-7572.61</v>
      </c>
      <c r="D4" s="67">
        <v>0</v>
      </c>
      <c r="E4" s="67">
        <v>1056.8499999999999</v>
      </c>
    </row>
    <row r="5" spans="1:6" x14ac:dyDescent="0.35">
      <c r="A5" s="67" t="s">
        <v>225</v>
      </c>
      <c r="B5" s="67" t="s">
        <v>38</v>
      </c>
      <c r="C5" s="67">
        <v>-450</v>
      </c>
      <c r="D5" s="67">
        <v>0</v>
      </c>
      <c r="E5" s="67">
        <v>8629.4599999999991</v>
      </c>
    </row>
    <row r="6" spans="1:6" x14ac:dyDescent="0.35">
      <c r="A6" s="67" t="s">
        <v>225</v>
      </c>
      <c r="B6" s="67" t="s">
        <v>226</v>
      </c>
      <c r="C6" s="68">
        <v>-16000</v>
      </c>
      <c r="D6" s="67">
        <v>0</v>
      </c>
      <c r="E6" s="67">
        <v>9079.4599999999991</v>
      </c>
    </row>
    <row r="7" spans="1:6" x14ac:dyDescent="0.35">
      <c r="A7" s="67" t="s">
        <v>225</v>
      </c>
      <c r="B7" s="67" t="s">
        <v>227</v>
      </c>
      <c r="C7" s="67">
        <v>-268.99</v>
      </c>
      <c r="D7" s="67">
        <v>0</v>
      </c>
      <c r="E7" s="67">
        <v>25079.46</v>
      </c>
    </row>
    <row r="8" spans="1:6" x14ac:dyDescent="0.35">
      <c r="A8" s="67" t="s">
        <v>225</v>
      </c>
      <c r="B8" s="67" t="s">
        <v>228</v>
      </c>
      <c r="C8" s="68">
        <v>-2000</v>
      </c>
      <c r="D8" s="67">
        <v>0</v>
      </c>
      <c r="E8" s="67">
        <v>25348.45</v>
      </c>
    </row>
    <row r="9" spans="1:6" x14ac:dyDescent="0.35">
      <c r="A9" s="67" t="s">
        <v>225</v>
      </c>
      <c r="B9" s="67" t="s">
        <v>54</v>
      </c>
      <c r="C9" s="67">
        <v>-292.92</v>
      </c>
      <c r="D9" s="67">
        <v>0</v>
      </c>
      <c r="E9" s="67">
        <v>27348.45</v>
      </c>
    </row>
    <row r="10" spans="1:6" x14ac:dyDescent="0.35">
      <c r="A10" s="59" t="s">
        <v>229</v>
      </c>
      <c r="B10" s="59" t="s">
        <v>44</v>
      </c>
      <c r="C10" s="59">
        <v>0</v>
      </c>
      <c r="D10" s="69">
        <v>25408</v>
      </c>
      <c r="E10" s="59">
        <v>27641.37</v>
      </c>
      <c r="F10" s="59"/>
    </row>
    <row r="11" spans="1:6" x14ac:dyDescent="0.35">
      <c r="A11" s="63" t="s">
        <v>229</v>
      </c>
      <c r="B11" s="63" t="s">
        <v>230</v>
      </c>
      <c r="C11" s="63">
        <v>-10</v>
      </c>
      <c r="D11" s="63">
        <v>0</v>
      </c>
      <c r="E11" s="63">
        <v>2233.37</v>
      </c>
      <c r="F11" s="63"/>
    </row>
    <row r="12" spans="1:6" x14ac:dyDescent="0.35">
      <c r="A12" s="61" t="s">
        <v>229</v>
      </c>
      <c r="B12" s="61" t="s">
        <v>228</v>
      </c>
      <c r="C12" s="62">
        <v>-550</v>
      </c>
      <c r="D12" s="62">
        <v>0</v>
      </c>
      <c r="E12" s="62">
        <v>2243.37</v>
      </c>
      <c r="F12" s="61" t="s">
        <v>231</v>
      </c>
    </row>
    <row r="13" spans="1:6" x14ac:dyDescent="0.35">
      <c r="A13" s="63" t="s">
        <v>229</v>
      </c>
      <c r="B13" s="63" t="s">
        <v>232</v>
      </c>
      <c r="C13" s="63">
        <v>0</v>
      </c>
      <c r="D13" s="70">
        <v>2000</v>
      </c>
      <c r="E13" s="63">
        <v>2793.37</v>
      </c>
      <c r="F13" s="63"/>
    </row>
    <row r="14" spans="1:6" x14ac:dyDescent="0.35">
      <c r="A14" s="61" t="s">
        <v>233</v>
      </c>
      <c r="B14" s="61" t="s">
        <v>234</v>
      </c>
      <c r="C14" s="62">
        <v>-200</v>
      </c>
      <c r="D14" s="62">
        <v>0</v>
      </c>
      <c r="E14" s="62">
        <v>793.37</v>
      </c>
      <c r="F14" s="61" t="s">
        <v>231</v>
      </c>
    </row>
    <row r="15" spans="1:6" x14ac:dyDescent="0.35">
      <c r="A15" s="61" t="s">
        <v>233</v>
      </c>
      <c r="B15" s="61" t="s">
        <v>235</v>
      </c>
      <c r="C15" s="62">
        <v>-200</v>
      </c>
      <c r="D15" s="62">
        <v>0</v>
      </c>
      <c r="E15" s="62">
        <v>993.37</v>
      </c>
      <c r="F15" s="61" t="s">
        <v>231</v>
      </c>
    </row>
    <row r="16" spans="1:6" x14ac:dyDescent="0.35">
      <c r="A16" s="61" t="s">
        <v>233</v>
      </c>
      <c r="B16" s="61" t="s">
        <v>235</v>
      </c>
      <c r="C16" s="62">
        <v>-400</v>
      </c>
      <c r="D16" s="62">
        <v>0</v>
      </c>
      <c r="E16" s="62">
        <v>1193.3699999999999</v>
      </c>
      <c r="F16" s="61" t="s">
        <v>231</v>
      </c>
    </row>
    <row r="17" spans="1:6" x14ac:dyDescent="0.35">
      <c r="A17" s="61" t="s">
        <v>233</v>
      </c>
      <c r="B17" s="61" t="s">
        <v>236</v>
      </c>
      <c r="C17" s="62">
        <v>-385</v>
      </c>
      <c r="D17" s="62">
        <v>0</v>
      </c>
      <c r="E17" s="62">
        <v>1593.37</v>
      </c>
      <c r="F17" s="61" t="s">
        <v>231</v>
      </c>
    </row>
    <row r="18" spans="1:6" x14ac:dyDescent="0.35">
      <c r="A18" s="67" t="s">
        <v>233</v>
      </c>
      <c r="B18" s="67" t="s">
        <v>237</v>
      </c>
      <c r="C18" s="67">
        <v>0</v>
      </c>
      <c r="D18" s="67">
        <v>385</v>
      </c>
      <c r="E18" s="67">
        <v>1978.37</v>
      </c>
    </row>
    <row r="19" spans="1:6" x14ac:dyDescent="0.35">
      <c r="A19" s="67" t="s">
        <v>233</v>
      </c>
      <c r="B19" s="67" t="s">
        <v>236</v>
      </c>
      <c r="C19" s="67">
        <v>-385</v>
      </c>
      <c r="D19" s="67">
        <v>0</v>
      </c>
      <c r="E19" s="67">
        <v>1593.37</v>
      </c>
    </row>
    <row r="20" spans="1:6" x14ac:dyDescent="0.35">
      <c r="A20" s="67" t="s">
        <v>233</v>
      </c>
      <c r="B20" s="67" t="s">
        <v>238</v>
      </c>
      <c r="C20" s="67">
        <v>0</v>
      </c>
      <c r="D20" s="67">
        <v>38.6</v>
      </c>
      <c r="E20" s="67">
        <v>1978.37</v>
      </c>
    </row>
    <row r="21" spans="1:6" x14ac:dyDescent="0.35">
      <c r="A21" s="67" t="s">
        <v>233</v>
      </c>
      <c r="B21" s="67" t="s">
        <v>239</v>
      </c>
      <c r="C21" s="67">
        <v>-38.6</v>
      </c>
      <c r="D21" s="67">
        <v>0</v>
      </c>
      <c r="E21" s="67">
        <v>1939.77</v>
      </c>
    </row>
    <row r="22" spans="1:6" x14ac:dyDescent="0.35">
      <c r="A22" s="67" t="s">
        <v>233</v>
      </c>
      <c r="B22" s="67" t="s">
        <v>237</v>
      </c>
      <c r="C22" s="67">
        <v>0</v>
      </c>
      <c r="D22" s="67">
        <v>385</v>
      </c>
      <c r="E22" s="67">
        <v>1978.37</v>
      </c>
    </row>
    <row r="23" spans="1:6" x14ac:dyDescent="0.35">
      <c r="A23" s="67" t="s">
        <v>233</v>
      </c>
      <c r="B23" s="67" t="s">
        <v>236</v>
      </c>
      <c r="C23" s="67">
        <v>-385</v>
      </c>
      <c r="D23" s="67">
        <v>0</v>
      </c>
      <c r="E23" s="67">
        <v>1593.37</v>
      </c>
    </row>
    <row r="24" spans="1:6" x14ac:dyDescent="0.35">
      <c r="A24" s="67" t="s">
        <v>233</v>
      </c>
      <c r="B24" s="67" t="s">
        <v>237</v>
      </c>
      <c r="C24" s="67">
        <v>0</v>
      </c>
      <c r="D24" s="67">
        <v>385</v>
      </c>
      <c r="E24" s="67">
        <v>1978.37</v>
      </c>
    </row>
    <row r="25" spans="1:6" x14ac:dyDescent="0.35">
      <c r="A25" s="67" t="s">
        <v>233</v>
      </c>
      <c r="B25" s="67" t="s">
        <v>236</v>
      </c>
      <c r="C25" s="67">
        <v>-385</v>
      </c>
      <c r="D25" s="67">
        <v>0</v>
      </c>
      <c r="E25" s="67">
        <v>1593.37</v>
      </c>
    </row>
    <row r="26" spans="1:6" x14ac:dyDescent="0.35">
      <c r="A26" s="67" t="s">
        <v>233</v>
      </c>
      <c r="B26" s="67" t="s">
        <v>240</v>
      </c>
      <c r="C26" s="71">
        <v>0</v>
      </c>
      <c r="D26" s="71">
        <v>700</v>
      </c>
      <c r="E26" s="71">
        <v>1978.37</v>
      </c>
      <c r="F26" s="67" t="s">
        <v>231</v>
      </c>
    </row>
    <row r="27" spans="1:6" x14ac:dyDescent="0.35">
      <c r="A27" s="63" t="s">
        <v>241</v>
      </c>
      <c r="B27" s="63" t="s">
        <v>230</v>
      </c>
      <c r="C27" s="70">
        <v>-4000</v>
      </c>
      <c r="D27" s="63">
        <v>0</v>
      </c>
      <c r="E27" s="63">
        <v>1278.3699999999999</v>
      </c>
      <c r="F27" s="63"/>
    </row>
    <row r="28" spans="1:6" x14ac:dyDescent="0.35">
      <c r="A28" s="63" t="s">
        <v>241</v>
      </c>
      <c r="B28" s="63" t="s">
        <v>232</v>
      </c>
      <c r="C28" s="63">
        <v>0</v>
      </c>
      <c r="D28" s="70">
        <v>5000</v>
      </c>
      <c r="E28" s="63">
        <v>5278.37</v>
      </c>
      <c r="F28" s="63"/>
    </row>
    <row r="29" spans="1:6" x14ac:dyDescent="0.35">
      <c r="A29" s="61" t="s">
        <v>242</v>
      </c>
      <c r="B29" s="61" t="s">
        <v>27</v>
      </c>
      <c r="C29" s="62">
        <v>-378</v>
      </c>
      <c r="D29" s="62">
        <v>0</v>
      </c>
      <c r="E29" s="62">
        <v>278.37</v>
      </c>
      <c r="F29" s="61" t="s">
        <v>231</v>
      </c>
    </row>
    <row r="30" spans="1:6" x14ac:dyDescent="0.35">
      <c r="A30" s="61" t="s">
        <v>243</v>
      </c>
      <c r="B30" s="61" t="s">
        <v>244</v>
      </c>
      <c r="C30" s="62">
        <v>-500</v>
      </c>
      <c r="D30" s="62">
        <v>0</v>
      </c>
      <c r="E30" s="62">
        <v>656.37</v>
      </c>
      <c r="F30" s="61" t="s">
        <v>231</v>
      </c>
    </row>
    <row r="31" spans="1:6" x14ac:dyDescent="0.35">
      <c r="A31" s="63" t="s">
        <v>243</v>
      </c>
      <c r="B31" s="63" t="s">
        <v>232</v>
      </c>
      <c r="C31" s="63">
        <v>0</v>
      </c>
      <c r="D31" s="70">
        <v>1000</v>
      </c>
      <c r="E31" s="63">
        <v>1156.3699999999999</v>
      </c>
      <c r="F31" s="63"/>
    </row>
    <row r="32" spans="1:6" x14ac:dyDescent="0.35">
      <c r="A32" s="61" t="s">
        <v>245</v>
      </c>
      <c r="B32" s="61" t="s">
        <v>246</v>
      </c>
      <c r="C32" s="62">
        <v>-300</v>
      </c>
      <c r="D32" s="62">
        <v>0</v>
      </c>
      <c r="E32" s="62">
        <v>156.37</v>
      </c>
      <c r="F32" s="61" t="s">
        <v>231</v>
      </c>
    </row>
    <row r="33" spans="1:6" x14ac:dyDescent="0.35">
      <c r="A33" s="61" t="s">
        <v>245</v>
      </c>
      <c r="B33" s="61" t="s">
        <v>54</v>
      </c>
      <c r="C33" s="62">
        <v>-1086.44</v>
      </c>
      <c r="D33" s="62">
        <v>0</v>
      </c>
      <c r="E33" s="62">
        <v>456.37</v>
      </c>
      <c r="F33" s="61" t="s">
        <v>231</v>
      </c>
    </row>
    <row r="34" spans="1:6" x14ac:dyDescent="0.35">
      <c r="A34" s="67" t="s">
        <v>247</v>
      </c>
      <c r="B34" s="67" t="s">
        <v>248</v>
      </c>
      <c r="C34" s="67">
        <v>0</v>
      </c>
      <c r="D34" s="67">
        <v>0.01</v>
      </c>
      <c r="E34" s="67">
        <v>1542.81</v>
      </c>
    </row>
    <row r="35" spans="1:6" x14ac:dyDescent="0.35">
      <c r="A35" s="67" t="s">
        <v>247</v>
      </c>
      <c r="B35" s="67" t="s">
        <v>249</v>
      </c>
      <c r="C35" s="67">
        <v>0</v>
      </c>
      <c r="D35" s="67">
        <v>30</v>
      </c>
      <c r="E35" s="67">
        <v>1542.8</v>
      </c>
    </row>
    <row r="36" spans="1:6" x14ac:dyDescent="0.35">
      <c r="A36" s="61" t="s">
        <v>247</v>
      </c>
      <c r="B36" s="61" t="s">
        <v>246</v>
      </c>
      <c r="C36" s="62">
        <v>-400</v>
      </c>
      <c r="D36" s="62">
        <v>0</v>
      </c>
      <c r="E36" s="62">
        <v>1512.8</v>
      </c>
      <c r="F36" s="61" t="s">
        <v>231</v>
      </c>
    </row>
    <row r="37" spans="1:6" x14ac:dyDescent="0.35">
      <c r="A37" s="61" t="s">
        <v>250</v>
      </c>
      <c r="B37" s="61" t="s">
        <v>251</v>
      </c>
      <c r="C37" s="62">
        <v>-200</v>
      </c>
      <c r="D37" s="62">
        <v>0</v>
      </c>
      <c r="E37" s="62">
        <v>1912.8</v>
      </c>
      <c r="F37" s="61" t="s">
        <v>231</v>
      </c>
    </row>
    <row r="38" spans="1:6" x14ac:dyDescent="0.35">
      <c r="A38" s="63" t="s">
        <v>252</v>
      </c>
      <c r="B38" s="63" t="s">
        <v>253</v>
      </c>
      <c r="C38" s="63">
        <v>0</v>
      </c>
      <c r="D38" s="63">
        <v>10</v>
      </c>
      <c r="E38" s="63">
        <v>2112.8000000000002</v>
      </c>
      <c r="F38" s="63"/>
    </row>
    <row r="39" spans="1:6" x14ac:dyDescent="0.35">
      <c r="A39" s="63" t="s">
        <v>252</v>
      </c>
      <c r="B39" s="63" t="s">
        <v>226</v>
      </c>
      <c r="C39" s="63">
        <v>-5000</v>
      </c>
      <c r="D39" s="63">
        <v>0</v>
      </c>
      <c r="E39" s="63">
        <v>2102.8000000000002</v>
      </c>
      <c r="F39" s="63"/>
    </row>
    <row r="40" spans="1:6" x14ac:dyDescent="0.35">
      <c r="A40" s="63" t="s">
        <v>254</v>
      </c>
      <c r="B40" s="63" t="s">
        <v>230</v>
      </c>
      <c r="C40" s="63">
        <v>-2000</v>
      </c>
      <c r="D40" s="63">
        <v>0</v>
      </c>
      <c r="E40" s="63">
        <v>7102.8</v>
      </c>
      <c r="F40" s="63"/>
    </row>
    <row r="41" spans="1:6" x14ac:dyDescent="0.35">
      <c r="A41" s="63" t="s">
        <v>254</v>
      </c>
      <c r="B41" s="63" t="s">
        <v>230</v>
      </c>
      <c r="C41" s="63">
        <v>-2000</v>
      </c>
      <c r="D41" s="63">
        <v>0</v>
      </c>
      <c r="E41" s="63">
        <v>9102.7999999999993</v>
      </c>
      <c r="F41" s="63"/>
    </row>
    <row r="42" spans="1:6" x14ac:dyDescent="0.35">
      <c r="A42" s="61" t="s">
        <v>254</v>
      </c>
      <c r="B42" s="61" t="s">
        <v>246</v>
      </c>
      <c r="C42" s="62">
        <v>-400</v>
      </c>
      <c r="D42" s="62">
        <v>0</v>
      </c>
      <c r="E42" s="62">
        <v>11102.8</v>
      </c>
      <c r="F42" s="61" t="s">
        <v>231</v>
      </c>
    </row>
    <row r="43" spans="1:6" x14ac:dyDescent="0.35">
      <c r="A43" s="63" t="s">
        <v>255</v>
      </c>
      <c r="B43" s="63" t="s">
        <v>232</v>
      </c>
      <c r="C43" s="63">
        <v>0</v>
      </c>
      <c r="D43" s="70">
        <v>10000</v>
      </c>
      <c r="E43" s="63">
        <v>11502.8</v>
      </c>
      <c r="F43" s="63"/>
    </row>
    <row r="44" spans="1:6" x14ac:dyDescent="0.35">
      <c r="A44" s="61" t="s">
        <v>255</v>
      </c>
      <c r="B44" s="61" t="s">
        <v>256</v>
      </c>
      <c r="C44" s="62">
        <v>-1220.02</v>
      </c>
      <c r="D44" s="62">
        <v>0</v>
      </c>
      <c r="E44" s="62">
        <v>1502.8</v>
      </c>
      <c r="F44" s="61" t="s">
        <v>231</v>
      </c>
    </row>
    <row r="45" spans="1:6" x14ac:dyDescent="0.35">
      <c r="A45" s="63" t="s">
        <v>255</v>
      </c>
      <c r="B45" s="63" t="s">
        <v>232</v>
      </c>
      <c r="C45" s="63">
        <v>0</v>
      </c>
      <c r="D45" s="70">
        <v>1000</v>
      </c>
      <c r="E45" s="63">
        <v>2722.82</v>
      </c>
      <c r="F45" s="63"/>
    </row>
    <row r="46" spans="1:6" x14ac:dyDescent="0.35">
      <c r="A46" s="61" t="s">
        <v>257</v>
      </c>
      <c r="B46" s="61" t="s">
        <v>258</v>
      </c>
      <c r="C46" s="62">
        <v>-265</v>
      </c>
      <c r="D46" s="62">
        <v>0</v>
      </c>
      <c r="E46" s="62">
        <v>1722.82</v>
      </c>
      <c r="F46" s="61" t="s">
        <v>231</v>
      </c>
    </row>
    <row r="47" spans="1:6" x14ac:dyDescent="0.35">
      <c r="A47" s="63" t="s">
        <v>257</v>
      </c>
      <c r="B47" s="63" t="s">
        <v>232</v>
      </c>
      <c r="C47" s="63">
        <v>0</v>
      </c>
      <c r="D47" s="70">
        <v>1000</v>
      </c>
      <c r="E47" s="63">
        <v>1987.82</v>
      </c>
      <c r="F47" s="63"/>
    </row>
    <row r="48" spans="1:6" x14ac:dyDescent="0.35">
      <c r="A48" s="61" t="s">
        <v>257</v>
      </c>
      <c r="B48" s="61" t="s">
        <v>246</v>
      </c>
      <c r="C48" s="62">
        <v>-400</v>
      </c>
      <c r="D48" s="62">
        <v>0</v>
      </c>
      <c r="E48" s="62">
        <v>987.82</v>
      </c>
      <c r="F48" s="61" t="s">
        <v>231</v>
      </c>
    </row>
    <row r="49" spans="1:11" x14ac:dyDescent="0.35">
      <c r="A49" s="67" t="s">
        <v>259</v>
      </c>
      <c r="B49" s="67" t="s">
        <v>260</v>
      </c>
      <c r="C49" s="71">
        <v>0</v>
      </c>
      <c r="D49" s="71">
        <v>850</v>
      </c>
      <c r="E49" s="71">
        <v>1387.82</v>
      </c>
      <c r="F49" s="67" t="s">
        <v>261</v>
      </c>
    </row>
    <row r="50" spans="1:11" x14ac:dyDescent="0.35">
      <c r="A50" s="61" t="s">
        <v>262</v>
      </c>
      <c r="B50" s="61" t="s">
        <v>228</v>
      </c>
      <c r="C50" s="62">
        <v>-1700</v>
      </c>
      <c r="D50" s="62">
        <v>0</v>
      </c>
      <c r="E50" s="62">
        <v>537.82000000000005</v>
      </c>
      <c r="F50" s="61" t="s">
        <v>261</v>
      </c>
    </row>
    <row r="51" spans="1:11" x14ac:dyDescent="0.35">
      <c r="A51" s="61" t="s">
        <v>262</v>
      </c>
      <c r="B51" s="61" t="s">
        <v>40</v>
      </c>
      <c r="C51" s="62">
        <v>-7500</v>
      </c>
      <c r="D51" s="62">
        <v>0</v>
      </c>
      <c r="E51" s="62">
        <v>2237.8200000000002</v>
      </c>
      <c r="F51" s="61" t="s">
        <v>261</v>
      </c>
      <c r="I51" s="67" t="s">
        <v>263</v>
      </c>
      <c r="J51" s="66">
        <v>-7500</v>
      </c>
      <c r="K51" s="67">
        <v>-8000</v>
      </c>
    </row>
    <row r="52" spans="1:11" x14ac:dyDescent="0.35">
      <c r="A52" s="63" t="s">
        <v>262</v>
      </c>
      <c r="B52" s="63" t="s">
        <v>232</v>
      </c>
      <c r="C52" s="63">
        <v>0</v>
      </c>
      <c r="D52" s="70">
        <v>9000</v>
      </c>
      <c r="E52" s="63">
        <v>9737.82</v>
      </c>
      <c r="F52" s="63"/>
    </row>
    <row r="53" spans="1:11" x14ac:dyDescent="0.35">
      <c r="A53" s="61" t="s">
        <v>262</v>
      </c>
      <c r="B53" s="61" t="s">
        <v>264</v>
      </c>
      <c r="C53" s="62">
        <v>-181.5</v>
      </c>
      <c r="D53" s="62">
        <v>0</v>
      </c>
      <c r="E53" s="62">
        <v>737.82</v>
      </c>
      <c r="F53" s="61" t="s">
        <v>231</v>
      </c>
      <c r="I53" s="67" t="s">
        <v>265</v>
      </c>
      <c r="J53" s="66">
        <f>-1700+D49-2000</f>
        <v>-2850</v>
      </c>
      <c r="K53" s="67">
        <v>-2000</v>
      </c>
    </row>
    <row r="54" spans="1:11" x14ac:dyDescent="0.35">
      <c r="A54" s="61" t="s">
        <v>266</v>
      </c>
      <c r="B54" s="61" t="s">
        <v>38</v>
      </c>
      <c r="C54" s="62">
        <v>-7085.78</v>
      </c>
      <c r="D54" s="62">
        <v>0</v>
      </c>
      <c r="E54" s="62">
        <v>919.32</v>
      </c>
      <c r="F54" s="61" t="s">
        <v>261</v>
      </c>
      <c r="I54" s="67" t="s">
        <v>267</v>
      </c>
      <c r="J54" s="66">
        <v>-7085.78</v>
      </c>
      <c r="K54" s="67">
        <v>-7500</v>
      </c>
    </row>
    <row r="55" spans="1:11" x14ac:dyDescent="0.35">
      <c r="A55" s="61" t="s">
        <v>266</v>
      </c>
      <c r="B55" s="61" t="s">
        <v>268</v>
      </c>
      <c r="C55" s="62">
        <v>-300</v>
      </c>
      <c r="D55" s="62">
        <v>0</v>
      </c>
      <c r="E55" s="62">
        <v>8005.1</v>
      </c>
      <c r="F55" s="61" t="s">
        <v>231</v>
      </c>
      <c r="I55" s="67" t="s">
        <v>269</v>
      </c>
      <c r="J55" s="71">
        <f>SUM(C62,C61,C58,C57,C55,C53,C48,C46,C44,C42,C37,C36,C32,C30,C29,C17,C16,C15,C14)</f>
        <v>-7471.35</v>
      </c>
    </row>
    <row r="56" spans="1:11" x14ac:dyDescent="0.35">
      <c r="A56" s="63" t="s">
        <v>266</v>
      </c>
      <c r="B56" s="63" t="s">
        <v>232</v>
      </c>
      <c r="C56" s="63">
        <v>0</v>
      </c>
      <c r="D56" s="70">
        <v>8000</v>
      </c>
      <c r="E56" s="63">
        <v>8305.1</v>
      </c>
      <c r="F56" s="63"/>
    </row>
    <row r="57" spans="1:11" x14ac:dyDescent="0.35">
      <c r="A57" s="61" t="s">
        <v>266</v>
      </c>
      <c r="B57" s="61" t="s">
        <v>54</v>
      </c>
      <c r="C57" s="62">
        <v>-792.83</v>
      </c>
      <c r="D57" s="62">
        <v>0</v>
      </c>
      <c r="E57" s="62">
        <v>305.10000000000002</v>
      </c>
      <c r="F57" s="61" t="s">
        <v>231</v>
      </c>
    </row>
    <row r="58" spans="1:11" x14ac:dyDescent="0.35">
      <c r="A58" s="61" t="s">
        <v>270</v>
      </c>
      <c r="B58" s="61" t="s">
        <v>27</v>
      </c>
      <c r="C58" s="62">
        <v>-149</v>
      </c>
      <c r="D58" s="62">
        <v>0</v>
      </c>
      <c r="E58" s="62">
        <v>1097.93</v>
      </c>
      <c r="F58" s="61" t="s">
        <v>231</v>
      </c>
      <c r="J58" s="71">
        <f>SUM(J51:J55)</f>
        <v>-24907.129999999997</v>
      </c>
    </row>
    <row r="59" spans="1:11" x14ac:dyDescent="0.35">
      <c r="A59" s="63" t="s">
        <v>270</v>
      </c>
      <c r="B59" s="63" t="s">
        <v>226</v>
      </c>
      <c r="C59" s="70">
        <v>-10000</v>
      </c>
      <c r="D59" s="63">
        <v>0</v>
      </c>
      <c r="E59" s="63">
        <v>1246.93</v>
      </c>
      <c r="F59" s="63"/>
    </row>
    <row r="60" spans="1:11" x14ac:dyDescent="0.35">
      <c r="A60" s="63" t="s">
        <v>270</v>
      </c>
      <c r="B60" s="63" t="s">
        <v>232</v>
      </c>
      <c r="C60" s="63">
        <v>0</v>
      </c>
      <c r="D60" s="70">
        <v>10000</v>
      </c>
      <c r="E60" s="63">
        <v>11246.93</v>
      </c>
      <c r="F60" s="63"/>
    </row>
    <row r="61" spans="1:11" x14ac:dyDescent="0.35">
      <c r="A61" s="61" t="s">
        <v>271</v>
      </c>
      <c r="B61" s="61" t="s">
        <v>272</v>
      </c>
      <c r="C61" s="62">
        <v>-300</v>
      </c>
      <c r="D61" s="62">
        <v>0</v>
      </c>
      <c r="E61" s="62">
        <v>1246.93</v>
      </c>
      <c r="F61" s="61" t="s">
        <v>231</v>
      </c>
    </row>
    <row r="62" spans="1:11" x14ac:dyDescent="0.35">
      <c r="A62" s="61" t="s">
        <v>271</v>
      </c>
      <c r="B62" s="61" t="s">
        <v>273</v>
      </c>
      <c r="C62" s="62">
        <v>-500</v>
      </c>
      <c r="D62" s="62">
        <v>0</v>
      </c>
      <c r="E62" s="62">
        <v>1546.93</v>
      </c>
      <c r="F62" s="61" t="s">
        <v>231</v>
      </c>
    </row>
    <row r="63" spans="1:11" x14ac:dyDescent="0.35">
      <c r="A63" s="63" t="s">
        <v>271</v>
      </c>
      <c r="B63" s="63" t="s">
        <v>226</v>
      </c>
      <c r="C63" s="70">
        <v>-19000</v>
      </c>
      <c r="D63" s="63">
        <v>0</v>
      </c>
      <c r="E63" s="63">
        <v>2046.93</v>
      </c>
      <c r="F63" s="63"/>
    </row>
    <row r="64" spans="1:11" x14ac:dyDescent="0.35">
      <c r="A64" s="61" t="s">
        <v>271</v>
      </c>
      <c r="B64" s="61" t="s">
        <v>228</v>
      </c>
      <c r="C64" s="62">
        <v>-2000</v>
      </c>
      <c r="D64" s="62">
        <v>0</v>
      </c>
      <c r="E64" s="62">
        <v>21046.93</v>
      </c>
      <c r="F64" s="61" t="s">
        <v>261</v>
      </c>
      <c r="I64" s="71"/>
    </row>
    <row r="65" spans="1:6" x14ac:dyDescent="0.35">
      <c r="A65" s="59" t="s">
        <v>271</v>
      </c>
      <c r="B65" s="59" t="s">
        <v>44</v>
      </c>
      <c r="C65" s="60">
        <v>0</v>
      </c>
      <c r="D65" s="60">
        <v>22908</v>
      </c>
      <c r="E65" s="60">
        <v>23046.93</v>
      </c>
      <c r="F65" s="59" t="s">
        <v>231</v>
      </c>
    </row>
    <row r="66" spans="1:6" x14ac:dyDescent="0.35">
      <c r="A66" s="67" t="s">
        <v>5</v>
      </c>
      <c r="C66" s="71">
        <f>SUBTOTAL(109,Table1[Débito])</f>
        <v>-97281.69</v>
      </c>
      <c r="D66" s="71">
        <f>SUBTOTAL(109,Table1[Crédito])</f>
        <v>102910</v>
      </c>
      <c r="E66" s="71"/>
      <c r="F66" s="67">
        <f>SUBTOTAL(103,Table1[Detalle])</f>
        <v>28</v>
      </c>
    </row>
    <row r="69" spans="1:6" x14ac:dyDescent="0.35">
      <c r="D69" s="6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4:K36"/>
  <sheetViews>
    <sheetView topLeftCell="A25" zoomScaleNormal="100" workbookViewId="0">
      <selection activeCell="A16" sqref="A16"/>
    </sheetView>
  </sheetViews>
  <sheetFormatPr defaultRowHeight="14.5" x14ac:dyDescent="0.35"/>
  <cols>
    <col min="3" max="3" width="20.81640625" bestFit="1" customWidth="1"/>
    <col min="4" max="4" width="65.54296875" customWidth="1"/>
    <col min="5" max="5" width="10.81640625" bestFit="1" customWidth="1"/>
    <col min="6" max="6" width="10.1796875" bestFit="1" customWidth="1"/>
    <col min="7" max="7" width="11.453125" bestFit="1" customWidth="1"/>
    <col min="9" max="9" width="10.7265625" bestFit="1" customWidth="1"/>
    <col min="10" max="10" width="14.54296875" bestFit="1" customWidth="1"/>
    <col min="11" max="11" width="11.7265625" bestFit="1" customWidth="1"/>
  </cols>
  <sheetData>
    <row r="4" spans="2:11" x14ac:dyDescent="0.35">
      <c r="C4" t="s">
        <v>14</v>
      </c>
    </row>
    <row r="5" spans="2:11" x14ac:dyDescent="0.35">
      <c r="C5" s="11" t="s">
        <v>1</v>
      </c>
      <c r="D5" s="11" t="s">
        <v>15</v>
      </c>
      <c r="E5" s="11" t="s">
        <v>16</v>
      </c>
      <c r="F5" s="11" t="s">
        <v>17</v>
      </c>
      <c r="G5" s="11" t="s">
        <v>18</v>
      </c>
    </row>
    <row r="6" spans="2:11" x14ac:dyDescent="0.35">
      <c r="C6" s="9"/>
      <c r="D6" s="9"/>
      <c r="E6" s="9"/>
      <c r="F6" s="9"/>
      <c r="G6" s="9"/>
    </row>
    <row r="7" spans="2:11" x14ac:dyDescent="0.35">
      <c r="B7">
        <v>1</v>
      </c>
      <c r="C7" s="9" t="s">
        <v>19</v>
      </c>
      <c r="D7" s="9" t="s">
        <v>20</v>
      </c>
      <c r="E7" s="10">
        <v>-650</v>
      </c>
      <c r="F7" s="10">
        <v>0</v>
      </c>
      <c r="G7" s="10">
        <v>3118.8</v>
      </c>
    </row>
    <row r="8" spans="2:11" x14ac:dyDescent="0.35">
      <c r="C8" s="9" t="s">
        <v>21</v>
      </c>
      <c r="D8" s="9" t="s">
        <v>22</v>
      </c>
      <c r="E8" s="10">
        <v>-440</v>
      </c>
      <c r="F8" s="10">
        <v>0</v>
      </c>
      <c r="G8" s="10">
        <v>3768.8</v>
      </c>
    </row>
    <row r="9" spans="2:11" x14ac:dyDescent="0.35">
      <c r="C9" s="9" t="s">
        <v>21</v>
      </c>
      <c r="D9" s="9" t="s">
        <v>23</v>
      </c>
      <c r="E9" s="10">
        <v>-250</v>
      </c>
      <c r="F9" s="10">
        <v>0</v>
      </c>
      <c r="G9" s="10">
        <v>4208.8</v>
      </c>
    </row>
    <row r="10" spans="2:11" x14ac:dyDescent="0.35">
      <c r="B10">
        <v>1</v>
      </c>
      <c r="C10" s="11" t="s">
        <v>21</v>
      </c>
      <c r="D10" s="11" t="s">
        <v>24</v>
      </c>
      <c r="E10" s="12" t="s">
        <v>56</v>
      </c>
      <c r="F10" s="12">
        <v>0</v>
      </c>
      <c r="G10" s="12">
        <v>4458.8</v>
      </c>
    </row>
    <row r="11" spans="2:11" x14ac:dyDescent="0.35">
      <c r="B11">
        <v>1</v>
      </c>
      <c r="C11" s="11" t="s">
        <v>21</v>
      </c>
      <c r="D11" s="11" t="s">
        <v>25</v>
      </c>
      <c r="E11" s="12">
        <v>0</v>
      </c>
      <c r="F11" s="12" t="s">
        <v>57</v>
      </c>
      <c r="G11" s="12">
        <v>9458.7999999999993</v>
      </c>
    </row>
    <row r="12" spans="2:11" x14ac:dyDescent="0.35">
      <c r="C12" s="9" t="s">
        <v>26</v>
      </c>
      <c r="D12" s="9" t="s">
        <v>27</v>
      </c>
      <c r="E12" s="10">
        <v>-119</v>
      </c>
      <c r="F12" s="10">
        <v>0</v>
      </c>
      <c r="G12" s="10">
        <v>4458.8</v>
      </c>
    </row>
    <row r="13" spans="2:11" x14ac:dyDescent="0.35">
      <c r="C13" s="9" t="s">
        <v>26</v>
      </c>
      <c r="D13" s="9" t="s">
        <v>28</v>
      </c>
      <c r="E13" s="10">
        <v>-310</v>
      </c>
      <c r="F13" s="10">
        <v>0</v>
      </c>
      <c r="G13" s="10">
        <v>4577.8</v>
      </c>
    </row>
    <row r="14" spans="2:11" x14ac:dyDescent="0.35">
      <c r="C14" s="9" t="s">
        <v>29</v>
      </c>
      <c r="D14" s="9" t="s">
        <v>30</v>
      </c>
      <c r="E14" s="10">
        <v>-122</v>
      </c>
      <c r="F14" s="10">
        <v>0</v>
      </c>
      <c r="G14" s="10">
        <v>4887.8</v>
      </c>
      <c r="J14" t="s">
        <v>62</v>
      </c>
      <c r="K14" s="12">
        <v>28708.66</v>
      </c>
    </row>
    <row r="15" spans="2:11" x14ac:dyDescent="0.35">
      <c r="C15" s="9" t="s">
        <v>31</v>
      </c>
      <c r="D15" s="9" t="s">
        <v>32</v>
      </c>
      <c r="E15" s="10">
        <v>-859.1</v>
      </c>
      <c r="F15" s="10">
        <v>0</v>
      </c>
      <c r="G15" s="10">
        <v>5009.8</v>
      </c>
      <c r="J15" t="s">
        <v>61</v>
      </c>
      <c r="K15" s="6">
        <v>-6166.66</v>
      </c>
    </row>
    <row r="16" spans="2:11" x14ac:dyDescent="0.35">
      <c r="C16" s="9" t="s">
        <v>31</v>
      </c>
      <c r="D16" s="9" t="s">
        <v>33</v>
      </c>
      <c r="E16" s="10">
        <v>-440</v>
      </c>
      <c r="F16" s="10">
        <v>0</v>
      </c>
      <c r="G16" s="10">
        <v>5868.9</v>
      </c>
      <c r="J16" t="s">
        <v>63</v>
      </c>
      <c r="K16" s="6">
        <v>-4423.2</v>
      </c>
    </row>
    <row r="17" spans="2:11" x14ac:dyDescent="0.35">
      <c r="B17">
        <v>1</v>
      </c>
      <c r="C17" s="11" t="s">
        <v>34</v>
      </c>
      <c r="D17" s="11" t="s">
        <v>25</v>
      </c>
      <c r="E17" s="12">
        <v>0</v>
      </c>
      <c r="F17" s="12" t="s">
        <v>57</v>
      </c>
      <c r="G17" s="12">
        <v>6308.9</v>
      </c>
      <c r="J17" t="s">
        <v>64</v>
      </c>
      <c r="K17" s="6">
        <v>-15000</v>
      </c>
    </row>
    <row r="18" spans="2:11" x14ac:dyDescent="0.35">
      <c r="C18" s="9" t="s">
        <v>35</v>
      </c>
      <c r="D18" s="9" t="s">
        <v>36</v>
      </c>
      <c r="E18" s="10">
        <v>-6.3</v>
      </c>
      <c r="F18" s="10">
        <v>0</v>
      </c>
      <c r="G18" s="10">
        <v>1308.9000000000001</v>
      </c>
      <c r="J18" s="2" t="s">
        <v>66</v>
      </c>
      <c r="K18" s="7">
        <f>SUM(K14:K17)</f>
        <v>3118.7999999999993</v>
      </c>
    </row>
    <row r="19" spans="2:11" x14ac:dyDescent="0.35">
      <c r="C19" s="9" t="s">
        <v>35</v>
      </c>
      <c r="D19" s="9" t="s">
        <v>37</v>
      </c>
      <c r="E19" s="10">
        <v>-30</v>
      </c>
      <c r="F19" s="10">
        <v>0</v>
      </c>
      <c r="G19" s="10">
        <v>1315.2</v>
      </c>
      <c r="I19" s="7">
        <f>E20+E23+E24</f>
        <v>-6166.66</v>
      </c>
    </row>
    <row r="20" spans="2:11" x14ac:dyDescent="0.35">
      <c r="C20" s="9" t="s">
        <v>35</v>
      </c>
      <c r="D20" s="9" t="s">
        <v>38</v>
      </c>
      <c r="E20" s="10">
        <v>-3266.66</v>
      </c>
      <c r="F20" s="10">
        <v>0</v>
      </c>
      <c r="G20" s="10">
        <v>1345.2</v>
      </c>
    </row>
    <row r="21" spans="2:11" x14ac:dyDescent="0.35">
      <c r="B21">
        <v>1</v>
      </c>
      <c r="C21" s="11" t="s">
        <v>35</v>
      </c>
      <c r="D21" s="11" t="s">
        <v>24</v>
      </c>
      <c r="E21" s="12" t="s">
        <v>58</v>
      </c>
      <c r="F21" s="12">
        <v>0</v>
      </c>
      <c r="G21" s="12">
        <v>4611.8599999999997</v>
      </c>
      <c r="I21" s="7">
        <f>SUM(E7:E9,E12:E16,E18:E19,E22,E25:E26)</f>
        <v>-4423.2</v>
      </c>
    </row>
    <row r="22" spans="2:11" x14ac:dyDescent="0.35">
      <c r="C22" s="9" t="s">
        <v>35</v>
      </c>
      <c r="D22" s="9" t="s">
        <v>30</v>
      </c>
      <c r="E22" s="10">
        <v>-122</v>
      </c>
      <c r="F22" s="10">
        <v>0</v>
      </c>
      <c r="G22" s="10">
        <v>24611.86</v>
      </c>
    </row>
    <row r="23" spans="2:11" x14ac:dyDescent="0.35">
      <c r="C23" s="9" t="s">
        <v>35</v>
      </c>
      <c r="D23" s="9" t="s">
        <v>39</v>
      </c>
      <c r="E23" s="10">
        <v>-1500</v>
      </c>
      <c r="F23" s="10">
        <v>0</v>
      </c>
      <c r="G23" s="10">
        <v>24733.86</v>
      </c>
    </row>
    <row r="24" spans="2:11" x14ac:dyDescent="0.35">
      <c r="C24" s="9" t="s">
        <v>35</v>
      </c>
      <c r="D24" s="9" t="s">
        <v>40</v>
      </c>
      <c r="E24" s="10">
        <v>-1400</v>
      </c>
      <c r="F24" s="10">
        <v>0</v>
      </c>
      <c r="G24" s="10">
        <v>26233.86</v>
      </c>
    </row>
    <row r="25" spans="2:11" x14ac:dyDescent="0.35">
      <c r="C25" s="9" t="s">
        <v>41</v>
      </c>
      <c r="D25" s="9" t="s">
        <v>42</v>
      </c>
      <c r="E25" s="10">
        <v>-884.8</v>
      </c>
      <c r="F25" s="10">
        <v>0</v>
      </c>
      <c r="G25" s="10">
        <v>27633.86</v>
      </c>
    </row>
    <row r="26" spans="2:11" x14ac:dyDescent="0.35">
      <c r="C26" s="9" t="s">
        <v>41</v>
      </c>
      <c r="D26" s="9" t="s">
        <v>43</v>
      </c>
      <c r="E26" s="10">
        <v>-190</v>
      </c>
      <c r="F26" s="10">
        <v>0</v>
      </c>
      <c r="G26" s="10">
        <v>28518.66</v>
      </c>
    </row>
    <row r="27" spans="2:11" x14ac:dyDescent="0.35">
      <c r="B27">
        <v>1</v>
      </c>
      <c r="C27" s="11" t="s">
        <v>41</v>
      </c>
      <c r="D27" s="11" t="s">
        <v>44</v>
      </c>
      <c r="E27" s="12">
        <v>0</v>
      </c>
      <c r="F27" s="12" t="s">
        <v>59</v>
      </c>
      <c r="G27" s="12">
        <v>28708.66</v>
      </c>
    </row>
    <row r="28" spans="2:11" x14ac:dyDescent="0.35">
      <c r="B28">
        <v>1</v>
      </c>
      <c r="C28" s="9" t="s">
        <v>41</v>
      </c>
      <c r="D28" s="9" t="s">
        <v>30</v>
      </c>
      <c r="E28" s="10">
        <v>-78</v>
      </c>
      <c r="F28" s="10">
        <v>0</v>
      </c>
      <c r="G28" s="10">
        <v>2443.66</v>
      </c>
    </row>
    <row r="29" spans="2:11" x14ac:dyDescent="0.35">
      <c r="C29" s="9" t="s">
        <v>41</v>
      </c>
      <c r="D29" s="9" t="s">
        <v>45</v>
      </c>
      <c r="E29" s="10">
        <v>0</v>
      </c>
      <c r="F29" s="10">
        <v>620</v>
      </c>
      <c r="G29" s="10">
        <v>2521.66</v>
      </c>
    </row>
    <row r="30" spans="2:11" x14ac:dyDescent="0.35">
      <c r="C30" s="9" t="s">
        <v>46</v>
      </c>
      <c r="D30" s="9" t="s">
        <v>47</v>
      </c>
      <c r="E30" s="10">
        <v>-620</v>
      </c>
      <c r="F30" s="10">
        <v>0</v>
      </c>
      <c r="G30" s="10">
        <v>1901.66</v>
      </c>
    </row>
    <row r="31" spans="2:11" x14ac:dyDescent="0.35">
      <c r="C31" s="9" t="s">
        <v>46</v>
      </c>
      <c r="D31" s="9" t="s">
        <v>48</v>
      </c>
      <c r="E31" s="10">
        <v>-400</v>
      </c>
      <c r="F31" s="10">
        <v>0</v>
      </c>
      <c r="G31" s="10">
        <v>2521.66</v>
      </c>
    </row>
    <row r="32" spans="2:11" x14ac:dyDescent="0.35">
      <c r="C32" s="9" t="s">
        <v>49</v>
      </c>
      <c r="D32" s="9" t="s">
        <v>50</v>
      </c>
      <c r="E32" s="10">
        <v>0</v>
      </c>
      <c r="F32" s="10">
        <v>850</v>
      </c>
      <c r="G32" s="10">
        <v>2921.66</v>
      </c>
    </row>
    <row r="33" spans="3:7" x14ac:dyDescent="0.35">
      <c r="C33" s="9" t="s">
        <v>49</v>
      </c>
      <c r="D33" s="9" t="s">
        <v>51</v>
      </c>
      <c r="E33" s="10">
        <v>-400</v>
      </c>
      <c r="F33" s="10">
        <v>0</v>
      </c>
      <c r="G33" s="10">
        <v>2071.66</v>
      </c>
    </row>
    <row r="34" spans="3:7" x14ac:dyDescent="0.35">
      <c r="C34" s="9" t="s">
        <v>52</v>
      </c>
      <c r="D34" s="9" t="s">
        <v>53</v>
      </c>
      <c r="E34" s="10">
        <v>-264.5</v>
      </c>
      <c r="F34" s="10">
        <v>0</v>
      </c>
      <c r="G34" s="10">
        <v>2471.66</v>
      </c>
    </row>
    <row r="35" spans="3:7" x14ac:dyDescent="0.35">
      <c r="C35" s="9" t="s">
        <v>52</v>
      </c>
      <c r="D35" s="9" t="s">
        <v>54</v>
      </c>
      <c r="E35" s="10">
        <v>-600.59</v>
      </c>
      <c r="F35" s="10">
        <v>0</v>
      </c>
      <c r="G35" s="10">
        <v>2736.16</v>
      </c>
    </row>
    <row r="36" spans="3:7" x14ac:dyDescent="0.35">
      <c r="C36" s="9" t="s">
        <v>55</v>
      </c>
      <c r="D36" s="9" t="s">
        <v>30</v>
      </c>
      <c r="E36" s="10">
        <v>-121</v>
      </c>
      <c r="F36" s="10">
        <v>0</v>
      </c>
      <c r="G36" s="10">
        <v>3336.75</v>
      </c>
    </row>
  </sheetData>
  <autoFilter ref="B4:G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workbookViewId="0">
      <selection activeCell="C14" sqref="C14"/>
    </sheetView>
  </sheetViews>
  <sheetFormatPr defaultRowHeight="14.5" x14ac:dyDescent="0.35"/>
  <cols>
    <col min="1" max="1" width="20.90625" customWidth="1"/>
    <col min="2" max="2" width="12.453125" style="6" customWidth="1"/>
    <col min="3" max="3" width="17.36328125" style="23" customWidth="1"/>
    <col min="4" max="4" width="12.90625" bestFit="1" customWidth="1"/>
  </cols>
  <sheetData>
    <row r="3" spans="1:3" x14ac:dyDescent="0.35">
      <c r="A3" s="18" t="s">
        <v>85</v>
      </c>
      <c r="B3" t="s">
        <v>320</v>
      </c>
      <c r="C3" s="29" t="s">
        <v>326</v>
      </c>
    </row>
    <row r="4" spans="1:3" x14ac:dyDescent="0.35">
      <c r="A4" s="19" t="s">
        <v>74</v>
      </c>
      <c r="B4" s="21">
        <v>669.7350863099964</v>
      </c>
      <c r="C4" s="29">
        <v>3.0640614501078019E-2</v>
      </c>
    </row>
    <row r="5" spans="1:3" x14ac:dyDescent="0.35">
      <c r="A5" s="89" t="s">
        <v>325</v>
      </c>
      <c r="B5" s="21">
        <v>48.024348060000193</v>
      </c>
      <c r="C5" s="29"/>
    </row>
    <row r="6" spans="1:3" x14ac:dyDescent="0.35">
      <c r="A6" s="89" t="s">
        <v>321</v>
      </c>
      <c r="B6" s="21"/>
      <c r="C6" s="29"/>
    </row>
    <row r="7" spans="1:3" x14ac:dyDescent="0.35">
      <c r="A7" s="90" t="s">
        <v>322</v>
      </c>
      <c r="B7" s="21"/>
      <c r="C7" s="29"/>
    </row>
    <row r="8" spans="1:3" x14ac:dyDescent="0.35">
      <c r="A8" s="91" t="s">
        <v>324</v>
      </c>
      <c r="B8" s="21">
        <v>72.216718499996205</v>
      </c>
      <c r="C8" s="29">
        <v>3.6065577663126035E-3</v>
      </c>
    </row>
    <row r="9" spans="1:3" x14ac:dyDescent="0.35">
      <c r="A9" s="91" t="s">
        <v>323</v>
      </c>
      <c r="B9" s="21">
        <v>549.49401975000001</v>
      </c>
      <c r="C9" s="29">
        <v>2.7034056734765416E-2</v>
      </c>
    </row>
    <row r="10" spans="1:3" x14ac:dyDescent="0.35">
      <c r="A10" s="19" t="s">
        <v>100</v>
      </c>
      <c r="B10" s="21">
        <v>-189.75920771999881</v>
      </c>
      <c r="C10" s="29">
        <v>-2.4034815949219225E-2</v>
      </c>
    </row>
    <row r="11" spans="1:3" x14ac:dyDescent="0.35">
      <c r="A11" s="19" t="s">
        <v>78</v>
      </c>
      <c r="B11" s="21">
        <v>6204.8275878099739</v>
      </c>
      <c r="C11" s="29">
        <v>0.24200192303946913</v>
      </c>
    </row>
    <row r="12" spans="1:3" x14ac:dyDescent="0.35">
      <c r="A12" s="89" t="s">
        <v>325</v>
      </c>
      <c r="B12" s="21">
        <v>4304.6680233399748</v>
      </c>
      <c r="C12" s="29">
        <v>0.18535364289498879</v>
      </c>
    </row>
    <row r="13" spans="1:3" x14ac:dyDescent="0.35">
      <c r="A13" s="89" t="s">
        <v>321</v>
      </c>
      <c r="B13" s="21"/>
      <c r="C13" s="29"/>
    </row>
    <row r="14" spans="1:3" x14ac:dyDescent="0.35">
      <c r="A14" s="90" t="s">
        <v>322</v>
      </c>
      <c r="B14" s="21"/>
      <c r="C14" s="29"/>
    </row>
    <row r="15" spans="1:3" x14ac:dyDescent="0.35">
      <c r="A15" s="91" t="s">
        <v>324</v>
      </c>
      <c r="B15" s="21">
        <v>1120.5101312799961</v>
      </c>
      <c r="C15" s="29">
        <v>3.2296530483339789E-2</v>
      </c>
    </row>
    <row r="16" spans="1:3" x14ac:dyDescent="0.35">
      <c r="A16" s="91" t="s">
        <v>323</v>
      </c>
      <c r="B16" s="21">
        <v>779.64943319000304</v>
      </c>
      <c r="C16" s="29">
        <v>2.4351749661140537E-2</v>
      </c>
    </row>
    <row r="17" spans="1:3" x14ac:dyDescent="0.35">
      <c r="A17" s="19" t="s">
        <v>83</v>
      </c>
      <c r="B17" s="21">
        <v>688.86000000000058</v>
      </c>
      <c r="C17" s="29">
        <v>0</v>
      </c>
    </row>
    <row r="18" spans="1:3" x14ac:dyDescent="0.35">
      <c r="A18" s="19" t="s">
        <v>86</v>
      </c>
      <c r="B18" s="21">
        <v>7373.6634663999721</v>
      </c>
      <c r="C18" s="29">
        <v>0.24860772159132791</v>
      </c>
    </row>
    <row r="19" spans="1:3" x14ac:dyDescent="0.35">
      <c r="C19"/>
    </row>
    <row r="20" spans="1:3" x14ac:dyDescent="0.35">
      <c r="C20"/>
    </row>
    <row r="21" spans="1:3" x14ac:dyDescent="0.35">
      <c r="C21"/>
    </row>
    <row r="22" spans="1:3" x14ac:dyDescent="0.35">
      <c r="C22"/>
    </row>
    <row r="23" spans="1:3" x14ac:dyDescent="0.35">
      <c r="C23"/>
    </row>
    <row r="24" spans="1:3" x14ac:dyDescent="0.35">
      <c r="C24"/>
    </row>
    <row r="25" spans="1:3" x14ac:dyDescent="0.35">
      <c r="C25"/>
    </row>
    <row r="26" spans="1:3" x14ac:dyDescent="0.35">
      <c r="C26"/>
    </row>
    <row r="27" spans="1:3" x14ac:dyDescent="0.35">
      <c r="C27"/>
    </row>
    <row r="28" spans="1:3" x14ac:dyDescent="0.35">
      <c r="C28"/>
    </row>
    <row r="29" spans="1:3" x14ac:dyDescent="0.35">
      <c r="C29"/>
    </row>
    <row r="30" spans="1:3" x14ac:dyDescent="0.35">
      <c r="C30"/>
    </row>
    <row r="31" spans="1:3" x14ac:dyDescent="0.35">
      <c r="C31"/>
    </row>
    <row r="32" spans="1:3" x14ac:dyDescent="0.35">
      <c r="C32"/>
    </row>
    <row r="33" spans="3:3" x14ac:dyDescent="0.35">
      <c r="C33"/>
    </row>
    <row r="34" spans="3:3" x14ac:dyDescent="0.35">
      <c r="C34"/>
    </row>
    <row r="35" spans="3:3" x14ac:dyDescent="0.35">
      <c r="C35"/>
    </row>
    <row r="36" spans="3:3" x14ac:dyDescent="0.35">
      <c r="C36"/>
    </row>
    <row r="37" spans="3:3" x14ac:dyDescent="0.35">
      <c r="C37"/>
    </row>
    <row r="38" spans="3:3" x14ac:dyDescent="0.35">
      <c r="C38"/>
    </row>
    <row r="39" spans="3:3" x14ac:dyDescent="0.35">
      <c r="C39"/>
    </row>
    <row r="40" spans="3:3" x14ac:dyDescent="0.35">
      <c r="C40"/>
    </row>
    <row r="41" spans="3:3" x14ac:dyDescent="0.35">
      <c r="C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300"/>
  <sheetViews>
    <sheetView tabSelected="1" topLeftCell="A2" zoomScale="92" zoomScaleNormal="90" workbookViewId="0">
      <selection activeCell="I30" sqref="I30"/>
    </sheetView>
  </sheetViews>
  <sheetFormatPr defaultRowHeight="14.5" x14ac:dyDescent="0.35"/>
  <cols>
    <col min="1" max="1" width="11.81640625" bestFit="1" customWidth="1"/>
    <col min="2" max="2" width="18.81640625" bestFit="1" customWidth="1"/>
    <col min="3" max="3" width="17" bestFit="1" customWidth="1"/>
    <col min="4" max="5" width="18.453125" bestFit="1" customWidth="1"/>
    <col min="6" max="7" width="18.26953125" bestFit="1" customWidth="1"/>
    <col min="8" max="9" width="17.54296875" bestFit="1" customWidth="1"/>
    <col min="10" max="10" width="11.7265625" bestFit="1" customWidth="1"/>
    <col min="11" max="11" width="13.1796875" bestFit="1" customWidth="1"/>
    <col min="12" max="12" width="2.1796875" customWidth="1"/>
    <col min="13" max="13" width="9.81640625" customWidth="1"/>
    <col min="14" max="14" width="10.54296875" customWidth="1"/>
    <col min="15" max="15" width="9.453125" bestFit="1" customWidth="1"/>
    <col min="16" max="16" width="11.1796875" bestFit="1" customWidth="1"/>
  </cols>
  <sheetData>
    <row r="1" spans="1:15" x14ac:dyDescent="0.35">
      <c r="A1" s="2" t="s">
        <v>81</v>
      </c>
    </row>
    <row r="2" spans="1:15" x14ac:dyDescent="0.35">
      <c r="A2" t="s">
        <v>1</v>
      </c>
      <c r="B2" t="s">
        <v>72</v>
      </c>
      <c r="C2" t="s">
        <v>75</v>
      </c>
      <c r="D2" t="s">
        <v>7</v>
      </c>
      <c r="E2" t="s">
        <v>77</v>
      </c>
      <c r="F2" t="s">
        <v>70</v>
      </c>
      <c r="G2" t="s">
        <v>71</v>
      </c>
      <c r="H2" t="s">
        <v>84</v>
      </c>
      <c r="I2" t="s">
        <v>73</v>
      </c>
      <c r="J2" t="s">
        <v>98</v>
      </c>
      <c r="K2" t="s">
        <v>97</v>
      </c>
      <c r="M2" t="s">
        <v>157</v>
      </c>
      <c r="N2" t="s">
        <v>158</v>
      </c>
      <c r="O2" t="s">
        <v>159</v>
      </c>
    </row>
    <row r="3" spans="1:15" hidden="1" x14ac:dyDescent="0.35">
      <c r="A3" s="1">
        <v>43525</v>
      </c>
      <c r="B3" t="s">
        <v>78</v>
      </c>
      <c r="C3" t="s">
        <v>82</v>
      </c>
      <c r="D3" s="6">
        <v>0</v>
      </c>
      <c r="E3" s="13">
        <v>0</v>
      </c>
      <c r="F3" s="46">
        <f>IF(Inversiones[[#This Row],[Total Cuotapartes]]=0,0,_xlfn.IFNA(VLOOKUP(Inversiones[[#This Row],[Nombre Inversión]],B4:F12,5,FALSE),0)+Inversiones[[#This Row],[Monto]])</f>
        <v>27509.553078809018</v>
      </c>
      <c r="G3" s="6">
        <f>Inversiones[[#This Row],[Total Cuotapartes]]*Inversiones[[#This Row],[Valor Cuotaparte]]</f>
        <v>33904.237528949998</v>
      </c>
      <c r="H3" s="25">
        <f>_xlfn.IFNA(VLOOKUP(Inversiones[[#This Row],[Nombre Inversión]],B4:H11,7,FALSE),0)+Inversiones[[#This Row],[Cant. Cuotapartes]]</f>
        <v>7720.59</v>
      </c>
      <c r="I3" s="88">
        <v>4.3914049999999998</v>
      </c>
      <c r="J3" s="7">
        <f>IF(ABS(Inversiones[[#This Row],[Saldo Valorizado]]-Inversiones[[#This Row],[Monto Invertido]]-G6+F6)&gt;500,"-",Inversiones[[#This Row],[Saldo Valorizado]]-Inversiones[[#This Row],[Monto Invertido]]-G6+F6)</f>
        <v>155.32282961999954</v>
      </c>
      <c r="K3" s="23">
        <f>IFERROR((Inversiones[[#This Row],[Valor Cuotaparte]]-VLOOKUP(Inversiones[[#This Row],[Nombre Inversión]],B4:I16,8,FALSE))/VLOOKUP(Inversiones[[#This Row],[Nombre Inversión]],B5:I17,8,FALSE),"-")</f>
        <v>4.6023059112796942E-3</v>
      </c>
    </row>
    <row r="4" spans="1:15" hidden="1" x14ac:dyDescent="0.35">
      <c r="A4" s="1">
        <v>43525</v>
      </c>
      <c r="B4" t="s">
        <v>74</v>
      </c>
      <c r="C4" t="s">
        <v>82</v>
      </c>
      <c r="D4" s="6">
        <v>0</v>
      </c>
      <c r="E4" s="13">
        <v>0</v>
      </c>
      <c r="F4" s="46">
        <f>IF(Inversiones[[#This Row],[Total Cuotapartes]]=0,0,_xlfn.IFNA(VLOOKUP(Inversiones[[#This Row],[Nombre Inversión]],B5:F13,5,FALSE),0)+Inversiones[[#This Row],[Monto]])</f>
        <v>20000.011684500001</v>
      </c>
      <c r="G4" s="6">
        <f>Inversiones[[#This Row],[Total Cuotapartes]]*Inversiones[[#This Row],[Valor Cuotaparte]]</f>
        <v>20719.060016250001</v>
      </c>
      <c r="H4" s="25">
        <f>_xlfn.IFNA(VLOOKUP(Inversiones[[#This Row],[Nombre Inversión]],B5:H12,7,FALSE),0)+Inversiones[[#This Row],[Cant. Cuotapartes]]</f>
        <v>3864.75</v>
      </c>
      <c r="I4" s="88">
        <v>5.3610350000000002</v>
      </c>
      <c r="J4" s="7">
        <f>IF(ABS(Inversiones[[#This Row],[Saldo Valorizado]]-Inversiones[[#This Row],[Monto Invertido]]-G7+F7)&gt;500,"-",Inversiones[[#This Row],[Saldo Valorizado]]-Inversiones[[#This Row],[Monto Invertido]]-G7+F7)</f>
        <v>38.361508500001946</v>
      </c>
      <c r="K4" s="23">
        <f>IFERROR((Inversiones[[#This Row],[Valor Cuotaparte]]-VLOOKUP(Inversiones[[#This Row],[Nombre Inversión]],B5:I17,8,FALSE))/VLOOKUP(Inversiones[[#This Row],[Nombre Inversión]],B5:I17,8,FALSE),"-")</f>
        <v>1.8549425922738821E-3</v>
      </c>
    </row>
    <row r="5" spans="1:15" hidden="1" x14ac:dyDescent="0.35">
      <c r="A5" s="1">
        <v>43525</v>
      </c>
      <c r="B5" t="s">
        <v>78</v>
      </c>
      <c r="C5" t="s">
        <v>76</v>
      </c>
      <c r="D5" s="6">
        <f>Inversiones[[#This Row],[Cant. Cuotapartes]]*Inversiones[[#This Row],[Valor Cuotaparte]]</f>
        <v>20000.001866543997</v>
      </c>
      <c r="E5" s="25">
        <v>4575.3119999999999</v>
      </c>
      <c r="F5" s="46">
        <f>IF(Inversiones[[#This Row],[Total Cuotapartes]]=0,0,_xlfn.IFNA(VLOOKUP(Inversiones[[#This Row],[Nombre Inversión]],B6:F14,5,FALSE),0)+Inversiones[[#This Row],[Monto]])</f>
        <v>27509.553078809018</v>
      </c>
      <c r="G5" s="6">
        <f>Inversiones[[#This Row],[Total Cuotapartes]]*Inversiones[[#This Row],[Valor Cuotaparte]]</f>
        <v>33748.914699330002</v>
      </c>
      <c r="H5" s="25">
        <f>_xlfn.IFNA(VLOOKUP(Inversiones[[#This Row],[Nombre Inversión]],B6:H13,7,FALSE),0)+Inversiones[[#This Row],[Cant. Cuotapartes]]</f>
        <v>7720.59</v>
      </c>
      <c r="I5" s="88">
        <v>4.3712869999999997</v>
      </c>
      <c r="J5" s="7" t="s">
        <v>80</v>
      </c>
      <c r="K5" s="23" t="s">
        <v>80</v>
      </c>
    </row>
    <row r="6" spans="1:15" hidden="1" x14ac:dyDescent="0.35">
      <c r="A6" s="1">
        <v>43524</v>
      </c>
      <c r="B6" t="s">
        <v>78</v>
      </c>
      <c r="C6" t="s">
        <v>82</v>
      </c>
      <c r="D6" s="6">
        <v>0</v>
      </c>
      <c r="E6" s="13">
        <v>0</v>
      </c>
      <c r="F6" s="46">
        <f>IF(Inversiones[[#This Row],[Total Cuotapartes]]=0,0,_xlfn.IFNA(VLOOKUP(Inversiones[[#This Row],[Nombre Inversión]],B7:F15,5,FALSE),0)+Inversiones[[#This Row],[Monto]])</f>
        <v>7509.5512122650198</v>
      </c>
      <c r="G6" s="6">
        <f>Inversiones[[#This Row],[Total Cuotapartes]]*Inversiones[[#This Row],[Valor Cuotaparte]]</f>
        <v>13748.912832786</v>
      </c>
      <c r="H6" s="25">
        <f>_xlfn.IFNA(VLOOKUP(Inversiones[[#This Row],[Nombre Inversión]],B7:H14,7,FALSE),0)+Inversiones[[#This Row],[Cant. Cuotapartes]]</f>
        <v>3145.2780000000002</v>
      </c>
      <c r="I6" s="88">
        <v>4.3712869999999997</v>
      </c>
      <c r="J6" s="7">
        <f>IF(ABS(Inversiones[[#This Row],[Saldo Valorizado]]-Inversiones[[#This Row],[Monto Invertido]]-G8+F8)&gt;500,"-",Inversiones[[#This Row],[Saldo Valorizado]]-Inversiones[[#This Row],[Monto Invertido]]-G8+F8)</f>
        <v>12.669179783999425</v>
      </c>
      <c r="K6" s="23">
        <f>IFERROR((Inversiones[[#This Row],[Valor Cuotaparte]]-VLOOKUP(Inversiones[[#This Row],[Nombre Inversión]],B7:I19,8,FALSE))/VLOOKUP(Inversiones[[#This Row],[Nombre Inversión]],B8:I20,8,FALSE),"-")</f>
        <v>9.2231763676024726E-4</v>
      </c>
    </row>
    <row r="7" spans="1:15" x14ac:dyDescent="0.35">
      <c r="A7" s="1">
        <v>43524</v>
      </c>
      <c r="B7" t="s">
        <v>74</v>
      </c>
      <c r="C7" t="s">
        <v>82</v>
      </c>
      <c r="D7" s="6">
        <v>0</v>
      </c>
      <c r="E7" s="13">
        <v>0</v>
      </c>
      <c r="F7" s="46">
        <f>IF(Inversiones[[#This Row],[Total Cuotapartes]]=0,0,_xlfn.IFNA(VLOOKUP(Inversiones[[#This Row],[Nombre Inversión]],B8:F16,5,FALSE),0)+Inversiones[[#This Row],[Monto]])</f>
        <v>20000.011684500001</v>
      </c>
      <c r="G7" s="6">
        <f>Inversiones[[#This Row],[Total Cuotapartes]]*Inversiones[[#This Row],[Valor Cuotaparte]]</f>
        <v>20680.698507749999</v>
      </c>
      <c r="H7" s="25">
        <f>_xlfn.IFNA(VLOOKUP(Inversiones[[#This Row],[Nombre Inversión]],B8:H15,7,FALSE),0)+Inversiones[[#This Row],[Cant. Cuotapartes]]</f>
        <v>3864.75</v>
      </c>
      <c r="I7" s="14">
        <v>5.3511090000000001</v>
      </c>
      <c r="J7" s="7">
        <f>IF(ABS(Inversiones[[#This Row],[Saldo Valorizado]]-Inversiones[[#This Row],[Monto Invertido]]-G10+F10)&gt;500,"-",Inversiones[[#This Row],[Saldo Valorizado]]-Inversiones[[#This Row],[Monto Invertido]]-G10+F10)</f>
        <v>23.211688499999582</v>
      </c>
      <c r="K7" s="23">
        <f>IFERROR((Inversiones[[#This Row],[Valor Cuotaparte]]-VLOOKUP(Inversiones[[#This Row],[Nombre Inversión]],B8:I20,8,FALSE))/VLOOKUP(Inversiones[[#This Row],[Nombre Inversión]],B8:I20,8,FALSE),"-")</f>
        <v>1.1236453254502632E-3</v>
      </c>
    </row>
    <row r="8" spans="1:15" hidden="1" x14ac:dyDescent="0.35">
      <c r="A8" s="1">
        <v>43524</v>
      </c>
      <c r="B8" t="s">
        <v>78</v>
      </c>
      <c r="C8" t="s">
        <v>79</v>
      </c>
      <c r="D8" s="6">
        <f>Inversiones[[#This Row],[Cant. Cuotapartes]]*Inversiones[[#This Row],[Valor Cuotaparte]]</f>
        <v>-9999.9880696169985</v>
      </c>
      <c r="E8" s="25">
        <v>-2289.7629999999999</v>
      </c>
      <c r="F8" s="46">
        <f>IF(Inversiones[[#This Row],[Total Cuotapartes]]=0,0,_xlfn.IFNA(VLOOKUP(Inversiones[[#This Row],[Nombre Inversión]],B9:F17,5,FALSE),0)+Inversiones[[#This Row],[Monto]])</f>
        <v>7509.5512122650198</v>
      </c>
      <c r="G8" s="6">
        <f>Inversiones[[#This Row],[Total Cuotapartes]]*Inversiones[[#This Row],[Valor Cuotaparte]]</f>
        <v>13736.243653002</v>
      </c>
      <c r="H8" s="25">
        <f>_xlfn.IFNA(VLOOKUP(Inversiones[[#This Row],[Nombre Inversión]],B9:H16,7,FALSE),0)+Inversiones[[#This Row],[Cant. Cuotapartes]]</f>
        <v>3145.2780000000002</v>
      </c>
      <c r="I8" s="88">
        <v>4.3672589999999998</v>
      </c>
      <c r="J8" s="7" t="s">
        <v>99</v>
      </c>
      <c r="K8" s="23" t="s">
        <v>80</v>
      </c>
    </row>
    <row r="9" spans="1:15" hidden="1" x14ac:dyDescent="0.35">
      <c r="A9" s="1">
        <v>43523</v>
      </c>
      <c r="B9" t="s">
        <v>78</v>
      </c>
      <c r="C9" t="s">
        <v>82</v>
      </c>
      <c r="D9" s="6">
        <v>0</v>
      </c>
      <c r="E9" s="13">
        <v>0</v>
      </c>
      <c r="F9" s="46">
        <f>IF(Inversiones[[#This Row],[Total Cuotapartes]]=0,0,_xlfn.IFNA(VLOOKUP(Inversiones[[#This Row],[Nombre Inversión]],B10:F18,5,FALSE),0)+Inversiones[[#This Row],[Monto]])</f>
        <v>17509.539281882018</v>
      </c>
      <c r="G9" s="6">
        <f>Inversiones[[#This Row],[Total Cuotapartes]]*Inversiones[[#This Row],[Valor Cuotaparte]]</f>
        <v>23736.231722618999</v>
      </c>
      <c r="H9" s="25">
        <f>_xlfn.IFNA(VLOOKUP(Inversiones[[#This Row],[Nombre Inversión]],B10:H17,7,FALSE),0)+Inversiones[[#This Row],[Cant. Cuotapartes]]</f>
        <v>5435.0410000000002</v>
      </c>
      <c r="I9" s="88">
        <v>4.3672589999999998</v>
      </c>
      <c r="J9" s="7">
        <f>IF(ABS(Inversiones[[#This Row],[Saldo Valorizado]]-Inversiones[[#This Row],[Monto Invertido]]-G11+F11)&gt;500,"-",Inversiones[[#This Row],[Saldo Valorizado]]-Inversiones[[#This Row],[Monto Invertido]]-G11+F11)</f>
        <v>21.865169943001092</v>
      </c>
      <c r="K9" s="23">
        <f>IFERROR((Inversiones[[#This Row],[Valor Cuotaparte]]-VLOOKUP(Inversiones[[#This Row],[Nombre Inversión]],B10:I22,8,FALSE))/VLOOKUP(Inversiones[[#This Row],[Nombre Inversión]],B11:I23,8,FALSE),"-")</f>
        <v>9.2202209552728984E-4</v>
      </c>
    </row>
    <row r="10" spans="1:15" x14ac:dyDescent="0.35">
      <c r="A10" s="1">
        <v>43523</v>
      </c>
      <c r="B10" t="s">
        <v>74</v>
      </c>
      <c r="C10" t="s">
        <v>82</v>
      </c>
      <c r="D10" s="6">
        <v>0</v>
      </c>
      <c r="E10" s="13">
        <v>0</v>
      </c>
      <c r="F10" s="46">
        <f>IF(Inversiones[[#This Row],[Total Cuotapartes]]=0,0,_xlfn.IFNA(VLOOKUP(Inversiones[[#This Row],[Nombre Inversión]],B11:F19,5,FALSE),0)+Inversiones[[#This Row],[Monto]])</f>
        <v>20000.011684500001</v>
      </c>
      <c r="G10" s="6">
        <f>Inversiones[[#This Row],[Total Cuotapartes]]*Inversiones[[#This Row],[Valor Cuotaparte]]</f>
        <v>20657.48681925</v>
      </c>
      <c r="H10" s="25">
        <f>_xlfn.IFNA(VLOOKUP(Inversiones[[#This Row],[Nombre Inversión]],B11:H18,7,FALSE),0)+Inversiones[[#This Row],[Cant. Cuotapartes]]</f>
        <v>3864.75</v>
      </c>
      <c r="I10" s="88">
        <v>5.3451029999999999</v>
      </c>
      <c r="J10" s="7">
        <f>IF(ABS(Inversiones[[#This Row],[Saldo Valorizado]]-Inversiones[[#This Row],[Monto Invertido]]-G12+F12)&gt;500,"-",Inversiones[[#This Row],[Saldo Valorizado]]-Inversiones[[#This Row],[Monto Invertido]]-G12+F12)</f>
        <v>35.764396500002476</v>
      </c>
      <c r="K10" s="23">
        <f>IFERROR((Inversiones[[#This Row],[Valor Cuotaparte]]-VLOOKUP(Inversiones[[#This Row],[Nombre Inversión]],B11:I23,8,FALSE))/VLOOKUP(Inversiones[[#This Row],[Nombre Inversión]],B11:I23,8,FALSE),"-")</f>
        <v>1.7343069490910103E-3</v>
      </c>
    </row>
    <row r="11" spans="1:15" hidden="1" x14ac:dyDescent="0.35">
      <c r="A11" s="1">
        <v>43522</v>
      </c>
      <c r="B11" t="s">
        <v>78</v>
      </c>
      <c r="C11" t="s">
        <v>82</v>
      </c>
      <c r="D11" s="6">
        <v>0</v>
      </c>
      <c r="E11" s="13">
        <v>0</v>
      </c>
      <c r="F11" s="46">
        <f>IF(Inversiones[[#This Row],[Total Cuotapartes]]=0,0,_xlfn.IFNA(VLOOKUP(Inversiones[[#This Row],[Nombre Inversión]],B12:F20,5,FALSE),0)+Inversiones[[#This Row],[Monto]])</f>
        <v>17509.539281882018</v>
      </c>
      <c r="G11" s="6">
        <f>Inversiones[[#This Row],[Total Cuotapartes]]*Inversiones[[#This Row],[Valor Cuotaparte]]</f>
        <v>23714.366552675998</v>
      </c>
      <c r="H11" s="25">
        <f>_xlfn.IFNA(VLOOKUP(Inversiones[[#This Row],[Nombre Inversión]],B12:H19,7,FALSE),0)+Inversiones[[#This Row],[Cant. Cuotapartes]]</f>
        <v>5435.0410000000002</v>
      </c>
      <c r="I11" s="88">
        <v>4.3632359999999997</v>
      </c>
      <c r="J11" s="7">
        <f>IF(ABS(Inversiones[[#This Row],[Saldo Valorizado]]-Inversiones[[#This Row],[Monto Invertido]]-G13+F13)&gt;500,"-",Inversiones[[#This Row],[Saldo Valorizado]]-Inversiones[[#This Row],[Monto Invertido]]-G13+F13)</f>
        <v>21.881475065998529</v>
      </c>
      <c r="K11" s="23">
        <f>IFERROR((Inversiones[[#This Row],[Valor Cuotaparte]]-VLOOKUP(Inversiones[[#This Row],[Nombre Inversión]],B12:I24,8,FALSE))/VLOOKUP(Inversiones[[#This Row],[Nombre Inversión]],B13:I25,8,FALSE),"-")</f>
        <v>9.2356183803937893E-4</v>
      </c>
    </row>
    <row r="12" spans="1:15" x14ac:dyDescent="0.35">
      <c r="A12" s="1">
        <v>43522</v>
      </c>
      <c r="B12" t="s">
        <v>74</v>
      </c>
      <c r="C12" t="s">
        <v>82</v>
      </c>
      <c r="D12" s="6">
        <v>0</v>
      </c>
      <c r="E12" s="13">
        <v>0</v>
      </c>
      <c r="F12" s="46">
        <f>IF(Inversiones[[#This Row],[Total Cuotapartes]]=0,0,_xlfn.IFNA(VLOOKUP(Inversiones[[#This Row],[Nombre Inversión]],B13:F21,5,FALSE),0)+Inversiones[[#This Row],[Monto]])</f>
        <v>20000.011684500001</v>
      </c>
      <c r="G12" s="6">
        <f>Inversiones[[#This Row],[Total Cuotapartes]]*Inversiones[[#This Row],[Valor Cuotaparte]]</f>
        <v>20621.722422749997</v>
      </c>
      <c r="H12" s="25">
        <f>_xlfn.IFNA(VLOOKUP(Inversiones[[#This Row],[Nombre Inversión]],B13:H20,7,FALSE),0)+Inversiones[[#This Row],[Cant. Cuotapartes]]</f>
        <v>3864.75</v>
      </c>
      <c r="I12" s="88">
        <v>5.3358489999999996</v>
      </c>
      <c r="J12" s="7">
        <f>IF(ABS(Inversiones[[#This Row],[Saldo Valorizado]]-Inversiones[[#This Row],[Monto Invertido]]-G14+F14)&gt;500,"-",Inversiones[[#This Row],[Saldo Valorizado]]-Inversiones[[#This Row],[Monto Invertido]]-G14+F14)</f>
        <v>37.777931249995163</v>
      </c>
      <c r="K12" s="23">
        <f>IFERROR((Inversiones[[#This Row],[Valor Cuotaparte]]-VLOOKUP(Inversiones[[#This Row],[Nombre Inversión]],B13:I25,8,FALSE))/VLOOKUP(Inversiones[[#This Row],[Nombre Inversión]],B13:I25,8,FALSE),"-")</f>
        <v>1.8353105871227893E-3</v>
      </c>
    </row>
    <row r="13" spans="1:15" hidden="1" x14ac:dyDescent="0.35">
      <c r="A13" s="1">
        <v>43521</v>
      </c>
      <c r="B13" t="s">
        <v>78</v>
      </c>
      <c r="C13" t="s">
        <v>82</v>
      </c>
      <c r="D13" s="6">
        <v>0</v>
      </c>
      <c r="E13" s="13">
        <v>0</v>
      </c>
      <c r="F13" s="46">
        <f>IF(Inversiones[[#This Row],[Total Cuotapartes]]=0,0,_xlfn.IFNA(VLOOKUP(Inversiones[[#This Row],[Nombre Inversión]],B14:F22,5,FALSE),0)+Inversiones[[#This Row],[Monto]])</f>
        <v>17509.539281882018</v>
      </c>
      <c r="G13" s="6">
        <f>Inversiones[[#This Row],[Total Cuotapartes]]*Inversiones[[#This Row],[Valor Cuotaparte]]</f>
        <v>23692.485077609999</v>
      </c>
      <c r="H13" s="25">
        <f>_xlfn.IFNA(VLOOKUP(Inversiones[[#This Row],[Nombre Inversión]],B14:H21,7,FALSE),0)+Inversiones[[#This Row],[Cant. Cuotapartes]]</f>
        <v>5435.0410000000002</v>
      </c>
      <c r="I13" s="88">
        <v>4.35921</v>
      </c>
      <c r="J13" s="7">
        <f>IF(ABS(Inversiones[[#This Row],[Saldo Valorizado]]-Inversiones[[#This Row],[Monto Invertido]]-G15+F15)&gt;500,"-",Inversiones[[#This Row],[Saldo Valorizado]]-Inversiones[[#This Row],[Monto Invertido]]-G15+F15)</f>
        <v>21.865169942997454</v>
      </c>
      <c r="K13" s="23">
        <f>IFERROR((Inversiones[[#This Row],[Valor Cuotaparte]]-VLOOKUP(Inversiones[[#This Row],[Nombre Inversión]],B14:I26,8,FALSE))/VLOOKUP(Inversiones[[#This Row],[Nombre Inversión]],B15:I27,8,FALSE),"-")</f>
        <v>9.2372612243747741E-4</v>
      </c>
    </row>
    <row r="14" spans="1:15" x14ac:dyDescent="0.35">
      <c r="A14" s="1">
        <v>43521</v>
      </c>
      <c r="B14" t="s">
        <v>74</v>
      </c>
      <c r="C14" t="s">
        <v>82</v>
      </c>
      <c r="D14" s="6">
        <v>0</v>
      </c>
      <c r="E14" s="13">
        <v>0</v>
      </c>
      <c r="F14" s="46">
        <f>IF(Inversiones[[#This Row],[Total Cuotapartes]]=0,0,_xlfn.IFNA(VLOOKUP(Inversiones[[#This Row],[Nombre Inversión]],B15:F23,5,FALSE),0)+Inversiones[[#This Row],[Monto]])</f>
        <v>20000.011684500001</v>
      </c>
      <c r="G14" s="6">
        <f>Inversiones[[#This Row],[Total Cuotapartes]]*Inversiones[[#This Row],[Valor Cuotaparte]]</f>
        <v>20583.944491500002</v>
      </c>
      <c r="H14" s="25">
        <f>_xlfn.IFNA(VLOOKUP(Inversiones[[#This Row],[Nombre Inversión]],B15:H22,7,FALSE),0)+Inversiones[[#This Row],[Cant. Cuotapartes]]</f>
        <v>3864.75</v>
      </c>
      <c r="I14" s="88">
        <v>5.3260740000000002</v>
      </c>
      <c r="J14" s="7">
        <f>IF(ABS(Inversiones[[#This Row],[Saldo Valorizado]]-Inversiones[[#This Row],[Monto Invertido]]-G16+F16)&gt;500,"-",Inversiones[[#This Row],[Saldo Valorizado]]-Inversiones[[#This Row],[Monto Invertido]]-G16+F16)</f>
        <v>45.673615499999869</v>
      </c>
      <c r="K14" s="23">
        <f>IFERROR((Inversiones[[#This Row],[Valor Cuotaparte]]-VLOOKUP(Inversiones[[#This Row],[Nombre Inversión]],B15:I27,8,FALSE))/VLOOKUP(Inversiones[[#This Row],[Nombre Inversión]],B15:I27,8,FALSE),"-")</f>
        <v>2.2238296386173123E-3</v>
      </c>
    </row>
    <row r="15" spans="1:15" hidden="1" x14ac:dyDescent="0.35">
      <c r="A15" s="1">
        <v>43518</v>
      </c>
      <c r="B15" t="s">
        <v>78</v>
      </c>
      <c r="C15" t="s">
        <v>82</v>
      </c>
      <c r="D15" s="6">
        <v>0</v>
      </c>
      <c r="E15" s="13">
        <v>0</v>
      </c>
      <c r="F15" s="46">
        <f>IF(Inversiones[[#This Row],[Total Cuotapartes]]=0,0,_xlfn.IFNA(VLOOKUP(Inversiones[[#This Row],[Nombre Inversión]],B16:F24,5,FALSE),0)+Inversiones[[#This Row],[Monto]])</f>
        <v>17509.539281882018</v>
      </c>
      <c r="G15" s="6">
        <f>Inversiones[[#This Row],[Total Cuotapartes]]*Inversiones[[#This Row],[Valor Cuotaparte]]</f>
        <v>23670.619907667002</v>
      </c>
      <c r="H15" s="25">
        <f>_xlfn.IFNA(VLOOKUP(Inversiones[[#This Row],[Nombre Inversión]],B16:H23,7,FALSE),0)+Inversiones[[#This Row],[Cant. Cuotapartes]]</f>
        <v>5435.0410000000002</v>
      </c>
      <c r="I15" s="88">
        <v>4.3551869999999999</v>
      </c>
      <c r="J15" s="7">
        <f>IF(ABS(Inversiones[[#This Row],[Saldo Valorizado]]-Inversiones[[#This Row],[Monto Invertido]]-G17+F17)&gt;500,"-",Inversiones[[#This Row],[Saldo Valorizado]]-Inversiones[[#This Row],[Monto Invertido]]-G17+F17)</f>
        <v>65.731385854003747</v>
      </c>
      <c r="K15" s="23">
        <f>IFERROR((Inversiones[[#This Row],[Valor Cuotaparte]]-VLOOKUP(Inversiones[[#This Row],[Nombre Inversión]],B16:I28,8,FALSE))/VLOOKUP(Inversiones[[#This Row],[Nombre Inversión]],B17:I29,8,FALSE),"-")</f>
        <v>2.7846513993599197E-3</v>
      </c>
    </row>
    <row r="16" spans="1:15" x14ac:dyDescent="0.35">
      <c r="A16" s="1">
        <v>43518</v>
      </c>
      <c r="B16" t="s">
        <v>74</v>
      </c>
      <c r="C16" t="s">
        <v>82</v>
      </c>
      <c r="D16" s="6">
        <v>0</v>
      </c>
      <c r="E16" s="13">
        <v>0</v>
      </c>
      <c r="F16" s="46">
        <f>IF(Inversiones[[#This Row],[Total Cuotapartes]]=0,0,_xlfn.IFNA(VLOOKUP(Inversiones[[#This Row],[Nombre Inversión]],B17:F25,5,FALSE),0)+Inversiones[[#This Row],[Monto]])</f>
        <v>20000.011684500001</v>
      </c>
      <c r="G16" s="6">
        <f>Inversiones[[#This Row],[Total Cuotapartes]]*Inversiones[[#This Row],[Valor Cuotaparte]]</f>
        <v>20538.270876000002</v>
      </c>
      <c r="H16" s="25">
        <f>_xlfn.IFNA(VLOOKUP(Inversiones[[#This Row],[Nombre Inversión]],B17:H24,7,FALSE),0)+Inversiones[[#This Row],[Cant. Cuotapartes]]</f>
        <v>3864.75</v>
      </c>
      <c r="I16" s="88">
        <v>5.3142560000000003</v>
      </c>
      <c r="J16" s="7">
        <f>IF(ABS(Inversiones[[#This Row],[Saldo Valorizado]]-Inversiones[[#This Row],[Monto Invertido]]-G18+F18)&gt;500,"-",Inversiones[[#This Row],[Saldo Valorizado]]-Inversiones[[#This Row],[Monto Invertido]]-G18+F18)</f>
        <v>41.588574750003318</v>
      </c>
      <c r="K16" s="23">
        <f>IFERROR((Inversiones[[#This Row],[Valor Cuotaparte]]-VLOOKUP(Inversiones[[#This Row],[Nombre Inversión]],B17:I29,8,FALSE))/VLOOKUP(Inversiones[[#This Row],[Nombre Inversión]],B17:I29,8,FALSE),"-")</f>
        <v>2.0290393410384031E-3</v>
      </c>
    </row>
    <row r="17" spans="1:11" hidden="1" x14ac:dyDescent="0.35">
      <c r="A17" s="1">
        <v>43517</v>
      </c>
      <c r="B17" t="s">
        <v>78</v>
      </c>
      <c r="C17" t="s">
        <v>82</v>
      </c>
      <c r="D17" s="6">
        <v>0</v>
      </c>
      <c r="E17" s="13">
        <v>0</v>
      </c>
      <c r="F17" s="46">
        <f>IF(Inversiones[[#This Row],[Total Cuotapartes]]=0,0,_xlfn.IFNA(VLOOKUP(Inversiones[[#This Row],[Nombre Inversión]],B18:F26,5,FALSE),0)+Inversiones[[#This Row],[Monto]])</f>
        <v>17509.539281882018</v>
      </c>
      <c r="G17" s="6">
        <f>Inversiones[[#This Row],[Total Cuotapartes]]*Inversiones[[#This Row],[Valor Cuotaparte]]</f>
        <v>23604.888521812998</v>
      </c>
      <c r="H17" s="25">
        <f>_xlfn.IFNA(VLOOKUP(Inversiones[[#This Row],[Nombre Inversión]],B18:H25,7,FALSE),0)+Inversiones[[#This Row],[Cant. Cuotapartes]]</f>
        <v>5435.0410000000002</v>
      </c>
      <c r="I17" s="88">
        <v>4.3430929999999996</v>
      </c>
      <c r="J17" s="7">
        <f>IF(ABS(Inversiones[[#This Row],[Saldo Valorizado]]-Inversiones[[#This Row],[Monto Invertido]]-G19+F19)&gt;500,"-",Inversiones[[#This Row],[Saldo Valorizado]]-Inversiones[[#This Row],[Monto Invertido]]-G19+F19)</f>
        <v>21.8706049839966</v>
      </c>
      <c r="K17" s="23">
        <f>IFERROR((Inversiones[[#This Row],[Valor Cuotaparte]]-VLOOKUP(Inversiones[[#This Row],[Nombre Inversión]],B18:I30,8,FALSE))/VLOOKUP(Inversiones[[#This Row],[Nombre Inversión]],B19:I31,8,FALSE),"-")</f>
        <v>9.2738787975009417E-4</v>
      </c>
    </row>
    <row r="18" spans="1:11" x14ac:dyDescent="0.35">
      <c r="A18" s="1">
        <v>43517</v>
      </c>
      <c r="B18" t="s">
        <v>74</v>
      </c>
      <c r="C18" t="s">
        <v>82</v>
      </c>
      <c r="D18" s="6">
        <v>0</v>
      </c>
      <c r="E18" s="13">
        <v>0</v>
      </c>
      <c r="F18" s="46">
        <f>IF(Inversiones[[#This Row],[Total Cuotapartes]]=0,0,_xlfn.IFNA(VLOOKUP(Inversiones[[#This Row],[Nombre Inversión]],B19:F27,5,FALSE),0)+Inversiones[[#This Row],[Monto]])</f>
        <v>20000.011684500001</v>
      </c>
      <c r="G18" s="6">
        <f>Inversiones[[#This Row],[Total Cuotapartes]]*Inversiones[[#This Row],[Valor Cuotaparte]]</f>
        <v>20496.682301249999</v>
      </c>
      <c r="H18" s="25">
        <f>_xlfn.IFNA(VLOOKUP(Inversiones[[#This Row],[Nombre Inversión]],B19:H26,7,FALSE),0)+Inversiones[[#This Row],[Cant. Cuotapartes]]</f>
        <v>3864.75</v>
      </c>
      <c r="I18" s="88">
        <v>5.3034949999999998</v>
      </c>
      <c r="J18" s="7">
        <f>IF(ABS(Inversiones[[#This Row],[Saldo Valorizado]]-Inversiones[[#This Row],[Monto Invertido]]-G20+F20)&gt;500,"-",Inversiones[[#This Row],[Saldo Valorizado]]-Inversiones[[#This Row],[Monto Invertido]]-G20+F20)</f>
        <v>1.0241587499986053</v>
      </c>
      <c r="K18" s="23">
        <f>IFERROR((Inversiones[[#This Row],[Valor Cuotaparte]]-VLOOKUP(Inversiones[[#This Row],[Nombre Inversión]],B19:I31,8,FALSE))/VLOOKUP(Inversiones[[#This Row],[Nombre Inversión]],B19:I31,8,FALSE),"-")</f>
        <v>4.9969546861014448E-5</v>
      </c>
    </row>
    <row r="19" spans="1:11" hidden="1" x14ac:dyDescent="0.35">
      <c r="A19" s="1">
        <v>43516</v>
      </c>
      <c r="B19" t="s">
        <v>78</v>
      </c>
      <c r="C19" t="s">
        <v>82</v>
      </c>
      <c r="D19" s="6">
        <v>0</v>
      </c>
      <c r="E19" s="13">
        <v>0</v>
      </c>
      <c r="F19" s="46">
        <f>IF(Inversiones[[#This Row],[Total Cuotapartes]]=0,0,_xlfn.IFNA(VLOOKUP(Inversiones[[#This Row],[Nombre Inversión]],B20:F28,5,FALSE),0)+Inversiones[[#This Row],[Monto]])</f>
        <v>17509.539281882018</v>
      </c>
      <c r="G19" s="6">
        <f>Inversiones[[#This Row],[Total Cuotapartes]]*Inversiones[[#This Row],[Valor Cuotaparte]]</f>
        <v>23583.017916829001</v>
      </c>
      <c r="H19" s="25">
        <f>_xlfn.IFNA(VLOOKUP(Inversiones[[#This Row],[Nombre Inversión]],B20:H27,7,FALSE),0)+Inversiones[[#This Row],[Cant. Cuotapartes]]</f>
        <v>5435.0410000000002</v>
      </c>
      <c r="I19" s="88">
        <v>4.3390690000000003</v>
      </c>
      <c r="J19" s="7">
        <f>IF(ABS(Inversiones[[#This Row],[Saldo Valorizado]]-Inversiones[[#This Row],[Monto Invertido]]-G21+F21)&gt;500,"-",Inversiones[[#This Row],[Saldo Valorizado]]-Inversiones[[#This Row],[Monto Invertido]]-G21+F21)</f>
        <v>21.185789818002377</v>
      </c>
      <c r="K19" s="23">
        <f>IFERROR((Inversiones[[#This Row],[Valor Cuotaparte]]-VLOOKUP(Inversiones[[#This Row],[Nombre Inversión]],B20:I32,8,FALSE))/VLOOKUP(Inversiones[[#This Row],[Nombre Inversión]],B21:I33,8,FALSE),"-")</f>
        <v>8.9915714974112926E-4</v>
      </c>
    </row>
    <row r="20" spans="1:11" x14ac:dyDescent="0.35">
      <c r="A20" s="1">
        <v>43516</v>
      </c>
      <c r="B20" t="s">
        <v>74</v>
      </c>
      <c r="C20" t="s">
        <v>82</v>
      </c>
      <c r="D20" s="6">
        <v>0</v>
      </c>
      <c r="E20" s="13">
        <v>0</v>
      </c>
      <c r="F20" s="46">
        <f>IF(Inversiones[[#This Row],[Total Cuotapartes]]=0,0,_xlfn.IFNA(VLOOKUP(Inversiones[[#This Row],[Nombre Inversión]],B21:F29,5,FALSE),0)+Inversiones[[#This Row],[Monto]])</f>
        <v>20000.011684500001</v>
      </c>
      <c r="G20" s="6">
        <f>Inversiones[[#This Row],[Total Cuotapartes]]*Inversiones[[#This Row],[Valor Cuotaparte]]</f>
        <v>20495.6581425</v>
      </c>
      <c r="H20" s="25">
        <f>_xlfn.IFNA(VLOOKUP(Inversiones[[#This Row],[Nombre Inversión]],B21:H28,7,FALSE),0)+Inversiones[[#This Row],[Cant. Cuotapartes]]</f>
        <v>3864.75</v>
      </c>
      <c r="I20" s="88">
        <v>5.3032300000000001</v>
      </c>
      <c r="J20" s="7">
        <f>IF(ABS(Inversiones[[#This Row],[Saldo Valorizado]]-Inversiones[[#This Row],[Monto Invertido]]-G22+F22)&gt;500,"-",Inversiones[[#This Row],[Saldo Valorizado]]-Inversiones[[#This Row],[Monto Invertido]]-G22+F22)</f>
        <v>2.9449395000010554</v>
      </c>
      <c r="K20" s="23">
        <f>IFERROR((Inversiones[[#This Row],[Valor Cuotaparte]]-VLOOKUP(Inversiones[[#This Row],[Nombre Inversión]],B21:I33,8,FALSE))/VLOOKUP(Inversiones[[#This Row],[Nombre Inversión]],B21:I33,8,FALSE),"-")</f>
        <v>1.437066664051399E-4</v>
      </c>
    </row>
    <row r="21" spans="1:11" hidden="1" x14ac:dyDescent="0.35">
      <c r="A21" s="1">
        <v>43515</v>
      </c>
      <c r="B21" t="s">
        <v>78</v>
      </c>
      <c r="C21" t="s">
        <v>82</v>
      </c>
      <c r="D21" s="6">
        <v>0</v>
      </c>
      <c r="E21" s="13">
        <v>0</v>
      </c>
      <c r="F21" s="46">
        <f>IF(Inversiones[[#This Row],[Total Cuotapartes]]=0,0,_xlfn.IFNA(VLOOKUP(Inversiones[[#This Row],[Nombre Inversión]],B22:F30,5,FALSE),0)+Inversiones[[#This Row],[Monto]])</f>
        <v>17509.539281882018</v>
      </c>
      <c r="G21" s="6">
        <f>Inversiones[[#This Row],[Total Cuotapartes]]*Inversiones[[#This Row],[Valor Cuotaparte]]</f>
        <v>23561.832127010999</v>
      </c>
      <c r="H21" s="25">
        <f>_xlfn.IFNA(VLOOKUP(Inversiones[[#This Row],[Nombre Inversión]],B22:H29,7,FALSE),0)+Inversiones[[#This Row],[Cant. Cuotapartes]]</f>
        <v>5435.0410000000002</v>
      </c>
      <c r="I21" s="88">
        <v>4.3351709999999999</v>
      </c>
      <c r="J21" s="7">
        <f>IF(ABS(Inversiones[[#This Row],[Saldo Valorizado]]-Inversiones[[#This Row],[Monto Invertido]]-G23+F23)&gt;500,"-",Inversiones[[#This Row],[Saldo Valorizado]]-Inversiones[[#This Row],[Monto Invertido]]-G23+F23)</f>
        <v>20.625980594999419</v>
      </c>
      <c r="K21" s="23">
        <f>IFERROR((Inversiones[[#This Row],[Valor Cuotaparte]]-VLOOKUP(Inversiones[[#This Row],[Nombre Inversión]],B22:I34,8,FALSE))/VLOOKUP(Inversiones[[#This Row],[Nombre Inversión]],B23:I35,8,FALSE),"-")</f>
        <v>8.761649877545185E-4</v>
      </c>
    </row>
    <row r="22" spans="1:11" x14ac:dyDescent="0.35">
      <c r="A22" s="1">
        <v>43515</v>
      </c>
      <c r="B22" t="s">
        <v>74</v>
      </c>
      <c r="C22" t="s">
        <v>82</v>
      </c>
      <c r="D22" s="6">
        <v>0</v>
      </c>
      <c r="E22" s="13">
        <v>0</v>
      </c>
      <c r="F22" s="46">
        <f>IF(Inversiones[[#This Row],[Total Cuotapartes]]=0,0,_xlfn.IFNA(VLOOKUP(Inversiones[[#This Row],[Nombre Inversión]],B23:F31,5,FALSE),0)+Inversiones[[#This Row],[Monto]])</f>
        <v>20000.011684500001</v>
      </c>
      <c r="G22" s="6">
        <f>Inversiones[[#This Row],[Total Cuotapartes]]*Inversiones[[#This Row],[Valor Cuotaparte]]</f>
        <v>20492.713202999999</v>
      </c>
      <c r="H22" s="25">
        <f>_xlfn.IFNA(VLOOKUP(Inversiones[[#This Row],[Nombre Inversión]],B23:H30,7,FALSE),0)+Inversiones[[#This Row],[Cant. Cuotapartes]]</f>
        <v>3864.75</v>
      </c>
      <c r="I22" s="88">
        <v>5.3024680000000002</v>
      </c>
      <c r="J22" s="7">
        <f>IF(ABS(Inversiones[[#This Row],[Saldo Valorizado]]-Inversiones[[#This Row],[Monto Invertido]]-G25+F25)&gt;500,"-",Inversiones[[#This Row],[Saldo Valorizado]]-Inversiones[[#This Row],[Monto Invertido]]-G25+F25)</f>
        <v>9.437719499997911</v>
      </c>
      <c r="K22" s="23">
        <f>IFERROR((Inversiones[[#This Row],[Valor Cuotaparte]]-VLOOKUP(Inversiones[[#This Row],[Nombre Inversión]],B23:I35,8,FALSE))/VLOOKUP(Inversiones[[#This Row],[Nombre Inversión]],B23:I35,8,FALSE),"-")</f>
        <v>4.6075245668611388E-4</v>
      </c>
    </row>
    <row r="23" spans="1:11" hidden="1" x14ac:dyDescent="0.35">
      <c r="A23" s="1">
        <v>43515</v>
      </c>
      <c r="B23" t="s">
        <v>78</v>
      </c>
      <c r="C23" t="s">
        <v>79</v>
      </c>
      <c r="D23" s="6">
        <f>Inversiones[[#This Row],[Cant. Cuotapartes]]*Inversiones[[#This Row],[Valor Cuotaparte]]</f>
        <v>-10000.021026239998</v>
      </c>
      <c r="E23" s="25">
        <v>-2308.7399999999998</v>
      </c>
      <c r="F23" s="46">
        <f>IF(Inversiones[[#This Row],[Total Cuotapartes]]=0,0,_xlfn.IFNA(VLOOKUP(Inversiones[[#This Row],[Nombre Inversión]],B24:F32,5,FALSE),0)+Inversiones[[#This Row],[Monto]])</f>
        <v>17509.539281882018</v>
      </c>
      <c r="G23" s="6">
        <f>Inversiones[[#This Row],[Total Cuotapartes]]*Inversiones[[#This Row],[Valor Cuotaparte]]</f>
        <v>23541.206146416</v>
      </c>
      <c r="H23" s="25">
        <f>_xlfn.IFNA(VLOOKUP(Inversiones[[#This Row],[Nombre Inversión]],B24:H31,7,FALSE),0)+Inversiones[[#This Row],[Cant. Cuotapartes]]</f>
        <v>5435.0410000000002</v>
      </c>
      <c r="I23" s="88">
        <v>4.3313759999999997</v>
      </c>
      <c r="J23" s="7" t="s">
        <v>80</v>
      </c>
      <c r="K23" s="23" t="s">
        <v>80</v>
      </c>
    </row>
    <row r="24" spans="1:11" hidden="1" x14ac:dyDescent="0.35">
      <c r="A24" s="1">
        <v>43514</v>
      </c>
      <c r="B24" t="s">
        <v>78</v>
      </c>
      <c r="C24" t="s">
        <v>82</v>
      </c>
      <c r="D24" s="6">
        <v>0</v>
      </c>
      <c r="E24" s="13">
        <v>0</v>
      </c>
      <c r="F24" s="46">
        <f>IF(Inversiones[[#This Row],[Total Cuotapartes]]=0,0,_xlfn.IFNA(VLOOKUP(Inversiones[[#This Row],[Nombre Inversión]],B25:F33,5,FALSE),0)+Inversiones[[#This Row],[Monto]])</f>
        <v>27509.560308122018</v>
      </c>
      <c r="G24" s="6">
        <f>Inversiones[[#This Row],[Total Cuotapartes]]*Inversiones[[#This Row],[Valor Cuotaparte]]</f>
        <v>33541.227172655999</v>
      </c>
      <c r="H24" s="25">
        <f>_xlfn.IFNA(VLOOKUP(Inversiones[[#This Row],[Nombre Inversión]],B25:H32,7,FALSE),0)+Inversiones[[#This Row],[Cant. Cuotapartes]]</f>
        <v>7743.7809999999999</v>
      </c>
      <c r="I24" s="88">
        <v>4.3313759999999997</v>
      </c>
      <c r="J24" s="7">
        <f>IF(ABS(Inversiones[[#This Row],[Saldo Valorizado]]-Inversiones[[#This Row],[Monto Invertido]]-G26+F26)&gt;500,"-",Inversiones[[#This Row],[Saldo Valorizado]]-Inversiones[[#This Row],[Monto Invertido]]-G26+F26)</f>
        <v>29.395392676000483</v>
      </c>
      <c r="K24" s="23">
        <f>IFERROR((Inversiones[[#This Row],[Valor Cuotaparte]]-VLOOKUP(Inversiones[[#This Row],[Nombre Inversión]],B25:I37,8,FALSE))/VLOOKUP(Inversiones[[#This Row],[Nombre Inversión]],B26:I38,8,FALSE),"-")</f>
        <v>8.7716460469811444E-4</v>
      </c>
    </row>
    <row r="25" spans="1:11" x14ac:dyDescent="0.35">
      <c r="A25" s="1">
        <v>43514</v>
      </c>
      <c r="B25" t="s">
        <v>74</v>
      </c>
      <c r="C25" t="s">
        <v>82</v>
      </c>
      <c r="D25" s="6">
        <v>0</v>
      </c>
      <c r="E25" s="13">
        <v>0</v>
      </c>
      <c r="F25" s="46">
        <f>IF(Inversiones[[#This Row],[Total Cuotapartes]]=0,0,_xlfn.IFNA(VLOOKUP(Inversiones[[#This Row],[Nombre Inversión]],B26:F34,5,FALSE),0)+Inversiones[[#This Row],[Monto]])</f>
        <v>20000.011684500001</v>
      </c>
      <c r="G25" s="6">
        <f>Inversiones[[#This Row],[Total Cuotapartes]]*Inversiones[[#This Row],[Valor Cuotaparte]]</f>
        <v>20483.275483500001</v>
      </c>
      <c r="H25" s="25">
        <f>_xlfn.IFNA(VLOOKUP(Inversiones[[#This Row],[Nombre Inversión]],B26:H33,7,FALSE),0)+Inversiones[[#This Row],[Cant. Cuotapartes]]</f>
        <v>3864.75</v>
      </c>
      <c r="I25" s="88">
        <v>5.3000259999999999</v>
      </c>
      <c r="J25" s="7">
        <f>IF(ABS(Inversiones[[#This Row],[Saldo Valorizado]]-Inversiones[[#This Row],[Monto Invertido]]-G27+F27)&gt;500,"-",Inversiones[[#This Row],[Saldo Valorizado]]-Inversiones[[#This Row],[Monto Invertido]]-G27+F27)</f>
        <v>39.347019750002801</v>
      </c>
      <c r="K25" s="23">
        <f>IFERROR((Inversiones[[#This Row],[Valor Cuotaparte]]-VLOOKUP(Inversiones[[#This Row],[Nombre Inversión]],B26:I38,8,FALSE))/VLOOKUP(Inversiones[[#This Row],[Nombre Inversión]],B26:I38,8,FALSE),"-")</f>
        <v>1.9246310619687756E-3</v>
      </c>
    </row>
    <row r="26" spans="1:11" hidden="1" x14ac:dyDescent="0.35">
      <c r="A26" s="1">
        <v>43511</v>
      </c>
      <c r="B26" t="s">
        <v>78</v>
      </c>
      <c r="C26" t="s">
        <v>82</v>
      </c>
      <c r="D26" s="6">
        <v>0</v>
      </c>
      <c r="E26" s="13">
        <v>0</v>
      </c>
      <c r="F26" s="46">
        <f>IF(Inversiones[[#This Row],[Total Cuotapartes]]=0,0,_xlfn.IFNA(VLOOKUP(Inversiones[[#This Row],[Nombre Inversión]],B27:F35,5,FALSE),0)+Inversiones[[#This Row],[Monto]])</f>
        <v>27509.560308122018</v>
      </c>
      <c r="G26" s="6">
        <f>Inversiones[[#This Row],[Total Cuotapartes]]*Inversiones[[#This Row],[Valor Cuotaparte]]</f>
        <v>33511.831779979999</v>
      </c>
      <c r="H26" s="25">
        <f>_xlfn.IFNA(VLOOKUP(Inversiones[[#This Row],[Nombre Inversión]],B27:H34,7,FALSE),0)+Inversiones[[#This Row],[Cant. Cuotapartes]]</f>
        <v>7743.7809999999999</v>
      </c>
      <c r="I26" s="88">
        <v>4.3275800000000002</v>
      </c>
      <c r="J26" s="7">
        <f>IF(ABS(Inversiones[[#This Row],[Saldo Valorizado]]-Inversiones[[#This Row],[Monto Invertido]]-G28+F28)&gt;500,"-",Inversiones[[#This Row],[Saldo Valorizado]]-Inversiones[[#This Row],[Monto Invertido]]-G28+F28)</f>
        <v>90.896501377996174</v>
      </c>
      <c r="K26" s="23">
        <f>IFERROR((Inversiones[[#This Row],[Valor Cuotaparte]]-VLOOKUP(Inversiones[[#This Row],[Nombre Inversión]],B27:I39,8,FALSE))/VLOOKUP(Inversiones[[#This Row],[Nombre Inversión]],B28:I40,8,FALSE),"-")</f>
        <v>2.7197473864891829E-3</v>
      </c>
    </row>
    <row r="27" spans="1:11" x14ac:dyDescent="0.35">
      <c r="A27" s="1">
        <v>43511</v>
      </c>
      <c r="B27" t="s">
        <v>74</v>
      </c>
      <c r="C27" t="s">
        <v>82</v>
      </c>
      <c r="D27" s="6">
        <v>0</v>
      </c>
      <c r="E27" s="13">
        <v>0</v>
      </c>
      <c r="F27" s="46">
        <f>IF(Inversiones[[#This Row],[Total Cuotapartes]]=0,0,_xlfn.IFNA(VLOOKUP(Inversiones[[#This Row],[Nombre Inversión]],B28:F36,5,FALSE),0)+Inversiones[[#This Row],[Monto]])</f>
        <v>20000.011684500001</v>
      </c>
      <c r="G27" s="6">
        <f>Inversiones[[#This Row],[Total Cuotapartes]]*Inversiones[[#This Row],[Valor Cuotaparte]]</f>
        <v>20443.928463749999</v>
      </c>
      <c r="H27" s="25">
        <f>_xlfn.IFNA(VLOOKUP(Inversiones[[#This Row],[Nombre Inversión]],B28:H35,7,FALSE),0)+Inversiones[[#This Row],[Cant. Cuotapartes]]</f>
        <v>3864.75</v>
      </c>
      <c r="I27" s="88">
        <v>5.2898449999999997</v>
      </c>
      <c r="J27" s="7">
        <f>IF(ABS(Inversiones[[#This Row],[Saldo Valorizado]]-Inversiones[[#This Row],[Monto Invertido]]-G30+F30)&gt;500,"-",Inversiones[[#This Row],[Saldo Valorizado]]-Inversiones[[#This Row],[Monto Invertido]]-G30+F30)</f>
        <v>24.970149749999109</v>
      </c>
      <c r="K27" s="23">
        <f>IFERROR((Inversiones[[#This Row],[Valor Cuotaparte]]-VLOOKUP(Inversiones[[#This Row],[Nombre Inversión]],B28:I40,8,FALSE))/VLOOKUP(Inversiones[[#This Row],[Nombre Inversión]],B28:I40,8,FALSE),"-")</f>
        <v>1.2228904807978804E-3</v>
      </c>
    </row>
    <row r="28" spans="1:11" hidden="1" x14ac:dyDescent="0.35">
      <c r="A28" s="1">
        <v>43511</v>
      </c>
      <c r="B28" t="s">
        <v>78</v>
      </c>
      <c r="C28" t="s">
        <v>79</v>
      </c>
      <c r="D28" s="6">
        <f>Inversiones[[#This Row],[Cant. Cuotapartes]]*Inversiones[[#This Row],[Valor Cuotaparte]]</f>
        <v>-1000.0194339780001</v>
      </c>
      <c r="E28" s="25">
        <v>-231.709</v>
      </c>
      <c r="F28" s="46">
        <f>IF(Inversiones[[#This Row],[Total Cuotapartes]]=0,0,_xlfn.IFNA(VLOOKUP(Inversiones[[#This Row],[Nombre Inversión]],B29:F37,5,FALSE),0)+Inversiones[[#This Row],[Monto]])</f>
        <v>27509.560308122018</v>
      </c>
      <c r="G28" s="6">
        <f>Inversiones[[#This Row],[Total Cuotapartes]]*Inversiones[[#This Row],[Valor Cuotaparte]]</f>
        <v>33420.935278602003</v>
      </c>
      <c r="H28" s="25">
        <f>_xlfn.IFNA(VLOOKUP(Inversiones[[#This Row],[Nombre Inversión]],B29:H36,7,FALSE),0)+Inversiones[[#This Row],[Cant. Cuotapartes]]</f>
        <v>7743.7809999999999</v>
      </c>
      <c r="I28" s="88">
        <v>4.315842</v>
      </c>
      <c r="J28" s="7" t="s">
        <v>80</v>
      </c>
      <c r="K28" s="23" t="s">
        <v>80</v>
      </c>
    </row>
    <row r="29" spans="1:11" hidden="1" x14ac:dyDescent="0.35">
      <c r="A29" s="1">
        <v>43510</v>
      </c>
      <c r="B29" t="s">
        <v>78</v>
      </c>
      <c r="C29" t="s">
        <v>82</v>
      </c>
      <c r="D29" s="6">
        <v>0</v>
      </c>
      <c r="E29" s="13">
        <v>0</v>
      </c>
      <c r="F29" s="46">
        <f>IF(Inversiones[[#This Row],[Total Cuotapartes]]=0,0,_xlfn.IFNA(VLOOKUP(Inversiones[[#This Row],[Nombre Inversión]],B30:F38,5,FALSE),0)+Inversiones[[#This Row],[Monto]])</f>
        <v>28509.579742100017</v>
      </c>
      <c r="G29" s="6">
        <f>Inversiones[[#This Row],[Total Cuotapartes]]*Inversiones[[#This Row],[Valor Cuotaparte]]</f>
        <v>34420.954712580002</v>
      </c>
      <c r="H29" s="25">
        <f>_xlfn.IFNA(VLOOKUP(Inversiones[[#This Row],[Nombre Inversión]],B30:H37,7,FALSE),0)+Inversiones[[#This Row],[Cant. Cuotapartes]]</f>
        <v>7975.49</v>
      </c>
      <c r="I29" s="88">
        <v>4.315842</v>
      </c>
      <c r="J29" s="7">
        <f>IF(ABS(Inversiones[[#This Row],[Saldo Valorizado]]-Inversiones[[#This Row],[Monto Invertido]]-G31+F31)&gt;500,"-",Inversiones[[#This Row],[Saldo Valorizado]]-Inversiones[[#This Row],[Monto Invertido]]-G31+F31)</f>
        <v>30.554102189998957</v>
      </c>
      <c r="K29" s="23">
        <f>IFERROR((Inversiones[[#This Row],[Valor Cuotaparte]]-VLOOKUP(Inversiones[[#This Row],[Nombre Inversión]],B30:I42,8,FALSE))/VLOOKUP(Inversiones[[#This Row],[Nombre Inversión]],B31:I43,8,FALSE),"-")</f>
        <v>8.8844856842895756E-4</v>
      </c>
    </row>
    <row r="30" spans="1:11" x14ac:dyDescent="0.35">
      <c r="A30" s="1">
        <v>43510</v>
      </c>
      <c r="B30" t="s">
        <v>74</v>
      </c>
      <c r="C30" t="s">
        <v>82</v>
      </c>
      <c r="D30" s="6">
        <v>0</v>
      </c>
      <c r="E30" s="13">
        <v>0</v>
      </c>
      <c r="F30" s="46">
        <f>IF(Inversiones[[#This Row],[Total Cuotapartes]]=0,0,_xlfn.IFNA(VLOOKUP(Inversiones[[#This Row],[Nombre Inversión]],B31:F39,5,FALSE),0)+Inversiones[[#This Row],[Monto]])</f>
        <v>20000.011684500001</v>
      </c>
      <c r="G30" s="6">
        <f>Inversiones[[#This Row],[Total Cuotapartes]]*Inversiones[[#This Row],[Valor Cuotaparte]]</f>
        <v>20418.958314</v>
      </c>
      <c r="H30" s="25">
        <f>_xlfn.IFNA(VLOOKUP(Inversiones[[#This Row],[Nombre Inversión]],B31:H38,7,FALSE),0)+Inversiones[[#This Row],[Cant. Cuotapartes]]</f>
        <v>3864.75</v>
      </c>
      <c r="I30" s="88">
        <v>5.2833839999999999</v>
      </c>
      <c r="J30" s="7">
        <f>IF(ABS(Inversiones[[#This Row],[Saldo Valorizado]]-Inversiones[[#This Row],[Monto Invertido]]-G32+F32)&gt;500,"-",Inversiones[[#This Row],[Saldo Valorizado]]-Inversiones[[#This Row],[Monto Invertido]]-G32+F32)</f>
        <v>23.517003749999276</v>
      </c>
      <c r="K30" s="23">
        <f>IFERROR((Inversiones[[#This Row],[Valor Cuotaparte]]-VLOOKUP(Inversiones[[#This Row],[Nombre Inversión]],B31:I43,8,FALSE))/VLOOKUP(Inversiones[[#This Row],[Nombre Inversión]],B31:I43,8,FALSE),"-")</f>
        <v>1.1530519684406122E-3</v>
      </c>
    </row>
    <row r="31" spans="1:11" hidden="1" x14ac:dyDescent="0.35">
      <c r="A31" s="1">
        <v>43509</v>
      </c>
      <c r="B31" t="s">
        <v>78</v>
      </c>
      <c r="C31" t="s">
        <v>82</v>
      </c>
      <c r="D31" s="6">
        <v>0</v>
      </c>
      <c r="E31" s="13">
        <v>0</v>
      </c>
      <c r="F31" s="46">
        <f>IF(Inversiones[[#This Row],[Total Cuotapartes]]=0,0,_xlfn.IFNA(VLOOKUP(Inversiones[[#This Row],[Nombre Inversión]],B32:F40,5,FALSE),0)+Inversiones[[#This Row],[Monto]])</f>
        <v>28509.579742100017</v>
      </c>
      <c r="G31" s="6">
        <f>Inversiones[[#This Row],[Total Cuotapartes]]*Inversiones[[#This Row],[Valor Cuotaparte]]</f>
        <v>34390.400610390003</v>
      </c>
      <c r="H31" s="25">
        <f>_xlfn.IFNA(VLOOKUP(Inversiones[[#This Row],[Nombre Inversión]],B32:H39,7,FALSE),0)+Inversiones[[#This Row],[Cant. Cuotapartes]]</f>
        <v>7975.49</v>
      </c>
      <c r="I31" s="88">
        <v>4.312011</v>
      </c>
      <c r="J31" s="7">
        <f>IF(ABS(Inversiones[[#This Row],[Saldo Valorizado]]-Inversiones[[#This Row],[Monto Invertido]]-G33+F33)&gt;500,"-",Inversiones[[#This Row],[Saldo Valorizado]]-Inversiones[[#This Row],[Monto Invertido]]-G33+F33)</f>
        <v>30.466371800008346</v>
      </c>
      <c r="K31" s="23">
        <f>IFERROR((Inversiones[[#This Row],[Valor Cuotaparte]]-VLOOKUP(Inversiones[[#This Row],[Nombre Inversión]],B32:I44,8,FALSE))/VLOOKUP(Inversiones[[#This Row],[Nombre Inversión]],B33:I45,8,FALSE),"-")</f>
        <v>8.866830648873638E-4</v>
      </c>
    </row>
    <row r="32" spans="1:11" x14ac:dyDescent="0.35">
      <c r="A32" s="1">
        <v>43509</v>
      </c>
      <c r="B32" t="s">
        <v>74</v>
      </c>
      <c r="C32" t="s">
        <v>82</v>
      </c>
      <c r="D32" s="6">
        <v>0</v>
      </c>
      <c r="E32" s="13">
        <v>0</v>
      </c>
      <c r="F32" s="46">
        <f>IF(Inversiones[[#This Row],[Total Cuotapartes]]=0,0,_xlfn.IFNA(VLOOKUP(Inversiones[[#This Row],[Nombre Inversión]],B33:F41,5,FALSE),0)+Inversiones[[#This Row],[Monto]])</f>
        <v>20000.011684500001</v>
      </c>
      <c r="G32" s="6">
        <f>Inversiones[[#This Row],[Total Cuotapartes]]*Inversiones[[#This Row],[Valor Cuotaparte]]</f>
        <v>20395.44131025</v>
      </c>
      <c r="H32" s="25">
        <f>_xlfn.IFNA(VLOOKUP(Inversiones[[#This Row],[Nombre Inversión]],B33:H40,7,FALSE),0)+Inversiones[[#This Row],[Cant. Cuotapartes]]</f>
        <v>3864.75</v>
      </c>
      <c r="I32" s="88">
        <v>5.2772990000000002</v>
      </c>
      <c r="J32" s="7">
        <f>IF(ABS(Inversiones[[#This Row],[Saldo Valorizado]]-Inversiones[[#This Row],[Monto Invertido]]-G34+F34)&gt;500,"-",Inversiones[[#This Row],[Saldo Valorizado]]-Inversiones[[#This Row],[Monto Invertido]]-G34+F34)</f>
        <v>23.269659749999846</v>
      </c>
      <c r="K32" s="23">
        <f>IFERROR((Inversiones[[#This Row],[Valor Cuotaparte]]-VLOOKUP(Inversiones[[#This Row],[Nombre Inversión]],B33:I45,8,FALSE))/VLOOKUP(Inversiones[[#This Row],[Nombre Inversión]],B33:I45,8,FALSE),"-")</f>
        <v>1.1422277481856389E-3</v>
      </c>
    </row>
    <row r="33" spans="1:11" hidden="1" x14ac:dyDescent="0.35">
      <c r="A33" s="1">
        <v>43508</v>
      </c>
      <c r="B33" t="s">
        <v>78</v>
      </c>
      <c r="C33" t="s">
        <v>82</v>
      </c>
      <c r="D33" s="6">
        <v>0</v>
      </c>
      <c r="E33" s="13">
        <v>0</v>
      </c>
      <c r="F33" s="46">
        <f>IF(Inversiones[[#This Row],[Total Cuotapartes]]=0,0,_xlfn.IFNA(VLOOKUP(Inversiones[[#This Row],[Nombre Inversión]],B34:F42,5,FALSE),0)+Inversiones[[#This Row],[Monto]])</f>
        <v>28509.579742100017</v>
      </c>
      <c r="G33" s="6">
        <f>Inversiones[[#This Row],[Total Cuotapartes]]*Inversiones[[#This Row],[Valor Cuotaparte]]</f>
        <v>34359.934238589994</v>
      </c>
      <c r="H33" s="25">
        <f>_xlfn.IFNA(VLOOKUP(Inversiones[[#This Row],[Nombre Inversión]],B34:H41,7,FALSE),0)+Inversiones[[#This Row],[Cant. Cuotapartes]]</f>
        <v>7975.49</v>
      </c>
      <c r="I33" s="88">
        <v>4.3081909999999999</v>
      </c>
      <c r="J33" s="7">
        <f>IF(ABS(Inversiones[[#This Row],[Saldo Valorizado]]-Inversiones[[#This Row],[Monto Invertido]]-G35+F35)&gt;500,"-",Inversiones[[#This Row],[Saldo Valorizado]]-Inversiones[[#This Row],[Monto Invertido]]-G35+F35)</f>
        <v>30.498273759993026</v>
      </c>
      <c r="K33" s="23">
        <f>IFERROR((Inversiones[[#This Row],[Valor Cuotaparte]]-VLOOKUP(Inversiones[[#This Row],[Nombre Inversión]],B34:I46,8,FALSE))/VLOOKUP(Inversiones[[#This Row],[Nombre Inversión]],B35:I47,8,FALSE),"-")</f>
        <v>8.8840008298544883E-4</v>
      </c>
    </row>
    <row r="34" spans="1:11" x14ac:dyDescent="0.35">
      <c r="A34" s="1">
        <v>43508</v>
      </c>
      <c r="B34" t="s">
        <v>74</v>
      </c>
      <c r="C34" t="s">
        <v>82</v>
      </c>
      <c r="D34" s="6">
        <v>0</v>
      </c>
      <c r="E34" s="13">
        <v>0</v>
      </c>
      <c r="F34" s="46">
        <f>IF(Inversiones[[#This Row],[Total Cuotapartes]]=0,0,_xlfn.IFNA(VLOOKUP(Inversiones[[#This Row],[Nombre Inversión]],B35:F43,5,FALSE),0)+Inversiones[[#This Row],[Monto]])</f>
        <v>20000.011684500001</v>
      </c>
      <c r="G34" s="6">
        <f>Inversiones[[#This Row],[Total Cuotapartes]]*Inversiones[[#This Row],[Valor Cuotaparte]]</f>
        <v>20372.1716505</v>
      </c>
      <c r="H34" s="25">
        <f>_xlfn.IFNA(VLOOKUP(Inversiones[[#This Row],[Nombre Inversión]],B35:H42,7,FALSE),0)+Inversiones[[#This Row],[Cant. Cuotapartes]]</f>
        <v>3864.75</v>
      </c>
      <c r="I34" s="88">
        <v>5.2712779999999997</v>
      </c>
      <c r="J34" s="7">
        <f>IF(ABS(Inversiones[[#This Row],[Saldo Valorizado]]-Inversiones[[#This Row],[Monto Invertido]]-G36+F36)&gt;500,"-",Inversiones[[#This Row],[Saldo Valorizado]]-Inversiones[[#This Row],[Monto Invertido]]-G36+F36)</f>
        <v>24.000097500000265</v>
      </c>
      <c r="K34" s="23">
        <f>IFERROR((Inversiones[[#This Row],[Valor Cuotaparte]]-VLOOKUP(Inversiones[[#This Row],[Nombre Inversión]],B35:I47,8,FALSE))/VLOOKUP(Inversiones[[#This Row],[Nombre Inversión]],B35:I47,8,FALSE),"-")</f>
        <v>1.1794719460412253E-3</v>
      </c>
    </row>
    <row r="35" spans="1:11" hidden="1" x14ac:dyDescent="0.35">
      <c r="A35" s="1">
        <v>43507</v>
      </c>
      <c r="B35" t="s">
        <v>78</v>
      </c>
      <c r="C35" t="s">
        <v>82</v>
      </c>
      <c r="D35" s="6">
        <v>0</v>
      </c>
      <c r="E35" s="13">
        <v>0</v>
      </c>
      <c r="F35" s="46">
        <f>IF(Inversiones[[#This Row],[Total Cuotapartes]]=0,0,_xlfn.IFNA(VLOOKUP(Inversiones[[#This Row],[Nombre Inversión]],B36:F44,5,FALSE),0)+Inversiones[[#This Row],[Monto]])</f>
        <v>28509.579742100017</v>
      </c>
      <c r="G35" s="6">
        <f>Inversiones[[#This Row],[Total Cuotapartes]]*Inversiones[[#This Row],[Valor Cuotaparte]]</f>
        <v>34329.435964830001</v>
      </c>
      <c r="H35" s="25">
        <f>_xlfn.IFNA(VLOOKUP(Inversiones[[#This Row],[Nombre Inversión]],B36:H43,7,FALSE),0)+Inversiones[[#This Row],[Cant. Cuotapartes]]</f>
        <v>7975.49</v>
      </c>
      <c r="I35" s="88">
        <v>4.3043670000000001</v>
      </c>
      <c r="J35" s="7">
        <f>IF(ABS(Inversiones[[#This Row],[Saldo Valorizado]]-Inversiones[[#This Row],[Monto Invertido]]-G37+F37)&gt;500,"-",Inversiones[[#This Row],[Saldo Valorizado]]-Inversiones[[#This Row],[Monto Invertido]]-G37+F37)</f>
        <v>30.905023749997781</v>
      </c>
      <c r="K35" s="23">
        <f>IFERROR((Inversiones[[#This Row],[Valor Cuotaparte]]-VLOOKUP(Inversiones[[#This Row],[Nombre Inversión]],B36:I48,8,FALSE))/VLOOKUP(Inversiones[[#This Row],[Nombre Inversión]],B37:I49,8,FALSE),"-")</f>
        <v>9.0105969270489296E-4</v>
      </c>
    </row>
    <row r="36" spans="1:11" x14ac:dyDescent="0.35">
      <c r="A36" s="1">
        <v>43507</v>
      </c>
      <c r="B36" t="s">
        <v>74</v>
      </c>
      <c r="C36" t="s">
        <v>82</v>
      </c>
      <c r="D36" s="6">
        <v>0</v>
      </c>
      <c r="E36" s="13">
        <v>0</v>
      </c>
      <c r="F36" s="46">
        <f>IF(Inversiones[[#This Row],[Total Cuotapartes]]=0,0,_xlfn.IFNA(VLOOKUP(Inversiones[[#This Row],[Nombre Inversión]],B37:F45,5,FALSE),0)+Inversiones[[#This Row],[Monto]])</f>
        <v>20000.011684500001</v>
      </c>
      <c r="G36" s="6">
        <f>Inversiones[[#This Row],[Total Cuotapartes]]*Inversiones[[#This Row],[Valor Cuotaparte]]</f>
        <v>20348.171553</v>
      </c>
      <c r="H36" s="25">
        <f>_xlfn.IFNA(VLOOKUP(Inversiones[[#This Row],[Nombre Inversión]],B37:H44,7,FALSE),0)+Inversiones[[#This Row],[Cant. Cuotapartes]]</f>
        <v>3864.75</v>
      </c>
      <c r="I36" s="88">
        <v>5.2650680000000003</v>
      </c>
      <c r="J36" s="7">
        <f>IF(ABS(Inversiones[[#This Row],[Saldo Valorizado]]-Inversiones[[#This Row],[Monto Invertido]]-G38+F38)&gt;500,"-",Inversiones[[#This Row],[Saldo Valorizado]]-Inversiones[[#This Row],[Monto Invertido]]-G38+F38)</f>
        <v>55.200224250002066</v>
      </c>
      <c r="K36" s="23">
        <f>IFERROR((Inversiones[[#This Row],[Valor Cuotaparte]]-VLOOKUP(Inversiones[[#This Row],[Nombre Inversión]],B37:I49,8,FALSE))/VLOOKUP(Inversiones[[#This Row],[Nombre Inversión]],B37:I49,8,FALSE),"-")</f>
        <v>2.7201646991832102E-3</v>
      </c>
    </row>
    <row r="37" spans="1:11" hidden="1" x14ac:dyDescent="0.35">
      <c r="A37" s="1">
        <v>43504</v>
      </c>
      <c r="B37" t="s">
        <v>78</v>
      </c>
      <c r="C37" t="s">
        <v>82</v>
      </c>
      <c r="D37" s="6">
        <v>0</v>
      </c>
      <c r="E37" s="13">
        <v>0</v>
      </c>
      <c r="F37" s="46">
        <f>IF(Inversiones[[#This Row],[Total Cuotapartes]]=0,0,_xlfn.IFNA(VLOOKUP(Inversiones[[#This Row],[Nombre Inversión]],B38:F46,5,FALSE),0)+Inversiones[[#This Row],[Monto]])</f>
        <v>28509.579742100017</v>
      </c>
      <c r="G37" s="6">
        <f>Inversiones[[#This Row],[Total Cuotapartes]]*Inversiones[[#This Row],[Valor Cuotaparte]]</f>
        <v>34298.530941080004</v>
      </c>
      <c r="H37" s="25">
        <f>_xlfn.IFNA(VLOOKUP(Inversiones[[#This Row],[Nombre Inversión]],B38:H45,7,FALSE),0)+Inversiones[[#This Row],[Cant. Cuotapartes]]</f>
        <v>7975.49</v>
      </c>
      <c r="I37" s="88">
        <v>4.3004920000000002</v>
      </c>
      <c r="J37" s="7">
        <f>IF(ABS(Inversiones[[#This Row],[Saldo Valorizado]]-Inversiones[[#This Row],[Monto Invertido]]-G39+F39)&gt;500,"-",Inversiones[[#This Row],[Saldo Valorizado]]-Inversiones[[#This Row],[Monto Invertido]]-G39+F39)</f>
        <v>97.444536820003123</v>
      </c>
      <c r="K37" s="23">
        <f>IFERROR((Inversiones[[#This Row],[Valor Cuotaparte]]-VLOOKUP(Inversiones[[#This Row],[Nombre Inversión]],B38:I50,8,FALSE))/VLOOKUP(Inversiones[[#This Row],[Nombre Inversión]],B39:I51,8,FALSE),"-")</f>
        <v>2.8491649554109274E-3</v>
      </c>
    </row>
    <row r="38" spans="1:11" x14ac:dyDescent="0.35">
      <c r="A38" s="1">
        <v>43504</v>
      </c>
      <c r="B38" t="s">
        <v>74</v>
      </c>
      <c r="C38" t="s">
        <v>82</v>
      </c>
      <c r="D38" s="6">
        <v>0</v>
      </c>
      <c r="E38" s="13">
        <v>0</v>
      </c>
      <c r="F38" s="46">
        <f>IF(Inversiones[[#This Row],[Total Cuotapartes]]=0,0,_xlfn.IFNA(VLOOKUP(Inversiones[[#This Row],[Nombre Inversión]],B39:F47,5,FALSE),0)+Inversiones[[#This Row],[Monto]])</f>
        <v>20000.011684500001</v>
      </c>
      <c r="G38" s="6">
        <f>Inversiones[[#This Row],[Total Cuotapartes]]*Inversiones[[#This Row],[Valor Cuotaparte]]</f>
        <v>20292.971328749998</v>
      </c>
      <c r="H38" s="25">
        <f>_xlfn.IFNA(VLOOKUP(Inversiones[[#This Row],[Nombre Inversión]],B39:H46,7,FALSE),0)+Inversiones[[#This Row],[Cant. Cuotapartes]]</f>
        <v>3864.75</v>
      </c>
      <c r="I38" s="88">
        <v>5.2507849999999996</v>
      </c>
      <c r="J38" s="7">
        <f>IF(ABS(Inversiones[[#This Row],[Saldo Valorizado]]-Inversiones[[#This Row],[Monto Invertido]]-G40+F40)&gt;500,"-",Inversiones[[#This Row],[Saldo Valorizado]]-Inversiones[[#This Row],[Monto Invertido]]-G40+F40)</f>
        <v>56.004092249997484</v>
      </c>
      <c r="K38" s="23">
        <f>IFERROR((Inversiones[[#This Row],[Valor Cuotaparte]]-VLOOKUP(Inversiones[[#This Row],[Nombre Inversión]],B39:I51,8,FALSE))/VLOOKUP(Inversiones[[#This Row],[Nombre Inversión]],B39:I51,8,FALSE),"-")</f>
        <v>2.7674152750016686E-3</v>
      </c>
    </row>
    <row r="39" spans="1:11" hidden="1" x14ac:dyDescent="0.35">
      <c r="A39" s="1">
        <v>43503</v>
      </c>
      <c r="B39" t="s">
        <v>78</v>
      </c>
      <c r="C39" t="s">
        <v>82</v>
      </c>
      <c r="D39" s="6">
        <v>0</v>
      </c>
      <c r="E39" s="13">
        <v>0</v>
      </c>
      <c r="F39" s="46">
        <f>IF(Inversiones[[#This Row],[Total Cuotapartes]]=0,0,_xlfn.IFNA(VLOOKUP(Inversiones[[#This Row],[Nombre Inversión]],B40:F48,5,FALSE),0)+Inversiones[[#This Row],[Monto]])</f>
        <v>28509.579742100017</v>
      </c>
      <c r="G39" s="6">
        <f>Inversiones[[#This Row],[Total Cuotapartes]]*Inversiones[[#This Row],[Valor Cuotaparte]]</f>
        <v>34201.086404260001</v>
      </c>
      <c r="H39" s="25">
        <f>_xlfn.IFNA(VLOOKUP(Inversiones[[#This Row],[Nombre Inversión]],B40:H47,7,FALSE),0)+Inversiones[[#This Row],[Cant. Cuotapartes]]</f>
        <v>7975.49</v>
      </c>
      <c r="I39" s="88">
        <v>4.2882740000000004</v>
      </c>
      <c r="J39" s="7">
        <f>IF(ABS(Inversiones[[#This Row],[Saldo Valorizado]]-Inversiones[[#This Row],[Monto Invertido]]-G41+F41)&gt;500,"-",Inversiones[[#This Row],[Saldo Valorizado]]-Inversiones[[#This Row],[Monto Invertido]]-G41+F41)</f>
        <v>32.882945270001073</v>
      </c>
      <c r="K39" s="23">
        <f>IFERROR((Inversiones[[#This Row],[Valor Cuotaparte]]-VLOOKUP(Inversiones[[#This Row],[Nombre Inversión]],B40:I52,8,FALSE))/VLOOKUP(Inversiones[[#This Row],[Nombre Inversión]],B41:I53,8,FALSE),"-")</f>
        <v>9.6238437907551939E-4</v>
      </c>
    </row>
    <row r="40" spans="1:11" x14ac:dyDescent="0.35">
      <c r="A40" s="1">
        <v>43503</v>
      </c>
      <c r="B40" t="s">
        <v>74</v>
      </c>
      <c r="C40" t="s">
        <v>82</v>
      </c>
      <c r="D40" s="6">
        <v>0</v>
      </c>
      <c r="E40" s="13">
        <v>0</v>
      </c>
      <c r="F40" s="46">
        <f>IF(Inversiones[[#This Row],[Total Cuotapartes]]=0,0,_xlfn.IFNA(VLOOKUP(Inversiones[[#This Row],[Nombre Inversión]],B41:F49,5,FALSE),0)+Inversiones[[#This Row],[Monto]])</f>
        <v>20000.011684500001</v>
      </c>
      <c r="G40" s="6">
        <f>Inversiones[[#This Row],[Total Cuotapartes]]*Inversiones[[#This Row],[Valor Cuotaparte]]</f>
        <v>20236.967236500001</v>
      </c>
      <c r="H40" s="25">
        <f>_xlfn.IFNA(VLOOKUP(Inversiones[[#This Row],[Nombre Inversión]],B41:H48,7,FALSE),0)+Inversiones[[#This Row],[Cant. Cuotapartes]]</f>
        <v>3864.75</v>
      </c>
      <c r="I40" s="88">
        <v>5.236294</v>
      </c>
      <c r="J40" s="7">
        <f>IF(ABS(Inversiones[[#This Row],[Saldo Valorizado]]-Inversiones[[#This Row],[Monto Invertido]]-G42+F42)&gt;500,"-",Inversiones[[#This Row],[Saldo Valorizado]]-Inversiones[[#This Row],[Monto Invertido]]-G42+F42)</f>
        <v>20.517957749998459</v>
      </c>
      <c r="K40" s="23">
        <f>IFERROR((Inversiones[[#This Row],[Valor Cuotaparte]]-VLOOKUP(Inversiones[[#This Row],[Nombre Inversión]],B41:I53,8,FALSE))/VLOOKUP(Inversiones[[#This Row],[Nombre Inversión]],B41:I53,8,FALSE),"-")</f>
        <v>1.0149140171496504E-3</v>
      </c>
    </row>
    <row r="41" spans="1:11" hidden="1" x14ac:dyDescent="0.35">
      <c r="A41" s="1">
        <v>43502</v>
      </c>
      <c r="B41" t="s">
        <v>78</v>
      </c>
      <c r="C41" t="s">
        <v>82</v>
      </c>
      <c r="D41" s="6">
        <v>0</v>
      </c>
      <c r="E41" s="13">
        <v>0</v>
      </c>
      <c r="F41" s="46">
        <f>IF(Inversiones[[#This Row],[Total Cuotapartes]]=0,0,_xlfn.IFNA(VLOOKUP(Inversiones[[#This Row],[Nombre Inversión]],B42:F50,5,FALSE),0)+Inversiones[[#This Row],[Monto]])</f>
        <v>28509.579742100017</v>
      </c>
      <c r="G41" s="6">
        <f>Inversiones[[#This Row],[Total Cuotapartes]]*Inversiones[[#This Row],[Valor Cuotaparte]]</f>
        <v>34168.203458989999</v>
      </c>
      <c r="H41" s="25">
        <f>_xlfn.IFNA(VLOOKUP(Inversiones[[#This Row],[Nombre Inversión]],B42:H49,7,FALSE),0)+Inversiones[[#This Row],[Cant. Cuotapartes]]</f>
        <v>7975.49</v>
      </c>
      <c r="I41" s="88">
        <v>4.2841509999999996</v>
      </c>
      <c r="J41" s="7">
        <f>IF(ABS(Inversiones[[#This Row],[Saldo Valorizado]]-Inversiones[[#This Row],[Monto Invertido]]-G43+F43)&gt;500,"-",Inversiones[[#This Row],[Saldo Valorizado]]-Inversiones[[#This Row],[Monto Invertido]]-G43+F43)</f>
        <v>33.329572710004868</v>
      </c>
      <c r="K41" s="23">
        <f>IFERROR((Inversiones[[#This Row],[Valor Cuotaparte]]-VLOOKUP(Inversiones[[#This Row],[Nombre Inversión]],B42:I54,8,FALSE))/VLOOKUP(Inversiones[[#This Row],[Nombre Inversión]],B43:I55,8,FALSE),"-")</f>
        <v>9.7640825687637933E-4</v>
      </c>
    </row>
    <row r="42" spans="1:11" x14ac:dyDescent="0.35">
      <c r="A42" s="1">
        <v>43502</v>
      </c>
      <c r="B42" t="s">
        <v>74</v>
      </c>
      <c r="C42" t="s">
        <v>82</v>
      </c>
      <c r="D42" s="6">
        <v>0</v>
      </c>
      <c r="E42" s="13">
        <v>0</v>
      </c>
      <c r="F42" s="46">
        <f>IF(Inversiones[[#This Row],[Total Cuotapartes]]=0,0,_xlfn.IFNA(VLOOKUP(Inversiones[[#This Row],[Nombre Inversión]],B43:F51,5,FALSE),0)+Inversiones[[#This Row],[Monto]])</f>
        <v>20000.011684500001</v>
      </c>
      <c r="G42" s="6">
        <f>Inversiones[[#This Row],[Total Cuotapartes]]*Inversiones[[#This Row],[Valor Cuotaparte]]</f>
        <v>20216.449278750002</v>
      </c>
      <c r="H42" s="25">
        <f>_xlfn.IFNA(VLOOKUP(Inversiones[[#This Row],[Nombre Inversión]],B43:H50,7,FALSE),0)+Inversiones[[#This Row],[Cant. Cuotapartes]]</f>
        <v>3864.75</v>
      </c>
      <c r="I42" s="88">
        <v>5.2309850000000004</v>
      </c>
      <c r="J42" s="7">
        <f>IF(ABS(Inversiones[[#This Row],[Saldo Valorizado]]-Inversiones[[#This Row],[Monto Invertido]]-G44+F44)&gt;500,"-",Inversiones[[#This Row],[Saldo Valorizado]]-Inversiones[[#This Row],[Monto Invertido]]-G44+F44)</f>
        <v>17.082195000002685</v>
      </c>
      <c r="K42" s="23">
        <f>IFERROR((Inversiones[[#This Row],[Valor Cuotaparte]]-VLOOKUP(Inversiones[[#This Row],[Nombre Inversión]],B43:I55,8,FALSE))/VLOOKUP(Inversiones[[#This Row],[Nombre Inversión]],B43:I55,8,FALSE),"-")</f>
        <v>8.4567971507109056E-4</v>
      </c>
    </row>
    <row r="43" spans="1:11" hidden="1" x14ac:dyDescent="0.35">
      <c r="A43" s="1">
        <v>43501</v>
      </c>
      <c r="B43" t="s">
        <v>78</v>
      </c>
      <c r="C43" t="s">
        <v>82</v>
      </c>
      <c r="D43" s="6">
        <v>0</v>
      </c>
      <c r="E43" s="13">
        <v>0</v>
      </c>
      <c r="F43" s="46">
        <f>IF(Inversiones[[#This Row],[Total Cuotapartes]]=0,0,_xlfn.IFNA(VLOOKUP(Inversiones[[#This Row],[Nombre Inversión]],B44:F52,5,FALSE),0)+Inversiones[[#This Row],[Monto]])</f>
        <v>28509.579742100017</v>
      </c>
      <c r="G43" s="6">
        <f>Inversiones[[#This Row],[Total Cuotapartes]]*Inversiones[[#This Row],[Valor Cuotaparte]]</f>
        <v>34134.873886279995</v>
      </c>
      <c r="H43" s="25">
        <f>_xlfn.IFNA(VLOOKUP(Inversiones[[#This Row],[Nombre Inversión]],B44:H51,7,FALSE),0)+Inversiones[[#This Row],[Cant. Cuotapartes]]</f>
        <v>7975.49</v>
      </c>
      <c r="I43" s="88">
        <v>4.2799719999999999</v>
      </c>
      <c r="J43" s="7">
        <f>IF(ABS(Inversiones[[#This Row],[Saldo Valorizado]]-Inversiones[[#This Row],[Monto Invertido]]-G45+F45)&gt;500,"-",Inversiones[[#This Row],[Saldo Valorizado]]-Inversiones[[#This Row],[Monto Invertido]]-G45+F45)</f>
        <v>33.433254079995095</v>
      </c>
      <c r="K43" s="23">
        <f>IFERROR((Inversiones[[#This Row],[Valor Cuotaparte]]-VLOOKUP(Inversiones[[#This Row],[Nombre Inversión]],B44:I56,8,FALSE))/VLOOKUP(Inversiones[[#This Row],[Nombre Inversión]],B44:I56,8,FALSE),"-")</f>
        <v>9.8040591424248939E-4</v>
      </c>
    </row>
    <row r="44" spans="1:11" x14ac:dyDescent="0.35">
      <c r="A44" s="1">
        <v>43501</v>
      </c>
      <c r="B44" t="s">
        <v>74</v>
      </c>
      <c r="C44" t="s">
        <v>82</v>
      </c>
      <c r="D44" s="6">
        <v>0</v>
      </c>
      <c r="E44" s="13">
        <v>0</v>
      </c>
      <c r="F44" s="46">
        <f>IF(Inversiones[[#This Row],[Total Cuotapartes]]=0,0,_xlfn.IFNA(VLOOKUP(Inversiones[[#This Row],[Nombre Inversión]],B45:F53,5,FALSE),0)+Inversiones[[#This Row],[Monto]])</f>
        <v>20000.011684500001</v>
      </c>
      <c r="G44" s="6">
        <f>Inversiones[[#This Row],[Total Cuotapartes]]*Inversiones[[#This Row],[Valor Cuotaparte]]</f>
        <v>20199.367083749999</v>
      </c>
      <c r="H44" s="25">
        <f>_xlfn.IFNA(VLOOKUP(Inversiones[[#This Row],[Nombre Inversión]],B45:H52,7,FALSE),0)+Inversiones[[#This Row],[Cant. Cuotapartes]]</f>
        <v>3864.75</v>
      </c>
      <c r="I44" s="88">
        <v>5.2265649999999999</v>
      </c>
      <c r="J44" s="7">
        <f>IF(ABS(Inversiones[[#This Row],[Saldo Valorizado]]-Inversiones[[#This Row],[Monto Invertido]]-G47+F47)&gt;500,"-",Inversiones[[#This Row],[Saldo Valorizado]]-Inversiones[[#This Row],[Monto Invertido]]-G47+F47)</f>
        <v>30.751815750001697</v>
      </c>
      <c r="K44" s="23">
        <f>IFERROR((Inversiones[[#This Row],[Valor Cuotaparte]]-VLOOKUP(Inversiones[[#This Row],[Nombre Inversión]],B45:I57,8,FALSE))/VLOOKUP(Inversiones[[#This Row],[Nombre Inversión]],B45:I57,8,FALSE),"-")</f>
        <v>1.5247360982086056E-3</v>
      </c>
    </row>
    <row r="45" spans="1:11" hidden="1" x14ac:dyDescent="0.35">
      <c r="A45" s="1">
        <v>43500</v>
      </c>
      <c r="B45" t="s">
        <v>78</v>
      </c>
      <c r="C45" t="s">
        <v>82</v>
      </c>
      <c r="D45" s="6">
        <v>0</v>
      </c>
      <c r="E45" s="13">
        <v>0</v>
      </c>
      <c r="F45" s="46">
        <f>IF(Inversiones[[#This Row],[Total Cuotapartes]]=0,0,_xlfn.IFNA(VLOOKUP(Inversiones[[#This Row],[Nombre Inversión]],B46:F54,5,FALSE),0)+Inversiones[[#This Row],[Monto]])</f>
        <v>28509.579742100017</v>
      </c>
      <c r="G45" s="6">
        <f>Inversiones[[#This Row],[Total Cuotapartes]]*Inversiones[[#This Row],[Valor Cuotaparte]]</f>
        <v>34101.4406322</v>
      </c>
      <c r="H45" s="25">
        <f>_xlfn.IFNA(VLOOKUP(Inversiones[[#This Row],[Nombre Inversión]],B46:H53,7,FALSE),0)+Inversiones[[#This Row],[Cant. Cuotapartes]]</f>
        <v>7975.49</v>
      </c>
      <c r="I45" s="88">
        <v>4.2757800000000001</v>
      </c>
      <c r="J45" s="7">
        <f>IF(ABS(Inversiones[[#This Row],[Saldo Valorizado]]-Inversiones[[#This Row],[Monto Invertido]]-G46+F46)&gt;500,"-",Inversiones[[#This Row],[Saldo Valorizado]]-Inversiones[[#This Row],[Monto Invertido]]-G46+F46)</f>
        <v>33.816077600000426</v>
      </c>
      <c r="K45" s="23">
        <f>IFERROR((Inversiones[[#This Row],[Valor Cuotaparte]]-VLOOKUP(Inversiones[[#This Row],[Nombre Inversión]],B46:I58,8,FALSE))/VLOOKUP(Inversiones[[#This Row],[Nombre Inversión]],B46:I58,8,FALSE),"-")</f>
        <v>9.9261624613142881E-4</v>
      </c>
    </row>
    <row r="46" spans="1:11" hidden="1" x14ac:dyDescent="0.35">
      <c r="A46" s="1">
        <v>43500</v>
      </c>
      <c r="B46" t="s">
        <v>78</v>
      </c>
      <c r="C46" t="s">
        <v>79</v>
      </c>
      <c r="D46" s="6">
        <f>Inversiones[[#This Row],[Cant. Cuotapartes]]*Inversiones[[#This Row],[Valor Cuotaparte]]</f>
        <v>-9000.0066337999815</v>
      </c>
      <c r="E46" s="25">
        <f>-(H48-7975.49)</f>
        <v>-2106.9699999999957</v>
      </c>
      <c r="F46" s="46">
        <f>IF(Inversiones[[#This Row],[Total Cuotapartes]]=0,0,_xlfn.IFNA(VLOOKUP(Inversiones[[#This Row],[Nombre Inversión]],B47:F55,5,FALSE),0)+Inversiones[[#This Row],[Monto]])</f>
        <v>28509.579742100017</v>
      </c>
      <c r="G46" s="6">
        <f>Inversiones[[#This Row],[Total Cuotapartes]]*Inversiones[[#This Row],[Valor Cuotaparte]]</f>
        <v>34067.624554599999</v>
      </c>
      <c r="H46" s="25">
        <f>_xlfn.IFNA(VLOOKUP(Inversiones[[#This Row],[Nombre Inversión]],B47:H54,7,FALSE),0)+Inversiones[[#This Row],[Cant. Cuotapartes]]</f>
        <v>7975.49</v>
      </c>
      <c r="I46" s="88">
        <v>4.2715399999999999</v>
      </c>
      <c r="J46" s="7" t="s">
        <v>80</v>
      </c>
      <c r="K46" s="23" t="s">
        <v>80</v>
      </c>
    </row>
    <row r="47" spans="1:11" x14ac:dyDescent="0.35">
      <c r="A47" s="1">
        <v>43500</v>
      </c>
      <c r="B47" t="s">
        <v>74</v>
      </c>
      <c r="C47" t="s">
        <v>82</v>
      </c>
      <c r="D47" s="6">
        <v>0</v>
      </c>
      <c r="E47" s="13">
        <v>0</v>
      </c>
      <c r="F47" s="46">
        <f>IF(Inversiones[[#This Row],[Total Cuotapartes]]=0,0,_xlfn.IFNA(VLOOKUP(Inversiones[[#This Row],[Nombre Inversión]],B48:F56,5,FALSE),0)+Inversiones[[#This Row],[Monto]])</f>
        <v>20000.011684500001</v>
      </c>
      <c r="G47" s="6">
        <f>Inversiones[[#This Row],[Total Cuotapartes]]*Inversiones[[#This Row],[Valor Cuotaparte]]</f>
        <v>20168.615267999998</v>
      </c>
      <c r="H47" s="25">
        <f>_xlfn.IFNA(VLOOKUP(Inversiones[[#This Row],[Nombre Inversión]],B48:H55,7,FALSE),0)+Inversiones[[#This Row],[Cant. Cuotapartes]]</f>
        <v>3864.75</v>
      </c>
      <c r="I47" s="88">
        <v>5.2186079999999997</v>
      </c>
      <c r="J47" s="7">
        <f>IF(ABS(Inversiones[[#This Row],[Saldo Valorizado]]-Inversiones[[#This Row],[Monto Invertido]]-G49+F49)&gt;500,"-",Inversiones[[#This Row],[Saldo Valorizado]]-Inversiones[[#This Row],[Monto Invertido]]-G49+F49)</f>
        <v>45.766369499997381</v>
      </c>
      <c r="K47" s="23">
        <f>IFERROR((Inversiones[[#This Row],[Valor Cuotaparte]]-VLOOKUP(Inversiones[[#This Row],[Nombre Inversión]],B48:I60,8,FALSE))/VLOOKUP(Inversiones[[#This Row],[Nombre Inversión]],B48:I60,8,FALSE),"-")</f>
        <v>2.2743484151198051E-3</v>
      </c>
    </row>
    <row r="48" spans="1:11" hidden="1" x14ac:dyDescent="0.35">
      <c r="A48" s="1">
        <v>43497</v>
      </c>
      <c r="B48" t="s">
        <v>78</v>
      </c>
      <c r="C48" t="s">
        <v>82</v>
      </c>
      <c r="D48" s="6">
        <v>0</v>
      </c>
      <c r="E48" s="13">
        <v>0</v>
      </c>
      <c r="F48" s="46">
        <f>IF(Inversiones[[#This Row],[Total Cuotapartes]]=0,0,_xlfn.IFNA(VLOOKUP(Inversiones[[#This Row],[Nombre Inversión]],B49:F57,5,FALSE),0)+Inversiones[[#This Row],[Monto]])</f>
        <v>37509.586375899999</v>
      </c>
      <c r="G48" s="6">
        <f>Inversiones[[#This Row],[Total Cuotapartes]]*Inversiones[[#This Row],[Valor Cuotaparte]]</f>
        <v>43067.631188399981</v>
      </c>
      <c r="H48" s="25">
        <f>_xlfn.IFNA(VLOOKUP(Inversiones[[#This Row],[Nombre Inversión]],B49:H56,7,FALSE),0)+Inversiones[[#This Row],[Cant. Cuotapartes]]</f>
        <v>10082.459999999995</v>
      </c>
      <c r="I48" s="88">
        <v>4.2715399999999999</v>
      </c>
      <c r="J48" s="7">
        <f>IF(ABS(Inversiones[[#This Row],[Saldo Valorizado]]-Inversiones[[#This Row],[Monto Invertido]]-G51+F51)&gt;500,"-",Inversiones[[#This Row],[Saldo Valorizado]]-Inversiones[[#This Row],[Monto Invertido]]-G51+F51)</f>
        <v>132.86665788000028</v>
      </c>
      <c r="K48" s="23">
        <f>IFERROR((Inversiones[[#This Row],[Valor Cuotaparte]]-VLOOKUP(Inversiones[[#This Row],[Nombre Inversión]],B49:I61,8,FALSE))/VLOOKUP(Inversiones[[#This Row],[Nombre Inversión]],B50:I62,8,FALSE),"-")</f>
        <v>3.0946171321273091E-3</v>
      </c>
    </row>
    <row r="49" spans="1:17" x14ac:dyDescent="0.35">
      <c r="A49" s="1">
        <v>43497</v>
      </c>
      <c r="B49" t="s">
        <v>74</v>
      </c>
      <c r="C49" t="s">
        <v>82</v>
      </c>
      <c r="D49" s="6">
        <v>0</v>
      </c>
      <c r="E49" s="13">
        <v>0</v>
      </c>
      <c r="F49" s="46">
        <f>IF(Inversiones[[#This Row],[Total Cuotapartes]]=0,0,_xlfn.IFNA(VLOOKUP(Inversiones[[#This Row],[Nombre Inversión]],B50:F58,5,FALSE),0)+Inversiones[[#This Row],[Monto]])</f>
        <v>20000.011684500001</v>
      </c>
      <c r="G49" s="6">
        <f>Inversiones[[#This Row],[Total Cuotapartes]]*Inversiones[[#This Row],[Valor Cuotaparte]]</f>
        <v>20122.8488985</v>
      </c>
      <c r="H49" s="25">
        <f>_xlfn.IFNA(VLOOKUP(Inversiones[[#This Row],[Nombre Inversión]],B50:H57,7,FALSE),0)+Inversiones[[#This Row],[Cant. Cuotapartes]]</f>
        <v>3864.75</v>
      </c>
      <c r="I49" s="88">
        <v>5.206766</v>
      </c>
      <c r="J49" s="7">
        <f>IF(ABS(Inversiones[[#This Row],[Saldo Valorizado]]-Inversiones[[#This Row],[Monto Invertido]]-G52+F52)&gt;500,"-",Inversiones[[#This Row],[Saldo Valorizado]]-Inversiones[[#This Row],[Monto Invertido]]-G52+F52)</f>
        <v>50.620495500003017</v>
      </c>
      <c r="K49" s="23">
        <f>IFERROR((Inversiones[[#This Row],[Valor Cuotaparte]]-VLOOKUP(Inversiones[[#This Row],[Nombre Inversión]],B50:I62,8,FALSE))/VLOOKUP(Inversiones[[#This Row],[Nombre Inversión]],B50:I62,8,FALSE),"-")</f>
        <v>2.5219170728664744E-3</v>
      </c>
    </row>
    <row r="50" spans="1:17" hidden="1" x14ac:dyDescent="0.35">
      <c r="A50" s="1">
        <v>43497</v>
      </c>
      <c r="B50" t="s">
        <v>78</v>
      </c>
      <c r="C50" t="s">
        <v>76</v>
      </c>
      <c r="D50" s="6">
        <f>Inversiones[[#This Row],[Cant. Cuotapartes]]*Inversiones[[#This Row],[Valor Cuotaparte]]</f>
        <v>25000.034213220002</v>
      </c>
      <c r="E50" s="25">
        <v>5870.81</v>
      </c>
      <c r="F50" s="46">
        <f>IF(Inversiones[[#This Row],[Total Cuotapartes]]=0,0,_xlfn.IFNA(VLOOKUP(Inversiones[[#This Row],[Nombre Inversión]],B51:F59,5,FALSE),0)+Inversiones[[#This Row],[Monto]])</f>
        <v>37509.586375899999</v>
      </c>
      <c r="G50" s="6">
        <f>Inversiones[[#This Row],[Total Cuotapartes]]*Inversiones[[#This Row],[Valor Cuotaparte]]</f>
        <v>42934.764530519984</v>
      </c>
      <c r="H50" s="25">
        <f>_xlfn.IFNA(VLOOKUP(Inversiones[[#This Row],[Nombre Inversión]],B51:H58,7,FALSE),0)+Inversiones[[#This Row],[Cant. Cuotapartes]]</f>
        <v>10082.459999999995</v>
      </c>
      <c r="I50" s="88">
        <v>4.258362</v>
      </c>
      <c r="J50" s="7" t="s">
        <v>80</v>
      </c>
      <c r="K50" s="23" t="s">
        <v>80</v>
      </c>
    </row>
    <row r="51" spans="1:17" hidden="1" x14ac:dyDescent="0.35">
      <c r="A51" s="1">
        <v>43496</v>
      </c>
      <c r="B51" t="s">
        <v>78</v>
      </c>
      <c r="C51" t="s">
        <v>82</v>
      </c>
      <c r="D51" s="6">
        <v>0</v>
      </c>
      <c r="E51" s="13">
        <v>0</v>
      </c>
      <c r="F51" s="46">
        <f>IF(Inversiones[[#This Row],[Total Cuotapartes]]=0,0,_xlfn.IFNA(VLOOKUP(Inversiones[[#This Row],[Nombre Inversión]],B52:F60,5,FALSE),0)+Inversiones[[#This Row],[Monto]])</f>
        <v>12509.552162679996</v>
      </c>
      <c r="G51" s="6">
        <f>Inversiones[[#This Row],[Total Cuotapartes]]*Inversiones[[#This Row],[Valor Cuotaparte]]</f>
        <v>17934.730317299978</v>
      </c>
      <c r="H51" s="25">
        <f>_xlfn.IFNA(VLOOKUP(Inversiones[[#This Row],[Nombre Inversión]],B52:H59,7,FALSE),0)+Inversiones[[#This Row],[Cant. Cuotapartes]]</f>
        <v>4211.6499999999951</v>
      </c>
      <c r="I51" s="88">
        <v>4.258362</v>
      </c>
      <c r="J51" s="7">
        <f>IF(ABS(Inversiones[[#This Row],[Saldo Valorizado]]-Inversiones[[#This Row],[Monto Invertido]]-G53+F53)&gt;500,"-",Inversiones[[#This Row],[Saldo Valorizado]]-Inversiones[[#This Row],[Monto Invertido]]-G53+F53)</f>
        <v>18.468085249998694</v>
      </c>
      <c r="K51" s="23">
        <f>IFERROR((Inversiones[[#This Row],[Valor Cuotaparte]]-VLOOKUP(Inversiones[[#This Row],[Nombre Inversión]],B52:I64,8,FALSE))/VLOOKUP(Inversiones[[#This Row],[Nombre Inversión]],B53:I65,8,FALSE),"-")</f>
        <v>1.0308001195117142E-3</v>
      </c>
    </row>
    <row r="52" spans="1:17" hidden="1" x14ac:dyDescent="0.35">
      <c r="A52" s="1">
        <v>43496</v>
      </c>
      <c r="B52" t="s">
        <v>74</v>
      </c>
      <c r="C52" t="s">
        <v>82</v>
      </c>
      <c r="D52" s="6">
        <v>0</v>
      </c>
      <c r="E52" s="13">
        <v>0</v>
      </c>
      <c r="F52" s="46">
        <f>IF(Inversiones[[#This Row],[Total Cuotapartes]]=0,0,_xlfn.IFNA(VLOOKUP(Inversiones[[#This Row],[Nombre Inversión]],B53:F61,5,FALSE),0)+Inversiones[[#This Row],[Monto]])</f>
        <v>20000.011684500001</v>
      </c>
      <c r="G52" s="6">
        <f>Inversiones[[#This Row],[Total Cuotapartes]]*Inversiones[[#This Row],[Valor Cuotaparte]]</f>
        <v>20072.228402999997</v>
      </c>
      <c r="H52" s="25">
        <f>_xlfn.IFNA(VLOOKUP(Inversiones[[#This Row],[Nombre Inversión]],B53:H60,7,FALSE),0)+Inversiones[[#This Row],[Cant. Cuotapartes]]</f>
        <v>3864.75</v>
      </c>
      <c r="I52" s="88">
        <v>5.1936679999999997</v>
      </c>
      <c r="J52" s="7">
        <f>IF(ABS(Inversiones[[#This Row],[Saldo Valorizado]]-Inversiones[[#This Row],[Monto Invertido]]-G54+F54)&gt;500,"-",Inversiones[[#This Row],[Saldo Valorizado]]-Inversiones[[#This Row],[Monto Invertido]]-G54+F54)</f>
        <v>22.678352999995695</v>
      </c>
      <c r="K52" s="23">
        <f>IFERROR((Inversiones[[#This Row],[Valor Cuotaparte]]-VLOOKUP(Inversiones[[#This Row],[Nombre Inversión]],B53:I65,8,FALSE))/VLOOKUP(Inversiones[[#This Row],[Nombre Inversión]],B53:I65,8,FALSE),"-")</f>
        <v>1.1311153089940899E-3</v>
      </c>
    </row>
    <row r="53" spans="1:17" hidden="1" x14ac:dyDescent="0.35">
      <c r="A53" s="1">
        <v>43495</v>
      </c>
      <c r="B53" t="s">
        <v>78</v>
      </c>
      <c r="C53" t="s">
        <v>82</v>
      </c>
      <c r="D53" s="6">
        <v>0</v>
      </c>
      <c r="E53" s="13">
        <v>0</v>
      </c>
      <c r="F53" s="46">
        <f>IF(Inversiones[[#This Row],[Total Cuotapartes]]=0,0,_xlfn.IFNA(VLOOKUP(Inversiones[[#This Row],[Nombre Inversión]],B54:F62,5,FALSE),0)+Inversiones[[#This Row],[Monto]])</f>
        <v>12509.552162679996</v>
      </c>
      <c r="G53" s="6">
        <f>Inversiones[[#This Row],[Total Cuotapartes]]*Inversiones[[#This Row],[Valor Cuotaparte]]</f>
        <v>17916.26223204998</v>
      </c>
      <c r="H53" s="25">
        <f>_xlfn.IFNA(VLOOKUP(Inversiones[[#This Row],[Nombre Inversión]],B54:H61,7,FALSE),0)+Inversiones[[#This Row],[Cant. Cuotapartes]]</f>
        <v>4211.6499999999951</v>
      </c>
      <c r="I53" s="88">
        <v>4.2539769999999999</v>
      </c>
      <c r="J53" s="7">
        <f>IF(ABS(Inversiones[[#This Row],[Saldo Valorizado]]-Inversiones[[#This Row],[Monto Invertido]]-G55+F55)&gt;500,"-",Inversiones[[#This Row],[Saldo Valorizado]]-Inversiones[[#This Row],[Monto Invertido]]-G55+F55)</f>
        <v>18.556529899997258</v>
      </c>
      <c r="K53" s="23">
        <f>IFERROR((Inversiones[[#This Row],[Valor Cuotaparte]]-VLOOKUP(Inversiones[[#This Row],[Nombre Inversión]],B54:I66,8,FALSE))/VLOOKUP(Inversiones[[#This Row],[Nombre Inversión]],B55:I67,8,FALSE),"-")</f>
        <v>1.0368105392284223E-3</v>
      </c>
    </row>
    <row r="54" spans="1:17" hidden="1" x14ac:dyDescent="0.35">
      <c r="A54" s="1">
        <v>43495</v>
      </c>
      <c r="B54" t="s">
        <v>74</v>
      </c>
      <c r="C54" t="s">
        <v>82</v>
      </c>
      <c r="D54" s="6">
        <v>0</v>
      </c>
      <c r="E54" s="13">
        <v>0</v>
      </c>
      <c r="F54" s="46">
        <f>IF(Inversiones[[#This Row],[Total Cuotapartes]]=0,0,_xlfn.IFNA(VLOOKUP(Inversiones[[#This Row],[Nombre Inversión]],B55:F63,5,FALSE),0)+Inversiones[[#This Row],[Monto]])</f>
        <v>20000.011684500001</v>
      </c>
      <c r="G54" s="6">
        <f>Inversiones[[#This Row],[Total Cuotapartes]]*Inversiones[[#This Row],[Valor Cuotaparte]]</f>
        <v>20049.550050000002</v>
      </c>
      <c r="H54" s="25">
        <f>_xlfn.IFNA(VLOOKUP(Inversiones[[#This Row],[Nombre Inversión]],B55:H62,7,FALSE),0)+Inversiones[[#This Row],[Cant. Cuotapartes]]</f>
        <v>3864.75</v>
      </c>
      <c r="I54" s="88">
        <v>5.1878000000000002</v>
      </c>
      <c r="J54" s="7">
        <f>IF(ABS(Inversiones[[#This Row],[Saldo Valorizado]]-Inversiones[[#This Row],[Monto Invertido]]-G56+F56)&gt;500,"-",Inversiones[[#This Row],[Saldo Valorizado]]-Inversiones[[#This Row],[Monto Invertido]]-G56+F56)</f>
        <v>19.984622250001848</v>
      </c>
      <c r="K54" s="23">
        <f>IFERROR((Inversiones[[#This Row],[Valor Cuotaparte]]-VLOOKUP(Inversiones[[#This Row],[Nombre Inversión]],B55:I67,8,FALSE))/VLOOKUP(Inversiones[[#This Row],[Nombre Inversión]],B55:I67,8,FALSE),"-")</f>
        <v>9.9775615811971375E-4</v>
      </c>
    </row>
    <row r="55" spans="1:17" hidden="1" x14ac:dyDescent="0.35">
      <c r="A55" s="1">
        <v>43494</v>
      </c>
      <c r="B55" t="s">
        <v>78</v>
      </c>
      <c r="C55" t="s">
        <v>82</v>
      </c>
      <c r="D55" s="6">
        <v>0</v>
      </c>
      <c r="E55" s="13">
        <v>0</v>
      </c>
      <c r="F55" s="46">
        <f>IF(Inversiones[[#This Row],[Total Cuotapartes]]=0,0,_xlfn.IFNA(VLOOKUP(Inversiones[[#This Row],[Nombre Inversión]],B56:F64,5,FALSE),0)+Inversiones[[#This Row],[Monto]])</f>
        <v>12509.552162679996</v>
      </c>
      <c r="G55" s="6">
        <f>Inversiones[[#This Row],[Total Cuotapartes]]*Inversiones[[#This Row],[Valor Cuotaparte]]</f>
        <v>17897.705702149982</v>
      </c>
      <c r="H55" s="25">
        <f>_xlfn.IFNA(VLOOKUP(Inversiones[[#This Row],[Nombre Inversión]],B56:H63,7,FALSE),0)+Inversiones[[#This Row],[Cant. Cuotapartes]]</f>
        <v>4211.6499999999951</v>
      </c>
      <c r="I55" s="88">
        <v>4.2495710000000004</v>
      </c>
      <c r="J55" s="7">
        <f>IF(ABS(Inversiones[[#This Row],[Saldo Valorizado]]-Inversiones[[#This Row],[Monto Invertido]]-G58+F58)&gt;500,"-",Inversiones[[#This Row],[Saldo Valorizado]]-Inversiones[[#This Row],[Monto Invertido]]-G58+F58)</f>
        <v>18.699726000002556</v>
      </c>
      <c r="K55" s="23">
        <f>IFERROR((Inversiones[[#This Row],[Valor Cuotaparte]]-VLOOKUP(Inversiones[[#This Row],[Nombre Inversión]],B56:I68,8,FALSE))/VLOOKUP(Inversiones[[#This Row],[Nombre Inversión]],B57:I69,8,FALSE),"-")</f>
        <v>1.0459041193312212E-3</v>
      </c>
    </row>
    <row r="56" spans="1:17" hidden="1" x14ac:dyDescent="0.35">
      <c r="A56" s="1">
        <v>43494</v>
      </c>
      <c r="B56" t="s">
        <v>74</v>
      </c>
      <c r="C56" t="s">
        <v>82</v>
      </c>
      <c r="D56" s="6">
        <v>0</v>
      </c>
      <c r="E56" s="13">
        <v>0</v>
      </c>
      <c r="F56" s="46">
        <f>IF(Inversiones[[#This Row],[Total Cuotapartes]]=0,0,_xlfn.IFNA(VLOOKUP(Inversiones[[#This Row],[Nombre Inversión]],B57:F65,5,FALSE),0)+Inversiones[[#This Row],[Monto]])</f>
        <v>20000.011684500001</v>
      </c>
      <c r="G56" s="6">
        <f>Inversiones[[#This Row],[Total Cuotapartes]]*Inversiones[[#This Row],[Valor Cuotaparte]]</f>
        <v>20029.56542775</v>
      </c>
      <c r="H56" s="25">
        <f>_xlfn.IFNA(VLOOKUP(Inversiones[[#This Row],[Nombre Inversión]],B57:H64,7,FALSE),0)+Inversiones[[#This Row],[Cant. Cuotapartes]]</f>
        <v>3864.75</v>
      </c>
      <c r="I56" s="88">
        <v>5.1826290000000004</v>
      </c>
      <c r="J56" s="7">
        <f>IF(ABS(Inversiones[[#This Row],[Saldo Valorizado]]-Inversiones[[#This Row],[Monto Invertido]]-G57+F57)&gt;500,"-",Inversiones[[#This Row],[Saldo Valorizado]]-Inversiones[[#This Row],[Monto Invertido]]-G57+F57)</f>
        <v>29.553743249998661</v>
      </c>
      <c r="K56" s="23">
        <f>IFERROR((Inversiones[[#This Row],[Valor Cuotaparte]]-VLOOKUP(Inversiones[[#This Row],[Nombre Inversión]],B57:I69,8,FALSE))/VLOOKUP(Inversiones[[#This Row],[Nombre Inversión]],B57:I69,8,FALSE),"-")</f>
        <v>1.4776862991987998E-3</v>
      </c>
    </row>
    <row r="57" spans="1:17" hidden="1" x14ac:dyDescent="0.35">
      <c r="A57" s="1">
        <v>43494</v>
      </c>
      <c r="B57" t="s">
        <v>74</v>
      </c>
      <c r="C57" t="s">
        <v>76</v>
      </c>
      <c r="D57" s="6">
        <f>Inversiones[[#This Row],[Cant. Cuotapartes]]*Inversiones[[#This Row],[Valor Cuotaparte]]</f>
        <v>20000.011684500001</v>
      </c>
      <c r="E57" s="25">
        <v>3864.75</v>
      </c>
      <c r="F57" s="46">
        <f>IF(Inversiones[[#This Row],[Total Cuotapartes]]=0,0,_xlfn.IFNA(VLOOKUP(Inversiones[[#This Row],[Nombre Inversión]],B58:F66,5,FALSE),0)+Inversiones[[#This Row],[Monto]])</f>
        <v>20000.011684500001</v>
      </c>
      <c r="G57" s="6">
        <f>Inversiones[[#This Row],[Total Cuotapartes]]*Inversiones[[#This Row],[Valor Cuotaparte]]</f>
        <v>20000.011684500001</v>
      </c>
      <c r="H57" s="25">
        <f>_xlfn.IFNA(VLOOKUP(Inversiones[[#This Row],[Nombre Inversión]],B58:H65,7,FALSE),0)+Inversiones[[#This Row],[Cant. Cuotapartes]]</f>
        <v>3864.75</v>
      </c>
      <c r="I57" s="88">
        <v>5.174982</v>
      </c>
      <c r="J57" s="7" t="s">
        <v>80</v>
      </c>
      <c r="K57" s="23" t="s">
        <v>80</v>
      </c>
      <c r="P57" s="7">
        <f>SUM(G55:G56)</f>
        <v>37927.271129899978</v>
      </c>
    </row>
    <row r="58" spans="1:17" hidden="1" x14ac:dyDescent="0.35">
      <c r="A58" s="1">
        <v>43493</v>
      </c>
      <c r="B58" t="s">
        <v>78</v>
      </c>
      <c r="C58" t="s">
        <v>82</v>
      </c>
      <c r="D58" s="6">
        <v>0</v>
      </c>
      <c r="E58" s="13">
        <v>0</v>
      </c>
      <c r="F58" s="46">
        <f>IF(Inversiones[[#This Row],[Total Cuotapartes]]=0,0,_xlfn.IFNA(VLOOKUP(Inversiones[[#This Row],[Nombre Inversión]],B59:F67,5,FALSE),0)+Inversiones[[#This Row],[Monto]])</f>
        <v>12509.552162679996</v>
      </c>
      <c r="G58" s="6">
        <f>Inversiones[[#This Row],[Total Cuotapartes]]*Inversiones[[#This Row],[Valor Cuotaparte]]</f>
        <v>17879.00597614998</v>
      </c>
      <c r="H58" s="25">
        <f>_xlfn.IFNA(VLOOKUP(Inversiones[[#This Row],[Nombre Inversión]],B59:H66,7,FALSE),0)+Inversiones[[#This Row],[Cant. Cuotapartes]]</f>
        <v>4211.6499999999951</v>
      </c>
      <c r="I58" s="14">
        <v>4.2451309999999998</v>
      </c>
      <c r="J58" s="7">
        <f>IF(ABS(Inversiones[[#This Row],[Saldo Valorizado]]-Inversiones[[#This Row],[Monto Invertido]]-G59+F59)&gt;500,"-",Inversiones[[#This Row],[Saldo Valorizado]]-Inversiones[[#This Row],[Monto Invertido]]-G59+F59)</f>
        <v>18.708149300000514</v>
      </c>
      <c r="K58" s="23">
        <f>IFERROR((Inversiones[[#This Row],[Valor Cuotaparte]]-VLOOKUP(Inversiones[[#This Row],[Nombre Inversión]],B59:I71,8,FALSE))/VLOOKUP(Inversiones[[#This Row],[Nombre Inversión]],B60:I72,8,FALSE),"-")</f>
        <v>1.0474712953484817E-3</v>
      </c>
      <c r="P58" s="7">
        <f>SUM(G57:G58)</f>
        <v>37879.017660649981</v>
      </c>
    </row>
    <row r="59" spans="1:17" hidden="1" x14ac:dyDescent="0.35">
      <c r="A59" s="1">
        <v>43493</v>
      </c>
      <c r="B59" t="s">
        <v>78</v>
      </c>
      <c r="C59" t="s">
        <v>79</v>
      </c>
      <c r="D59" s="6">
        <f>Inversiones[[#This Row],[Cant. Cuotapartes]]*Inversiones[[#This Row],[Valor Cuotaparte]]</f>
        <v>-20000.022275579999</v>
      </c>
      <c r="E59" s="13">
        <v>-4716.22</v>
      </c>
      <c r="F59" s="46">
        <f>IF(Inversiones[[#This Row],[Total Cuotapartes]]=0,0,_xlfn.IFNA(VLOOKUP(Inversiones[[#This Row],[Nombre Inversión]],B60:F68,5,FALSE),0)+Inversiones[[#This Row],[Monto]])</f>
        <v>12509.552162679996</v>
      </c>
      <c r="G59" s="6">
        <f>Inversiones[[#This Row],[Total Cuotapartes]]*Inversiones[[#This Row],[Valor Cuotaparte]]</f>
        <v>17860.297826849979</v>
      </c>
      <c r="H59" s="25">
        <f>_xlfn.IFNA(VLOOKUP(Inversiones[[#This Row],[Nombre Inversión]],B60:H67,7,FALSE),0)+Inversiones[[#This Row],[Cant. Cuotapartes]]</f>
        <v>4211.6499999999951</v>
      </c>
      <c r="I59" s="14">
        <v>4.2406889999999997</v>
      </c>
      <c r="J59" s="7" t="s">
        <v>80</v>
      </c>
      <c r="K59" s="23" t="s">
        <v>80</v>
      </c>
      <c r="P59" s="7">
        <f>P57-P58</f>
        <v>48.253469249997579</v>
      </c>
      <c r="Q59">
        <f>P59/P58</f>
        <v>1.273883860513229E-3</v>
      </c>
    </row>
    <row r="60" spans="1:17" hidden="1" x14ac:dyDescent="0.35">
      <c r="A60" s="87">
        <v>43490</v>
      </c>
      <c r="B60" t="s">
        <v>78</v>
      </c>
      <c r="C60" t="s">
        <v>82</v>
      </c>
      <c r="D60" s="6">
        <v>0</v>
      </c>
      <c r="E60" s="13">
        <v>0</v>
      </c>
      <c r="F60" s="46">
        <f>IF(Inversiones[[#This Row],[Total Cuotapartes]]=0,0,_xlfn.IFNA(VLOOKUP(Inversiones[[#This Row],[Nombre Inversión]],B61:F69,5,FALSE),0)+Inversiones[[#This Row],[Monto]])</f>
        <v>32509.574438259995</v>
      </c>
      <c r="G60" s="6">
        <f>Inversiones[[#This Row],[Total Cuotapartes]]*Inversiones[[#This Row],[Valor Cuotaparte]]</f>
        <v>37860.320102429978</v>
      </c>
      <c r="H60" s="25">
        <f>_xlfn.IFNA(VLOOKUP(Inversiones[[#This Row],[Nombre Inversión]],B61:H68,7,FALSE),0)+Inversiones[[#This Row],[Cant. Cuotapartes]]</f>
        <v>8927.8699999999953</v>
      </c>
      <c r="I60" s="14">
        <v>4.2406889999999997</v>
      </c>
      <c r="J60" s="7">
        <f>IF(ABS(Inversiones[[#This Row],[Saldo Valorizado]]-Inversiones[[#This Row],[Monto Invertido]]-G61+F61)&gt;500,"-",Inversiones[[#This Row],[Saldo Valorizado]]-Inversiones[[#This Row],[Monto Invertido]]-G61+F61)</f>
        <v>120.3298318599991</v>
      </c>
      <c r="K60" s="23">
        <f>IFERROR((Inversiones[[#This Row],[Valor Cuotaparte]]-VLOOKUP(Inversiones[[#This Row],[Nombre Inversión]],B61:I73,8,FALSE))/VLOOKUP(Inversiones[[#This Row],[Nombre Inversión]],B62:I74,8,FALSE),"-")</f>
        <v>3.1917982294732182E-3</v>
      </c>
    </row>
    <row r="61" spans="1:17" hidden="1" x14ac:dyDescent="0.35">
      <c r="A61" s="87">
        <v>43489</v>
      </c>
      <c r="B61" t="s">
        <v>78</v>
      </c>
      <c r="C61" t="s">
        <v>82</v>
      </c>
      <c r="D61" s="6">
        <v>0</v>
      </c>
      <c r="E61" s="13">
        <v>0</v>
      </c>
      <c r="F61" s="46">
        <f>IF(Inversiones[[#This Row],[Total Cuotapartes]]=0,0,_xlfn.IFNA(VLOOKUP(Inversiones[[#This Row],[Nombre Inversión]],B62:F70,5,FALSE),0)+Inversiones[[#This Row],[Monto]])</f>
        <v>32509.574438259995</v>
      </c>
      <c r="G61" s="6">
        <f>Inversiones[[#This Row],[Total Cuotapartes]]*Inversiones[[#This Row],[Valor Cuotaparte]]</f>
        <v>37739.990270569979</v>
      </c>
      <c r="H61" s="25">
        <f>_xlfn.IFNA(VLOOKUP(Inversiones[[#This Row],[Nombre Inversión]],B62:H69,7,FALSE),0)+Inversiones[[#This Row],[Cant. Cuotapartes]]</f>
        <v>8927.8699999999953</v>
      </c>
      <c r="I61" s="88">
        <v>4.2272109999999996</v>
      </c>
      <c r="J61" s="7">
        <f>IF(ABS(Inversiones[[#This Row],[Saldo Valorizado]]-Inversiones[[#This Row],[Monto Invertido]]-G62+F62)&gt;500,"-",Inversiones[[#This Row],[Saldo Valorizado]]-Inversiones[[#This Row],[Monto Invertido]]-G62+F62)</f>
        <v>40.291477309998299</v>
      </c>
      <c r="K61" s="23">
        <f>IFERROR((Inversiones[[#This Row],[Valor Cuotaparte]]-VLOOKUP(Inversiones[[#This Row],[Nombre Inversión]],B62:I74,8,FALSE))/VLOOKUP(Inversiones[[#This Row],[Nombre Inversión]],B63:I75,8,FALSE),"-")</f>
        <v>1.0698873761585386E-3</v>
      </c>
    </row>
    <row r="62" spans="1:17" hidden="1" x14ac:dyDescent="0.35">
      <c r="A62" s="87">
        <v>43488</v>
      </c>
      <c r="B62" t="s">
        <v>78</v>
      </c>
      <c r="C62" t="s">
        <v>82</v>
      </c>
      <c r="D62" s="6">
        <v>0</v>
      </c>
      <c r="E62" s="13">
        <v>0</v>
      </c>
      <c r="F62" s="46">
        <f>IF(Inversiones[[#This Row],[Total Cuotapartes]]=0,0,_xlfn.IFNA(VLOOKUP(Inversiones[[#This Row],[Nombre Inversión]],B63:F71,5,FALSE),0)+Inversiones[[#This Row],[Monto]])</f>
        <v>32509.574438259995</v>
      </c>
      <c r="G62" s="6">
        <f>Inversiones[[#This Row],[Total Cuotapartes]]*Inversiones[[#This Row],[Valor Cuotaparte]]</f>
        <v>37699.69879325998</v>
      </c>
      <c r="H62" s="25">
        <f>_xlfn.IFNA(VLOOKUP(Inversiones[[#This Row],[Nombre Inversión]],B63:H70,7,FALSE),0)+Inversiones[[#This Row],[Cant. Cuotapartes]]</f>
        <v>8927.8699999999953</v>
      </c>
      <c r="I62" s="88">
        <v>4.2226980000000003</v>
      </c>
      <c r="J62" s="7">
        <f>IF(ABS(Inversiones[[#This Row],[Saldo Valorizado]]-Inversiones[[#This Row],[Monto Invertido]]-G63+F63)&gt;500,"-",Inversiones[[#This Row],[Saldo Valorizado]]-Inversiones[[#This Row],[Monto Invertido]]-G63+F63)</f>
        <v>40.148631390002265</v>
      </c>
      <c r="K62" s="23">
        <f>IFERROR((Inversiones[[#This Row],[Valor Cuotaparte]]-VLOOKUP(Inversiones[[#This Row],[Nombre Inversión]],B63:I75,8,FALSE))/VLOOKUP(Inversiones[[#This Row],[Nombre Inversión]],B64:I76,8,FALSE),"-")</f>
        <v>1.0672302870321764E-3</v>
      </c>
    </row>
    <row r="63" spans="1:17" hidden="1" x14ac:dyDescent="0.35">
      <c r="A63" s="87">
        <v>43487</v>
      </c>
      <c r="B63" t="s">
        <v>78</v>
      </c>
      <c r="C63" t="s">
        <v>82</v>
      </c>
      <c r="D63" s="6">
        <v>0</v>
      </c>
      <c r="E63" s="13">
        <v>0</v>
      </c>
      <c r="F63" s="46">
        <f>IF(Inversiones[[#This Row],[Total Cuotapartes]]=0,0,_xlfn.IFNA(VLOOKUP(Inversiones[[#This Row],[Nombre Inversión]],B64:F72,5,FALSE),0)+Inversiones[[#This Row],[Monto]])</f>
        <v>32509.574438259995</v>
      </c>
      <c r="G63" s="6">
        <f>Inversiones[[#This Row],[Total Cuotapartes]]*Inversiones[[#This Row],[Valor Cuotaparte]]</f>
        <v>37659.550161869978</v>
      </c>
      <c r="H63" s="25">
        <f>_xlfn.IFNA(VLOOKUP(Inversiones[[#This Row],[Nombre Inversión]],B64:H71,7,FALSE),0)+Inversiones[[#This Row],[Cant. Cuotapartes]]</f>
        <v>8927.8699999999953</v>
      </c>
      <c r="I63" s="88">
        <v>4.2182009999999996</v>
      </c>
      <c r="J63" s="7">
        <f>IF(ABS(Inversiones[[#This Row],[Saldo Valorizado]]-Inversiones[[#This Row],[Monto Invertido]]-G64+F64)&gt;500,"-",Inversiones[[#This Row],[Saldo Valorizado]]-Inversiones[[#This Row],[Monto Invertido]]-G64+F64)</f>
        <v>40.086136300000362</v>
      </c>
      <c r="K63" s="23">
        <f>IFERROR((Inversiones[[#This Row],[Valor Cuotaparte]]-VLOOKUP(Inversiones[[#This Row],[Nombre Inversión]],B64:I76,8,FALSE))/VLOOKUP(Inversiones[[#This Row],[Nombre Inversión]],B65:I77,8,FALSE),"-")</f>
        <v>1.0667031578926558E-3</v>
      </c>
    </row>
    <row r="64" spans="1:17" hidden="1" x14ac:dyDescent="0.35">
      <c r="A64" s="87">
        <v>43486</v>
      </c>
      <c r="B64" t="s">
        <v>78</v>
      </c>
      <c r="C64" t="s">
        <v>82</v>
      </c>
      <c r="D64" s="6">
        <v>0</v>
      </c>
      <c r="E64" s="13">
        <v>0</v>
      </c>
      <c r="F64" s="46">
        <f>IF(Inversiones[[#This Row],[Total Cuotapartes]]=0,0,_xlfn.IFNA(VLOOKUP(Inversiones[[#This Row],[Nombre Inversión]],B65:F73,5,FALSE),0)+Inversiones[[#This Row],[Monto]])</f>
        <v>32509.574438259995</v>
      </c>
      <c r="G64" s="6">
        <f>Inversiones[[#This Row],[Total Cuotapartes]]*Inversiones[[#This Row],[Valor Cuotaparte]]</f>
        <v>37619.464025569978</v>
      </c>
      <c r="H64" s="25">
        <f>_xlfn.IFNA(VLOOKUP(Inversiones[[#This Row],[Nombre Inversión]],B65:H72,7,FALSE),0)+Inversiones[[#This Row],[Cant. Cuotapartes]]</f>
        <v>8927.8699999999953</v>
      </c>
      <c r="I64" s="88">
        <v>4.213711</v>
      </c>
      <c r="J64" s="7">
        <f>IF(ABS(Inversiones[[#This Row],[Saldo Valorizado]]-Inversiones[[#This Row],[Monto Invertido]]-G65+F65)&gt;500,"-",Inversiones[[#This Row],[Saldo Valorizado]]-Inversiones[[#This Row],[Monto Invertido]]-G65+F65)</f>
        <v>39.996857599995565</v>
      </c>
      <c r="K64" s="23">
        <f>IFERROR((Inversiones[[#This Row],[Valor Cuotaparte]]-VLOOKUP(Inversiones[[#This Row],[Nombre Inversión]],B65:I77,8,FALSE))/VLOOKUP(Inversiones[[#This Row],[Nombre Inversión]],B66:I78,8,FALSE),"-")</f>
        <v>1.0678265296734308E-3</v>
      </c>
    </row>
    <row r="65" spans="1:11" hidden="1" x14ac:dyDescent="0.35">
      <c r="A65" s="87">
        <v>43483</v>
      </c>
      <c r="B65" t="s">
        <v>78</v>
      </c>
      <c r="C65" t="s">
        <v>82</v>
      </c>
      <c r="D65" s="6">
        <v>0</v>
      </c>
      <c r="E65" s="13">
        <v>0</v>
      </c>
      <c r="F65" s="46">
        <f>IF(Inversiones[[#This Row],[Total Cuotapartes]]=0,0,_xlfn.IFNA(VLOOKUP(Inversiones[[#This Row],[Nombre Inversión]],B66:F74,5,FALSE),0)+Inversiones[[#This Row],[Monto]])</f>
        <v>32509.574438259995</v>
      </c>
      <c r="G65" s="6">
        <f>Inversiones[[#This Row],[Total Cuotapartes]]*Inversiones[[#This Row],[Valor Cuotaparte]]</f>
        <v>37579.467167969982</v>
      </c>
      <c r="H65" s="25">
        <f>_xlfn.IFNA(VLOOKUP(Inversiones[[#This Row],[Nombre Inversión]],B66:H73,7,FALSE),0)+Inversiones[[#This Row],[Cant. Cuotapartes]]</f>
        <v>8927.8699999999953</v>
      </c>
      <c r="I65" s="88">
        <v>4.2092309999999999</v>
      </c>
      <c r="J65" s="7">
        <f>IF(ABS(Inversiones[[#This Row],[Saldo Valorizado]]-Inversiones[[#This Row],[Monto Invertido]]-G66+F66)&gt;500,"-",Inversiones[[#This Row],[Saldo Valorizado]]-Inversiones[[#This Row],[Monto Invertido]]-G66+F66)</f>
        <v>123.14211090999743</v>
      </c>
      <c r="K65" s="23">
        <f>IFERROR((Inversiones[[#This Row],[Valor Cuotaparte]]-VLOOKUP(Inversiones[[#This Row],[Nombre Inversión]],B66:I78,8,FALSE))/VLOOKUP(Inversiones[[#This Row],[Nombre Inversión]],B67:I79,8,FALSE),"-")</f>
        <v>3.2876185990591976E-3</v>
      </c>
    </row>
    <row r="66" spans="1:11" hidden="1" x14ac:dyDescent="0.35">
      <c r="A66" s="87">
        <v>43483</v>
      </c>
      <c r="B66" t="s">
        <v>78</v>
      </c>
      <c r="C66" t="s">
        <v>79</v>
      </c>
      <c r="D66" s="6">
        <f>Inversiones[[#This Row],[Cant. Cuotapartes]]*Inversiones[[#This Row],[Valor Cuotaparte]]</f>
        <v>-1000.0246016800002</v>
      </c>
      <c r="E66" s="13">
        <v>-238.36</v>
      </c>
      <c r="F66" s="46">
        <f>IF(Inversiones[[#This Row],[Total Cuotapartes]]=0,0,_xlfn.IFNA(VLOOKUP(Inversiones[[#This Row],[Nombre Inversión]],B67:F75,5,FALSE),0)+Inversiones[[#This Row],[Monto]])</f>
        <v>32509.574438259995</v>
      </c>
      <c r="G66" s="6">
        <f>Inversiones[[#This Row],[Total Cuotapartes]]*Inversiones[[#This Row],[Valor Cuotaparte]]</f>
        <v>37456.325057059985</v>
      </c>
      <c r="H66" s="25">
        <f>_xlfn.IFNA(VLOOKUP(Inversiones[[#This Row],[Nombre Inversión]],B67:H74,7,FALSE),0)+Inversiones[[#This Row],[Cant. Cuotapartes]]</f>
        <v>8927.8699999999953</v>
      </c>
      <c r="I66" s="88">
        <v>4.1954380000000002</v>
      </c>
      <c r="J66" s="7">
        <f>IF(ABS(Inversiones[[#This Row],[Saldo Valorizado]]-Inversiones[[#This Row],[Monto Invertido]]-G67+F67)&gt;500,"-",Inversiones[[#This Row],[Saldo Valorizado]]-Inversiones[[#This Row],[Monto Invertido]]-G67+F67)</f>
        <v>0</v>
      </c>
      <c r="K66" s="23" t="s">
        <v>80</v>
      </c>
    </row>
    <row r="67" spans="1:11" hidden="1" x14ac:dyDescent="0.35">
      <c r="A67" s="87">
        <v>43482</v>
      </c>
      <c r="B67" t="s">
        <v>78</v>
      </c>
      <c r="C67" t="s">
        <v>82</v>
      </c>
      <c r="D67" s="6">
        <v>0</v>
      </c>
      <c r="E67" s="13">
        <v>0</v>
      </c>
      <c r="F67" s="46">
        <f>IF(Inversiones[[#This Row],[Total Cuotapartes]]=0,0,_xlfn.IFNA(VLOOKUP(Inversiones[[#This Row],[Nombre Inversión]],B68:F76,5,FALSE),0)+Inversiones[[#This Row],[Monto]])</f>
        <v>33509.599039939996</v>
      </c>
      <c r="G67" s="6">
        <f>Inversiones[[#This Row],[Total Cuotapartes]]*Inversiones[[#This Row],[Valor Cuotaparte]]</f>
        <v>38456.349658739986</v>
      </c>
      <c r="H67" s="25">
        <f>_xlfn.IFNA(VLOOKUP(Inversiones[[#This Row],[Nombre Inversión]],B68:H75,7,FALSE),0)+Inversiones[[#This Row],[Cant. Cuotapartes]]</f>
        <v>9166.2299999999959</v>
      </c>
      <c r="I67" s="88">
        <v>4.1954380000000002</v>
      </c>
      <c r="J67" s="7">
        <f>IF(ABS(Inversiones[[#This Row],[Saldo Valorizado]]-Inversiones[[#This Row],[Monto Invertido]]-G68+F68)&gt;500,"-",Inversiones[[#This Row],[Saldo Valorizado]]-Inversiones[[#This Row],[Monto Invertido]]-G68+F68)</f>
        <v>41.348863530001836</v>
      </c>
      <c r="K67" s="23">
        <f>IFERROR((Inversiones[[#This Row],[Valor Cuotaparte]]-VLOOKUP(Inversiones[[#This Row],[Nombre Inversión]],B68:I80,8,FALSE))/VLOOKUP(Inversiones[[#This Row],[Nombre Inversión]],B69:I81,8,FALSE),"-")</f>
        <v>1.0775277772137706E-3</v>
      </c>
    </row>
    <row r="68" spans="1:11" hidden="1" x14ac:dyDescent="0.35">
      <c r="A68" s="87">
        <v>43481</v>
      </c>
      <c r="B68" t="s">
        <v>78</v>
      </c>
      <c r="C68" t="s">
        <v>82</v>
      </c>
      <c r="D68" s="6">
        <v>0</v>
      </c>
      <c r="E68" s="13">
        <v>0</v>
      </c>
      <c r="F68" s="46">
        <f>IF(Inversiones[[#This Row],[Total Cuotapartes]]=0,0,_xlfn.IFNA(VLOOKUP(Inversiones[[#This Row],[Nombre Inversión]],B69:F77,5,FALSE),0)+Inversiones[[#This Row],[Monto]])</f>
        <v>33509.599039939996</v>
      </c>
      <c r="G68" s="6">
        <f>Inversiones[[#This Row],[Total Cuotapartes]]*Inversiones[[#This Row],[Valor Cuotaparte]]</f>
        <v>38415.000795209984</v>
      </c>
      <c r="H68" s="25">
        <f>_xlfn.IFNA(VLOOKUP(Inversiones[[#This Row],[Nombre Inversión]],B69:H76,7,FALSE),0)+Inversiones[[#This Row],[Cant. Cuotapartes]]</f>
        <v>9166.2299999999959</v>
      </c>
      <c r="I68" s="88">
        <v>4.1909270000000003</v>
      </c>
      <c r="J68" s="7">
        <f>IF(ABS(Inversiones[[#This Row],[Saldo Valorizado]]-Inversiones[[#This Row],[Monto Invertido]]-G69+F69)&gt;500,"-",Inversiones[[#This Row],[Saldo Valorizado]]-Inversiones[[#This Row],[Monto Invertido]]-G69+F69)</f>
        <v>41.174705159995938</v>
      </c>
      <c r="K68" s="23">
        <f>IFERROR((Inversiones[[#This Row],[Valor Cuotaparte]]-VLOOKUP(Inversiones[[#This Row],[Nombre Inversión]],B69:I81,8,FALSE))/VLOOKUP(Inversiones[[#This Row],[Nombre Inversión]],B70:I82,8,FALSE),"-")</f>
        <v>1.074145191335087E-3</v>
      </c>
    </row>
    <row r="69" spans="1:11" hidden="1" x14ac:dyDescent="0.35">
      <c r="A69" s="87">
        <v>43480</v>
      </c>
      <c r="B69" t="s">
        <v>78</v>
      </c>
      <c r="C69" t="s">
        <v>82</v>
      </c>
      <c r="D69" s="6">
        <v>0</v>
      </c>
      <c r="E69" s="13">
        <v>0</v>
      </c>
      <c r="F69" s="46">
        <f>IF(Inversiones[[#This Row],[Total Cuotapartes]]=0,0,_xlfn.IFNA(VLOOKUP(Inversiones[[#This Row],[Nombre Inversión]],B70:F78,5,FALSE),0)+Inversiones[[#This Row],[Monto]])</f>
        <v>33509.599039939996</v>
      </c>
      <c r="G69" s="6">
        <f>Inversiones[[#This Row],[Total Cuotapartes]]*Inversiones[[#This Row],[Valor Cuotaparte]]</f>
        <v>38373.826090049988</v>
      </c>
      <c r="H69" s="25">
        <f>_xlfn.IFNA(VLOOKUP(Inversiones[[#This Row],[Nombre Inversión]],B70:H77,7,FALSE),0)+Inversiones[[#This Row],[Cant. Cuotapartes]]</f>
        <v>9166.2299999999959</v>
      </c>
      <c r="I69" s="88">
        <v>4.1864350000000004</v>
      </c>
      <c r="J69" s="7">
        <f>IF(ABS(Inversiones[[#This Row],[Saldo Valorizado]]-Inversiones[[#This Row],[Monto Invertido]]-G70+F70)&gt;500,"-",Inversiones[[#This Row],[Saldo Valorizado]]-Inversiones[[#This Row],[Monto Invertido]]-G70+F70)</f>
        <v>41.293866150001122</v>
      </c>
      <c r="K69" s="23">
        <f>IFERROR((Inversiones[[#This Row],[Valor Cuotaparte]]-VLOOKUP(Inversiones[[#This Row],[Nombre Inversión]],B70:I82,8,FALSE))/VLOOKUP(Inversiones[[#This Row],[Nombre Inversión]],B71:I83,8,FALSE),"-")</f>
        <v>1.0784144984869834E-3</v>
      </c>
    </row>
    <row r="70" spans="1:11" hidden="1" x14ac:dyDescent="0.35">
      <c r="A70" s="87">
        <v>43479</v>
      </c>
      <c r="B70" t="s">
        <v>78</v>
      </c>
      <c r="C70" t="s">
        <v>82</v>
      </c>
      <c r="D70" s="6">
        <v>0</v>
      </c>
      <c r="E70" s="13">
        <v>0</v>
      </c>
      <c r="F70" s="46">
        <f>IF(Inversiones[[#This Row],[Total Cuotapartes]]=0,0,_xlfn.IFNA(VLOOKUP(Inversiones[[#This Row],[Nombre Inversión]],B71:F79,5,FALSE),0)+Inversiones[[#This Row],[Monto]])</f>
        <v>33509.599039939996</v>
      </c>
      <c r="G70" s="6">
        <f>Inversiones[[#This Row],[Total Cuotapartes]]*Inversiones[[#This Row],[Valor Cuotaparte]]</f>
        <v>38332.532223899987</v>
      </c>
      <c r="H70" s="25">
        <f>_xlfn.IFNA(VLOOKUP(Inversiones[[#This Row],[Nombre Inversión]],B71:H78,7,FALSE),0)+Inversiones[[#This Row],[Cant. Cuotapartes]]</f>
        <v>9166.2299999999959</v>
      </c>
      <c r="I70" s="88">
        <v>4.1819300000000004</v>
      </c>
      <c r="J70" s="7">
        <f>IF(ABS(Inversiones[[#This Row],[Saldo Valorizado]]-Inversiones[[#This Row],[Monto Invertido]]-G71+F71)&gt;500,"-",Inversiones[[#This Row],[Saldo Valorizado]]-Inversiones[[#This Row],[Monto Invertido]]-G71+F71)</f>
        <v>41.257201230000646</v>
      </c>
      <c r="K70" s="23">
        <f>IFERROR((Inversiones[[#This Row],[Valor Cuotaparte]]-VLOOKUP(Inversiones[[#This Row],[Nombre Inversión]],B71:I83,8,FALSE))/VLOOKUP(Inversiones[[#This Row],[Nombre Inversión]],B72:I84,8,FALSE),"-")</f>
        <v>1.0810543366107565E-3</v>
      </c>
    </row>
    <row r="71" spans="1:11" hidden="1" x14ac:dyDescent="0.35">
      <c r="A71" s="87">
        <v>43476</v>
      </c>
      <c r="B71" t="s">
        <v>78</v>
      </c>
      <c r="C71" t="s">
        <v>82</v>
      </c>
      <c r="D71" s="6">
        <v>0</v>
      </c>
      <c r="E71" s="13">
        <v>0</v>
      </c>
      <c r="F71" s="46">
        <f>IF(Inversiones[[#This Row],[Total Cuotapartes]]=0,0,_xlfn.IFNA(VLOOKUP(Inversiones[[#This Row],[Nombre Inversión]],B72:F80,5,FALSE),0)+Inversiones[[#This Row],[Monto]])</f>
        <v>33509.599039939996</v>
      </c>
      <c r="G71" s="6">
        <f>Inversiones[[#This Row],[Total Cuotapartes]]*Inversiones[[#This Row],[Valor Cuotaparte]]</f>
        <v>38291.275022669986</v>
      </c>
      <c r="H71" s="25">
        <f>_xlfn.IFNA(VLOOKUP(Inversiones[[#This Row],[Nombre Inversión]],B72:H79,7,FALSE),0)+Inversiones[[#This Row],[Cant. Cuotapartes]]</f>
        <v>9166.2299999999959</v>
      </c>
      <c r="I71" s="88">
        <v>4.1774290000000001</v>
      </c>
      <c r="J71" s="7">
        <f>IF(ABS(Inversiones[[#This Row],[Saldo Valorizado]]-Inversiones[[#This Row],[Monto Invertido]]-G72+F72)&gt;500,"-",Inversiones[[#This Row],[Saldo Valorizado]]-Inversiones[[#This Row],[Monto Invertido]]-G72+F72)</f>
        <v>127.41976322999835</v>
      </c>
      <c r="K71" s="23">
        <f>IFERROR((Inversiones[[#This Row],[Valor Cuotaparte]]-VLOOKUP(Inversiones[[#This Row],[Nombre Inversión]],B72:I84,8,FALSE))/VLOOKUP(Inversiones[[#This Row],[Nombre Inversión]],B73:I85,8,FALSE),"-")</f>
        <v>3.338755017379424E-3</v>
      </c>
    </row>
    <row r="72" spans="1:11" hidden="1" x14ac:dyDescent="0.35">
      <c r="A72" s="87">
        <v>43476</v>
      </c>
      <c r="B72" t="s">
        <v>78</v>
      </c>
      <c r="C72" t="s">
        <v>76</v>
      </c>
      <c r="D72" s="6">
        <f>Inversiones[[#This Row],[Cant. Cuotapartes]]*Inversiones[[#This Row],[Valor Cuotaparte]]</f>
        <v>10509.827189280002</v>
      </c>
      <c r="E72" s="25">
        <v>2524.2600000000002</v>
      </c>
      <c r="F72" s="46">
        <f>IF(Inversiones[[#This Row],[Total Cuotapartes]]=0,0,_xlfn.IFNA(VLOOKUP(Inversiones[[#This Row],[Nombre Inversión]],B73:F81,5,FALSE),0)+Inversiones[[#This Row],[Monto]])</f>
        <v>33509.599039939996</v>
      </c>
      <c r="G72" s="6">
        <f>Inversiones[[#This Row],[Total Cuotapartes]]*Inversiones[[#This Row],[Valor Cuotaparte]]</f>
        <v>38163.855259439988</v>
      </c>
      <c r="H72" s="25">
        <f>_xlfn.IFNA(VLOOKUP(Inversiones[[#This Row],[Nombre Inversión]],B73:H80,7,FALSE),0)+Inversiones[[#This Row],[Cant. Cuotapartes]]</f>
        <v>9166.2299999999959</v>
      </c>
      <c r="I72" s="88">
        <v>4.1635280000000003</v>
      </c>
      <c r="J72" s="7" t="s">
        <v>80</v>
      </c>
      <c r="K72" s="23" t="s">
        <v>80</v>
      </c>
    </row>
    <row r="73" spans="1:11" hidden="1" x14ac:dyDescent="0.35">
      <c r="A73" s="87">
        <v>43475</v>
      </c>
      <c r="B73" t="s">
        <v>78</v>
      </c>
      <c r="C73" t="s">
        <v>82</v>
      </c>
      <c r="D73" s="6">
        <v>0</v>
      </c>
      <c r="E73" s="13">
        <v>0</v>
      </c>
      <c r="F73" s="46">
        <f>IF(Inversiones[[#This Row],[Total Cuotapartes]]=0,0,_xlfn.IFNA(VLOOKUP(Inversiones[[#This Row],[Nombre Inversión]],B74:F82,5,FALSE),0)+Inversiones[[#This Row],[Monto]])</f>
        <v>22999.771850659992</v>
      </c>
      <c r="G73" s="6">
        <f>Inversiones[[#This Row],[Total Cuotapartes]]*Inversiones[[#This Row],[Valor Cuotaparte]]</f>
        <v>27654.028070159988</v>
      </c>
      <c r="H73" s="25">
        <f>_xlfn.IFNA(VLOOKUP(Inversiones[[#This Row],[Nombre Inversión]],B74:H81,7,FALSE),0)+Inversiones[[#This Row],[Cant. Cuotapartes]]</f>
        <v>6641.9699999999966</v>
      </c>
      <c r="I73" s="88">
        <v>4.1635280000000003</v>
      </c>
      <c r="J73" s="7">
        <f>IF(ABS(Inversiones[[#This Row],[Saldo Valorizado]]-Inversiones[[#This Row],[Monto Invertido]]-G74+F74)&gt;500,"-",Inversiones[[#This Row],[Saldo Valorizado]]-Inversiones[[#This Row],[Monto Invertido]]-G74+F74)</f>
        <v>29.981852580000123</v>
      </c>
      <c r="K73" s="23">
        <f>IFERROR((Inversiones[[#This Row],[Valor Cuotaparte]]-VLOOKUP(Inversiones[[#This Row],[Nombre Inversión]],B74:I86,8,FALSE))/VLOOKUP(Inversiones[[#This Row],[Nombre Inversión]],B75:I87,8,FALSE),"-")</f>
        <v>1.0853534034750427E-3</v>
      </c>
    </row>
    <row r="74" spans="1:11" hidden="1" x14ac:dyDescent="0.35">
      <c r="A74" s="87">
        <v>43475</v>
      </c>
      <c r="B74" t="s">
        <v>78</v>
      </c>
      <c r="C74" t="s">
        <v>79</v>
      </c>
      <c r="D74" s="6">
        <f>Inversiones[[#This Row],[Cant. Cuotapartes]]*Inversiones[[#This Row],[Valor Cuotaparte]]</f>
        <v>-8000.0297895599997</v>
      </c>
      <c r="E74" s="13">
        <v>-1923.54</v>
      </c>
      <c r="F74" s="46">
        <f>IF(Inversiones[[#This Row],[Total Cuotapartes]]=0,0,_xlfn.IFNA(VLOOKUP(Inversiones[[#This Row],[Nombre Inversión]],B75:F83,5,FALSE),0)+Inversiones[[#This Row],[Monto]])</f>
        <v>22999.771850659992</v>
      </c>
      <c r="G74" s="6">
        <f>Inversiones[[#This Row],[Total Cuotapartes]]*Inversiones[[#This Row],[Valor Cuotaparte]]</f>
        <v>27624.046217579988</v>
      </c>
      <c r="H74" s="25">
        <f>_xlfn.IFNA(VLOOKUP(Inversiones[[#This Row],[Nombre Inversión]],B75:H82,7,FALSE),0)+Inversiones[[#This Row],[Cant. Cuotapartes]]</f>
        <v>6641.9699999999966</v>
      </c>
      <c r="I74" s="88">
        <v>4.159014</v>
      </c>
      <c r="J74" s="7">
        <f>IF(ABS(Inversiones[[#This Row],[Saldo Valorizado]]-Inversiones[[#This Row],[Monto Invertido]]-G75+F75)&gt;500,"-",Inversiones[[#This Row],[Saldo Valorizado]]-Inversiones[[#This Row],[Monto Invertido]]-G75+F75)</f>
        <v>3.637978807091713E-12</v>
      </c>
      <c r="K74" s="23">
        <f>IFERROR((Inversiones[[#This Row],[Valor Cuotaparte]]-VLOOKUP(Inversiones[[#This Row],[Nombre Inversión]],B75:I87,8,FALSE))/VLOOKUP(Inversiones[[#This Row],[Nombre Inversión]],B76:I88,8,FALSE),"-")</f>
        <v>0</v>
      </c>
    </row>
    <row r="75" spans="1:11" hidden="1" x14ac:dyDescent="0.35">
      <c r="A75" s="87">
        <v>43474</v>
      </c>
      <c r="B75" t="s">
        <v>78</v>
      </c>
      <c r="C75" t="s">
        <v>82</v>
      </c>
      <c r="D75" s="6">
        <v>0</v>
      </c>
      <c r="E75" s="13">
        <v>0</v>
      </c>
      <c r="F75" s="46">
        <f>IF(Inversiones[[#This Row],[Total Cuotapartes]]=0,0,_xlfn.IFNA(VLOOKUP(Inversiones[[#This Row],[Nombre Inversión]],B76:F84,5,FALSE),0)+Inversiones[[#This Row],[Monto]])</f>
        <v>30999.801640219994</v>
      </c>
      <c r="G75" s="6">
        <f>Inversiones[[#This Row],[Total Cuotapartes]]*Inversiones[[#This Row],[Valor Cuotaparte]]</f>
        <v>35624.076007139985</v>
      </c>
      <c r="H75" s="25">
        <f>_xlfn.IFNA(VLOOKUP(Inversiones[[#This Row],[Nombre Inversión]],B76:H83,7,FALSE),0)+Inversiones[[#This Row],[Cant. Cuotapartes]]</f>
        <v>8565.5099999999966</v>
      </c>
      <c r="I75" s="88">
        <v>4.159014</v>
      </c>
      <c r="J75" s="7">
        <f>IF(ABS(Inversiones[[#This Row],[Saldo Valorizado]]-Inversiones[[#This Row],[Monto Invertido]]-G76+F76)&gt;500,"-",Inversiones[[#This Row],[Saldo Valorizado]]-Inversiones[[#This Row],[Monto Invertido]]-G76+F76)</f>
        <v>38.467705409995688</v>
      </c>
      <c r="K75" s="23">
        <f>IFERROR((Inversiones[[#This Row],[Valor Cuotaparte]]-VLOOKUP(Inversiones[[#This Row],[Nombre Inversión]],B76:I88,8,FALSE))/VLOOKUP(Inversiones[[#This Row],[Nombre Inversión]],B77:I89,8,FALSE),"-")</f>
        <v>1.0821553759218382E-3</v>
      </c>
    </row>
    <row r="76" spans="1:11" hidden="1" x14ac:dyDescent="0.35">
      <c r="A76" s="87">
        <v>43473</v>
      </c>
      <c r="B76" t="s">
        <v>78</v>
      </c>
      <c r="C76" t="s">
        <v>82</v>
      </c>
      <c r="D76" s="6">
        <v>0</v>
      </c>
      <c r="E76" s="13">
        <v>0</v>
      </c>
      <c r="F76" s="46">
        <f>IF(Inversiones[[#This Row],[Total Cuotapartes]]=0,0,_xlfn.IFNA(VLOOKUP(Inversiones[[#This Row],[Nombre Inversión]],B77:F85,5,FALSE),0)+Inversiones[[#This Row],[Monto]])</f>
        <v>30999.801640219994</v>
      </c>
      <c r="G76" s="6">
        <f>Inversiones[[#This Row],[Total Cuotapartes]]*Inversiones[[#This Row],[Valor Cuotaparte]]</f>
        <v>35585.60830172999</v>
      </c>
      <c r="H76" s="25">
        <f>_xlfn.IFNA(VLOOKUP(Inversiones[[#This Row],[Nombre Inversión]],B77:H84,7,FALSE),0)+Inversiones[[#This Row],[Cant. Cuotapartes]]</f>
        <v>8565.5099999999966</v>
      </c>
      <c r="I76" s="88">
        <v>4.1545230000000002</v>
      </c>
      <c r="J76" s="7">
        <f>IF(ABS(Inversiones[[#This Row],[Saldo Valorizado]]-Inversiones[[#This Row],[Monto Invertido]]-G77+F77)&gt;500,"-",Inversiones[[#This Row],[Saldo Valorizado]]-Inversiones[[#This Row],[Monto Invertido]]-G77+F77)</f>
        <v>38.304960720000963</v>
      </c>
      <c r="K76" s="23">
        <f>IFERROR((Inversiones[[#This Row],[Valor Cuotaparte]]-VLOOKUP(Inversiones[[#This Row],[Nombre Inversión]],B77:I89,8,FALSE))/VLOOKUP(Inversiones[[#This Row],[Nombre Inversión]],B78:I90,8,FALSE),"-")</f>
        <v>1.0787403246255308E-3</v>
      </c>
    </row>
    <row r="77" spans="1:11" hidden="1" x14ac:dyDescent="0.35">
      <c r="A77" s="1">
        <v>43472</v>
      </c>
      <c r="B77" t="s">
        <v>78</v>
      </c>
      <c r="C77" t="s">
        <v>82</v>
      </c>
      <c r="D77" s="6">
        <v>0</v>
      </c>
      <c r="E77" s="13">
        <v>0</v>
      </c>
      <c r="F77" s="46">
        <f>IF(Inversiones[[#This Row],[Total Cuotapartes]]=0,0,_xlfn.IFNA(VLOOKUP(Inversiones[[#This Row],[Nombre Inversión]],B78:F86,5,FALSE),0)+Inversiones[[#This Row],[Monto]])</f>
        <v>30999.801640219994</v>
      </c>
      <c r="G77" s="6">
        <f>Inversiones[[#This Row],[Total Cuotapartes]]*Inversiones[[#This Row],[Valor Cuotaparte]]</f>
        <v>35547.303341009989</v>
      </c>
      <c r="H77" s="25">
        <f>_xlfn.IFNA(VLOOKUP(Inversiones[[#This Row],[Nombre Inversión]],B78:H85,7,FALSE),0)+Inversiones[[#This Row],[Cant. Cuotapartes]]</f>
        <v>8565.5099999999966</v>
      </c>
      <c r="I77" s="88">
        <v>4.1500510000000004</v>
      </c>
      <c r="J77" s="7">
        <f>IF(ABS(Inversiones[[#This Row],[Saldo Valorizado]]-Inversiones[[#This Row],[Monto Invertido]]-G78+F78)&gt;500,"-",Inversiones[[#This Row],[Saldo Valorizado]]-Inversiones[[#This Row],[Monto Invertido]]-G78+F78)</f>
        <v>38.330657250000513</v>
      </c>
      <c r="K77" s="23">
        <f>IFERROR((Inversiones[[#This Row],[Valor Cuotaparte]]-VLOOKUP(Inversiones[[#This Row],[Nombre Inversión]],B78:I90,8,FALSE))/VLOOKUP(Inversiones[[#This Row],[Nombre Inversión]],B79:I91,8,FALSE),"-")</f>
        <v>1.0830012129614138E-3</v>
      </c>
    </row>
    <row r="78" spans="1:11" hidden="1" x14ac:dyDescent="0.35">
      <c r="A78" s="1">
        <v>43469</v>
      </c>
      <c r="B78" t="s">
        <v>78</v>
      </c>
      <c r="C78" t="s">
        <v>82</v>
      </c>
      <c r="D78" s="6">
        <v>0</v>
      </c>
      <c r="E78" s="13">
        <v>0</v>
      </c>
      <c r="F78" s="46">
        <f>IF(Inversiones[[#This Row],[Total Cuotapartes]]=0,0,_xlfn.IFNA(VLOOKUP(Inversiones[[#This Row],[Nombre Inversión]],B79:F87,5,FALSE),0)+Inversiones[[#This Row],[Monto]])</f>
        <v>30999.801640219994</v>
      </c>
      <c r="G78" s="6">
        <f>Inversiones[[#This Row],[Total Cuotapartes]]*Inversiones[[#This Row],[Valor Cuotaparte]]</f>
        <v>35508.972683759988</v>
      </c>
      <c r="H78" s="25">
        <f>_xlfn.IFNA(VLOOKUP(Inversiones[[#This Row],[Nombre Inversión]],B79:H86,7,FALSE),0)+Inversiones[[#This Row],[Cant. Cuotapartes]]</f>
        <v>8565.5099999999966</v>
      </c>
      <c r="I78" s="31">
        <v>4.1455760000000001</v>
      </c>
      <c r="J78" s="7">
        <f>IF(ABS(Inversiones[[#This Row],[Saldo Valorizado]]-Inversiones[[#This Row],[Monto Invertido]]-G79+F79)&gt;500,"-",Inversiones[[#This Row],[Saldo Valorizado]]-Inversiones[[#This Row],[Monto Invertido]]-G79+F79)</f>
        <v>115.97700540000369</v>
      </c>
      <c r="K78" s="23">
        <f>IFERROR((Inversiones[[#This Row],[Valor Cuotaparte]]-VLOOKUP(Inversiones[[#This Row],[Nombre Inversión]],B79:I91,8,FALSE))/VLOOKUP(Inversiones[[#This Row],[Nombre Inversión]],B80:I92,8,FALSE),"-")</f>
        <v>3.2803264239741675E-3</v>
      </c>
    </row>
    <row r="79" spans="1:11" hidden="1" x14ac:dyDescent="0.35">
      <c r="A79" s="1">
        <v>43468</v>
      </c>
      <c r="B79" t="s">
        <v>78</v>
      </c>
      <c r="C79" t="s">
        <v>82</v>
      </c>
      <c r="D79" s="6">
        <v>0</v>
      </c>
      <c r="E79" s="13">
        <v>0</v>
      </c>
      <c r="F79" s="46">
        <f>IF(Inversiones[[#This Row],[Total Cuotapartes]]=0,0,_xlfn.IFNA(VLOOKUP(Inversiones[[#This Row],[Nombre Inversión]],B80:F88,5,FALSE),0)+Inversiones[[#This Row],[Monto]])</f>
        <v>30999.801640219994</v>
      </c>
      <c r="G79" s="6">
        <f>Inversiones[[#This Row],[Total Cuotapartes]]*Inversiones[[#This Row],[Valor Cuotaparte]]</f>
        <v>35392.995678359985</v>
      </c>
      <c r="H79" s="25">
        <f>_xlfn.IFNA(VLOOKUP(Inversiones[[#This Row],[Nombre Inversión]],B80:H87,7,FALSE),0)+Inversiones[[#This Row],[Cant. Cuotapartes]]</f>
        <v>8565.5099999999966</v>
      </c>
      <c r="I79" s="31">
        <v>4.1320360000000003</v>
      </c>
      <c r="J79" s="7">
        <f>Inversiones[[#This Row],[Saldo Valorizado]]-G80</f>
        <v>37.671112979995087</v>
      </c>
      <c r="K79" s="23">
        <f>IFERROR((Inversiones[[#This Row],[Valor Cuotaparte]]-VLOOKUP(Inversiones[[#This Row],[Nombre Inversión]],B81:I93,8,FALSE))/VLOOKUP(Inversiones[[#This Row],[Nombre Inversión]],B82:I94,8,FALSE),"-")</f>
        <v>1.0666221715292699E-3</v>
      </c>
    </row>
    <row r="80" spans="1:11" hidden="1" x14ac:dyDescent="0.35">
      <c r="A80" s="1">
        <v>43468</v>
      </c>
      <c r="B80" t="s">
        <v>78</v>
      </c>
      <c r="C80" t="s">
        <v>79</v>
      </c>
      <c r="D80" s="6">
        <f>Inversiones[[#This Row],[Cant. Cuotapartes]]*Inversiones[[#This Row],[Valor Cuotaparte]]</f>
        <v>-13000.037157380002</v>
      </c>
      <c r="E80" s="13">
        <v>-3149.51</v>
      </c>
      <c r="F80" s="46">
        <f>IF(Inversiones[[#This Row],[Total Cuotapartes]]=0,0,_xlfn.IFNA(VLOOKUP(Inversiones[[#This Row],[Nombre Inversión]],B81:F89,5,FALSE),0)+Inversiones[[#This Row],[Monto]])</f>
        <v>30999.801640219994</v>
      </c>
      <c r="G80" s="6">
        <f>Inversiones[[#This Row],[Total Cuotapartes]]*Inversiones[[#This Row],[Valor Cuotaparte]]</f>
        <v>35355.32456537999</v>
      </c>
      <c r="H80" s="25">
        <f>_xlfn.IFNA(VLOOKUP(Inversiones[[#This Row],[Nombre Inversión]],B81:H88,7,FALSE),0)+Inversiones[[#This Row],[Cant. Cuotapartes]]</f>
        <v>8565.5099999999966</v>
      </c>
      <c r="I80" s="31">
        <v>4.1276380000000001</v>
      </c>
      <c r="J80" s="7" t="s">
        <v>80</v>
      </c>
      <c r="K80" s="23" t="s">
        <v>80</v>
      </c>
    </row>
    <row r="81" spans="1:13" hidden="1" x14ac:dyDescent="0.35">
      <c r="A81" s="1">
        <v>43467</v>
      </c>
      <c r="B81" t="s">
        <v>78</v>
      </c>
      <c r="C81" t="s">
        <v>82</v>
      </c>
      <c r="D81" s="6">
        <v>0</v>
      </c>
      <c r="E81" s="13">
        <v>0</v>
      </c>
      <c r="F81" s="46">
        <f>IF(Inversiones[[#This Row],[Total Cuotapartes]]=0,0,_xlfn.IFNA(VLOOKUP(Inversiones[[#This Row],[Nombre Inversión]],B82:F90,5,FALSE),0)+Inversiones[[#This Row],[Monto]])</f>
        <v>43999.838797599994</v>
      </c>
      <c r="G81" s="6">
        <f>Inversiones[[#This Row],[Total Cuotapartes]]*Inversiones[[#This Row],[Valor Cuotaparte]]</f>
        <v>48355.36172275999</v>
      </c>
      <c r="H81" s="25">
        <f>_xlfn.IFNA(VLOOKUP(Inversiones[[#This Row],[Nombre Inversión]],B82:H89,7,FALSE),0)+Inversiones[[#This Row],[Cant. Cuotapartes]]</f>
        <v>11715.019999999997</v>
      </c>
      <c r="I81" s="31">
        <v>4.1276380000000001</v>
      </c>
      <c r="J81" s="7">
        <f>IF(ABS(Inversiones[[#This Row],[Saldo Valorizado]]-Inversiones[[#This Row],[Monto Invertido]]-G82+F82)&gt;500,"-",Inversiones[[#This Row],[Saldo Valorizado]]-Inversiones[[#This Row],[Monto Invertido]]-G82+F82)</f>
        <v>50.854901820006489</v>
      </c>
      <c r="K81" s="23">
        <f>IFERROR((Inversiones[[#This Row],[Valor Cuotaparte]]-VLOOKUP(Inversiones[[#This Row],[Nombre Inversión]],B82:I94,8,FALSE))/VLOOKUP(Inversiones[[#This Row],[Nombre Inversión]],B83:I95,8,FALSE),"-")</f>
        <v>1.0583844971174567E-3</v>
      </c>
      <c r="M81" s="7"/>
    </row>
    <row r="82" spans="1:13" hidden="1" x14ac:dyDescent="0.35">
      <c r="A82" s="1">
        <v>43462</v>
      </c>
      <c r="B82" t="s">
        <v>78</v>
      </c>
      <c r="C82" t="s">
        <v>82</v>
      </c>
      <c r="D82" s="6">
        <v>0</v>
      </c>
      <c r="E82" s="13">
        <v>0</v>
      </c>
      <c r="F82" s="46">
        <f>IF(Inversiones[[#This Row],[Total Cuotapartes]]=0,0,_xlfn.IFNA(VLOOKUP(Inversiones[[#This Row],[Nombre Inversión]],B83:F91,5,FALSE),0)+Inversiones[[#This Row],[Monto]])</f>
        <v>43999.838797599994</v>
      </c>
      <c r="G82" s="6">
        <f>Inversiones[[#This Row],[Total Cuotapartes]]*Inversiones[[#This Row],[Valor Cuotaparte]]</f>
        <v>48304.506820939983</v>
      </c>
      <c r="H82" s="25">
        <f>_xlfn.IFNA(VLOOKUP(Inversiones[[#This Row],[Nombre Inversión]],B83:H90,7,FALSE),0)+Inversiones[[#This Row],[Cant. Cuotapartes]]</f>
        <v>11715.019999999997</v>
      </c>
      <c r="I82" s="31">
        <v>4.123297</v>
      </c>
      <c r="J82" s="7">
        <f>Inversiones[[#This Row],[Saldo Valorizado]]-G83</f>
        <v>254.95398025999748</v>
      </c>
      <c r="K82" s="23">
        <f>IFERROR((Inversiones[[#This Row],[Valor Cuotaparte]]-VLOOKUP(Inversiones[[#This Row],[Nombre Inversión]],B84:I97,8,FALSE))/VLOOKUP(Inversiones[[#This Row],[Nombre Inversión]],B85:I98,8,FALSE),"-")</f>
        <v>5.3117255309894943E-3</v>
      </c>
    </row>
    <row r="83" spans="1:13" hidden="1" x14ac:dyDescent="0.35">
      <c r="A83" s="1">
        <v>43462</v>
      </c>
      <c r="B83" t="s">
        <v>78</v>
      </c>
      <c r="C83" t="s">
        <v>76</v>
      </c>
      <c r="D83" s="6">
        <f>Inversiones[[#This Row],[Cant. Cuotapartes]]*Inversiones[[#This Row],[Valor Cuotaparte]]</f>
        <v>20000.023136819997</v>
      </c>
      <c r="E83" s="25">
        <v>4876.2299999999996</v>
      </c>
      <c r="F83" s="46">
        <f>IF(Inversiones[[#This Row],[Total Cuotapartes]]=0,0,_xlfn.IFNA(VLOOKUP(Inversiones[[#This Row],[Nombre Inversión]],B84:F92,5,FALSE),0)+Inversiones[[#This Row],[Monto]])</f>
        <v>43999.838797599994</v>
      </c>
      <c r="G83" s="6">
        <f>Inversiones[[#This Row],[Total Cuotapartes]]*Inversiones[[#This Row],[Valor Cuotaparte]]</f>
        <v>48049.552840679986</v>
      </c>
      <c r="H83" s="25">
        <f>_xlfn.IFNA(VLOOKUP(Inversiones[[#This Row],[Nombre Inversión]],B84:H91,7,FALSE),0)+Inversiones[[#This Row],[Cant. Cuotapartes]]</f>
        <v>11715.019999999997</v>
      </c>
      <c r="I83" s="30">
        <v>4.101534</v>
      </c>
      <c r="J83" s="7" t="s">
        <v>80</v>
      </c>
      <c r="K83" t="s">
        <v>80</v>
      </c>
    </row>
    <row r="84" spans="1:13" hidden="1" x14ac:dyDescent="0.35">
      <c r="A84" s="1">
        <v>43461</v>
      </c>
      <c r="B84" t="s">
        <v>78</v>
      </c>
      <c r="C84" t="s">
        <v>82</v>
      </c>
      <c r="D84" s="6">
        <v>0</v>
      </c>
      <c r="E84" s="13">
        <v>0</v>
      </c>
      <c r="F84" s="46">
        <f>IF(Inversiones[[#This Row],[Total Cuotapartes]]=0,0,_xlfn.IFNA(VLOOKUP(Inversiones[[#This Row],[Nombre Inversión]],B85:F93,5,FALSE),0)+Inversiones[[#This Row],[Monto]])</f>
        <v>23999.815660780001</v>
      </c>
      <c r="G84" s="6">
        <f>Inversiones[[#This Row],[Total Cuotapartes]]*Inversiones[[#This Row],[Valor Cuotaparte]]</f>
        <v>28049.529703859993</v>
      </c>
      <c r="H84" s="25">
        <f>_xlfn.IFNA(VLOOKUP(Inversiones[[#This Row],[Nombre Inversión]],B85:H92,7,FALSE),0)+Inversiones[[#This Row],[Cant. Cuotapartes]]</f>
        <v>6838.7899999999981</v>
      </c>
      <c r="I84" s="30">
        <v>4.101534</v>
      </c>
      <c r="J84" s="7">
        <f>Inversiones[[#This Row],[Saldo Valorizado]]-G85</f>
        <v>29.899189880001359</v>
      </c>
      <c r="K84" s="23">
        <f>IFERROR((Inversiones[[#This Row],[Valor Cuotaparte]]-VLOOKUP(Inversiones[[#This Row],[Nombre Inversión]],B86:I98,8,FALSE))/VLOOKUP(Inversiones[[#This Row],[Nombre Inversión]],B87:I99,8,FALSE),"-")</f>
        <v>1.0681797747538306E-3</v>
      </c>
    </row>
    <row r="85" spans="1:13" hidden="1" x14ac:dyDescent="0.35">
      <c r="A85" s="1">
        <v>43461</v>
      </c>
      <c r="B85" t="s">
        <v>78</v>
      </c>
      <c r="C85" t="s">
        <v>79</v>
      </c>
      <c r="D85" s="6">
        <f>Inversiones[[#This Row],[Cant. Cuotapartes]]*Inversiones[[#This Row],[Valor Cuotaparte]]</f>
        <v>-1000.0353009600001</v>
      </c>
      <c r="E85" s="13">
        <v>-244.08</v>
      </c>
      <c r="F85" s="46">
        <f>IF(Inversiones[[#This Row],[Total Cuotapartes]]=0,0,_xlfn.IFNA(VLOOKUP(Inversiones[[#This Row],[Nombre Inversión]],B86:F94,5,FALSE),0)+Inversiones[[#This Row],[Monto]])</f>
        <v>23999.815660780001</v>
      </c>
      <c r="G85" s="6">
        <f>Inversiones[[#This Row],[Total Cuotapartes]]*Inversiones[[#This Row],[Valor Cuotaparte]]</f>
        <v>28019.630513979992</v>
      </c>
      <c r="H85" s="25">
        <f>_xlfn.IFNA(VLOOKUP(Inversiones[[#This Row],[Nombre Inversión]],B86:H93,7,FALSE),0)+Inversiones[[#This Row],[Cant. Cuotapartes]]</f>
        <v>6838.7899999999981</v>
      </c>
      <c r="I85" s="31">
        <v>4.097162</v>
      </c>
      <c r="J85" s="7" t="s">
        <v>80</v>
      </c>
      <c r="K85" s="23" t="s">
        <v>80</v>
      </c>
    </row>
    <row r="86" spans="1:13" hidden="1" x14ac:dyDescent="0.35">
      <c r="A86" s="1">
        <v>43460</v>
      </c>
      <c r="B86" t="s">
        <v>78</v>
      </c>
      <c r="C86" t="s">
        <v>82</v>
      </c>
      <c r="D86" s="6">
        <v>0</v>
      </c>
      <c r="E86" s="13">
        <v>0</v>
      </c>
      <c r="F86" s="46">
        <f>IF(Inversiones[[#This Row],[Total Cuotapartes]]=0,0,_xlfn.IFNA(VLOOKUP(Inversiones[[#This Row],[Nombre Inversión]],B87:F95,5,FALSE),0)+Inversiones[[#This Row],[Monto]])</f>
        <v>24999.850961740001</v>
      </c>
      <c r="G86" s="6">
        <f>Inversiones[[#This Row],[Total Cuotapartes]]*Inversiones[[#This Row],[Valor Cuotaparte]]</f>
        <v>29019.665814939992</v>
      </c>
      <c r="H86" s="25">
        <f>_xlfn.IFNA(VLOOKUP(Inversiones[[#This Row],[Nombre Inversión]],B87:H94,7,FALSE),0)+Inversiones[[#This Row],[Cant. Cuotapartes]]</f>
        <v>7082.8699999999981</v>
      </c>
      <c r="I86" s="31">
        <v>4.097162</v>
      </c>
      <c r="J86" s="7">
        <f>IF(ABS(Inversiones[[#This Row],[Saldo Valorizado]]-Inversiones[[#This Row],[Monto Invertido]]-G87+F87)&gt;500,"-",Inversiones[[#This Row],[Saldo Valorizado]]-Inversiones[[#This Row],[Monto Invertido]]-G87+F87)</f>
        <v>29.875545659997442</v>
      </c>
      <c r="K86" s="23">
        <f>IFERROR((Inversiones[[#This Row],[Valor Cuotaparte]]-VLOOKUP(Inversiones[[#This Row],[Nombre Inversión]],B87:I99,8,FALSE))/VLOOKUP(Inversiones[[#This Row],[Nombre Inversión]],B88:I100,8,FALSE),"-")</f>
        <v>1.0358683538533747E-3</v>
      </c>
    </row>
    <row r="87" spans="1:13" hidden="1" x14ac:dyDescent="0.35">
      <c r="A87" s="1">
        <v>43455</v>
      </c>
      <c r="B87" t="s">
        <v>78</v>
      </c>
      <c r="C87" t="s">
        <v>82</v>
      </c>
      <c r="D87" s="6">
        <v>0</v>
      </c>
      <c r="E87" s="13">
        <v>0</v>
      </c>
      <c r="F87" s="46">
        <f>IF(Inversiones[[#This Row],[Total Cuotapartes]]=0,0,_xlfn.IFNA(VLOOKUP(Inversiones[[#This Row],[Nombre Inversión]],B88:F96,5,FALSE),0)+Inversiones[[#This Row],[Monto]])</f>
        <v>24999.850961740001</v>
      </c>
      <c r="G87" s="6">
        <f>Inversiones[[#This Row],[Total Cuotapartes]]*Inversiones[[#This Row],[Valor Cuotaparte]]</f>
        <v>28989.790269279994</v>
      </c>
      <c r="H87" s="25">
        <f>_xlfn.IFNA(VLOOKUP(Inversiones[[#This Row],[Nombre Inversión]],B88:H95,7,FALSE),0)+Inversiones[[#This Row],[Cant. Cuotapartes]]</f>
        <v>7082.8699999999981</v>
      </c>
      <c r="I87" s="30">
        <v>4.0929440000000001</v>
      </c>
      <c r="J87" s="7">
        <f>IF(ABS(Inversiones[[#This Row],[Saldo Valorizado]]-Inversiones[[#This Row],[Monto Invertido]]-G88+F88)&gt;500,"-",Inversiones[[#This Row],[Saldo Valorizado]]-Inversiones[[#This Row],[Monto Invertido]]-G88+F88)</f>
        <v>148.72610426000392</v>
      </c>
      <c r="K87" s="23">
        <f>IFERROR((Inversiones[[#This Row],[Valor Cuotaparte]]-VLOOKUP(Inversiones[[#This Row],[Nombre Inversión]],B88:I100,8,FALSE))/VLOOKUP(Inversiones[[#This Row],[Nombre Inversión]],B89:I101,8,FALSE),"-")</f>
        <v>5.1621080910723201E-3</v>
      </c>
    </row>
    <row r="88" spans="1:13" hidden="1" x14ac:dyDescent="0.35">
      <c r="A88" s="1">
        <v>43454</v>
      </c>
      <c r="B88" t="s">
        <v>78</v>
      </c>
      <c r="C88" t="s">
        <v>82</v>
      </c>
      <c r="D88" s="6">
        <v>0</v>
      </c>
      <c r="E88" s="13">
        <v>0</v>
      </c>
      <c r="F88" s="46">
        <f>IF(Inversiones[[#This Row],[Total Cuotapartes]]=0,0,_xlfn.IFNA(VLOOKUP(Inversiones[[#This Row],[Nombre Inversión]],B89:F97,5,FALSE),0)+Inversiones[[#This Row],[Monto]])</f>
        <v>24999.850961740001</v>
      </c>
      <c r="G88" s="6">
        <f>Inversiones[[#This Row],[Total Cuotapartes]]*Inversiones[[#This Row],[Valor Cuotaparte]]</f>
        <v>28841.06416501999</v>
      </c>
      <c r="H88" s="25">
        <f>_xlfn.IFNA(VLOOKUP(Inversiones[[#This Row],[Nombre Inversión]],B89:H96,7,FALSE),0)+Inversiones[[#This Row],[Cant. Cuotapartes]]</f>
        <v>7082.8699999999981</v>
      </c>
      <c r="I88" s="30">
        <v>4.0719459999999996</v>
      </c>
      <c r="J88" s="7">
        <f>Inversiones[[#This Row],[Saldo Valorizado]]-G89</f>
        <v>29.946374359995389</v>
      </c>
      <c r="K88" s="23">
        <f>IFERROR((Inversiones[[#This Row],[Valor Cuotaparte]]-VLOOKUP(Inversiones[[#This Row],[Nombre Inversión]],B90:I102,8,FALSE))/VLOOKUP(Inversiones[[#This Row],[Nombre Inversión]],B91:I103,8,FALSE),"-")</f>
        <v>1.0404795262026988E-3</v>
      </c>
    </row>
    <row r="89" spans="1:13" hidden="1" x14ac:dyDescent="0.35">
      <c r="A89" s="1">
        <v>43454</v>
      </c>
      <c r="B89" t="s">
        <v>78</v>
      </c>
      <c r="C89" t="s">
        <v>79</v>
      </c>
      <c r="D89" s="6">
        <f>Inversiones[[#This Row],[Cant. Cuotapartes]]*Inversiones[[#This Row],[Valor Cuotaparte]]</f>
        <v>-2000.0155862400002</v>
      </c>
      <c r="E89" s="13">
        <v>-491.68</v>
      </c>
      <c r="F89" s="46">
        <f>IF(Inversiones[[#This Row],[Total Cuotapartes]]=0,0,_xlfn.IFNA(VLOOKUP(Inversiones[[#This Row],[Nombre Inversión]],B90:F98,5,FALSE),0)+Inversiones[[#This Row],[Monto]])</f>
        <v>24999.850961740001</v>
      </c>
      <c r="G89" s="6">
        <f>Inversiones[[#This Row],[Total Cuotapartes]]*Inversiones[[#This Row],[Valor Cuotaparte]]</f>
        <v>28811.117790659995</v>
      </c>
      <c r="H89" s="25">
        <f>_xlfn.IFNA(VLOOKUP(Inversiones[[#This Row],[Nombre Inversión]],B90:H97,7,FALSE),0)+Inversiones[[#This Row],[Cant. Cuotapartes]]</f>
        <v>7082.8699999999981</v>
      </c>
      <c r="I89" s="31">
        <v>4.0677180000000002</v>
      </c>
      <c r="J89" s="7" t="s">
        <v>80</v>
      </c>
      <c r="K89" s="23" t="s">
        <v>80</v>
      </c>
    </row>
    <row r="90" spans="1:13" hidden="1" x14ac:dyDescent="0.35">
      <c r="A90" s="1">
        <v>43453</v>
      </c>
      <c r="B90" t="s">
        <v>78</v>
      </c>
      <c r="C90" t="s">
        <v>82</v>
      </c>
      <c r="D90" s="6">
        <v>0</v>
      </c>
      <c r="E90" s="13">
        <v>0</v>
      </c>
      <c r="F90" s="46">
        <f>IF(Inversiones[[#This Row],[Total Cuotapartes]]=0,0,_xlfn.IFNA(VLOOKUP(Inversiones[[#This Row],[Nombre Inversión]],B91:F99,5,FALSE),0)+Inversiones[[#This Row],[Monto]])</f>
        <v>26999.86654798</v>
      </c>
      <c r="G90" s="6">
        <f>Inversiones[[#This Row],[Total Cuotapartes]]*Inversiones[[#This Row],[Valor Cuotaparte]]</f>
        <v>30811.133376899994</v>
      </c>
      <c r="H90" s="25">
        <f>_xlfn.IFNA(VLOOKUP(Inversiones[[#This Row],[Nombre Inversión]],B91:H98,7,FALSE),0)+Inversiones[[#This Row],[Cant. Cuotapartes]]</f>
        <v>7574.5499999999984</v>
      </c>
      <c r="I90" s="31">
        <v>4.0677180000000002</v>
      </c>
      <c r="J90" s="7">
        <f>Inversiones[[#This Row],[Saldo Valorizado]]-G91</f>
        <v>31.866131849998055</v>
      </c>
      <c r="K90" s="23">
        <f>IFERROR((Inversiones[[#This Row],[Valor Cuotaparte]]-VLOOKUP(Inversiones[[#This Row],[Nombre Inversión]],B92:I105,8,FALSE))/VLOOKUP(Inversiones[[#This Row],[Nombre Inversión]],B93:I106,8,FALSE),"-")</f>
        <v>1.0363860943444093E-3</v>
      </c>
    </row>
    <row r="91" spans="1:13" hidden="1" x14ac:dyDescent="0.35">
      <c r="A91" s="1">
        <v>43453</v>
      </c>
      <c r="B91" t="s">
        <v>78</v>
      </c>
      <c r="C91" t="s">
        <v>76</v>
      </c>
      <c r="D91" s="6">
        <f>Inversiones[[#This Row],[Cant. Cuotapartes]]*Inversiones[[#This Row],[Valor Cuotaparte]]</f>
        <v>9000.0267032400006</v>
      </c>
      <c r="E91" s="25">
        <v>2214.84</v>
      </c>
      <c r="F91" s="46">
        <f>IF(Inversiones[[#This Row],[Total Cuotapartes]]=0,0,_xlfn.IFNA(VLOOKUP(Inversiones[[#This Row],[Nombre Inversión]],B92:F100,5,FALSE),0)+Inversiones[[#This Row],[Monto]])</f>
        <v>26999.86654798</v>
      </c>
      <c r="G91" s="6">
        <f>Inversiones[[#This Row],[Total Cuotapartes]]*Inversiones[[#This Row],[Valor Cuotaparte]]</f>
        <v>30779.267245049996</v>
      </c>
      <c r="H91" s="25">
        <f>_xlfn.IFNA(VLOOKUP(Inversiones[[#This Row],[Nombre Inversión]],B92:H99,7,FALSE),0)+Inversiones[[#This Row],[Cant. Cuotapartes]]</f>
        <v>7574.5499999999984</v>
      </c>
      <c r="I91" s="30">
        <v>4.0635110000000001</v>
      </c>
      <c r="J91" s="7" t="s">
        <v>80</v>
      </c>
      <c r="K91" t="s">
        <v>80</v>
      </c>
    </row>
    <row r="92" spans="1:13" hidden="1" x14ac:dyDescent="0.35">
      <c r="A92" s="1">
        <v>43452</v>
      </c>
      <c r="B92" t="s">
        <v>78</v>
      </c>
      <c r="C92" t="s">
        <v>82</v>
      </c>
      <c r="D92" s="6">
        <v>0</v>
      </c>
      <c r="E92" s="13">
        <v>0</v>
      </c>
      <c r="F92" s="46">
        <f>IF(Inversiones[[#This Row],[Total Cuotapartes]]=0,0,_xlfn.IFNA(VLOOKUP(Inversiones[[#This Row],[Nombre Inversión]],B93:F101,5,FALSE),0)+Inversiones[[#This Row],[Monto]])</f>
        <v>17999.83984474</v>
      </c>
      <c r="G92" s="6">
        <f>Inversiones[[#This Row],[Total Cuotapartes]]*Inversiones[[#This Row],[Valor Cuotaparte]]</f>
        <v>21779.240541809992</v>
      </c>
      <c r="H92" s="25">
        <f>_xlfn.IFNA(VLOOKUP(Inversiones[[#This Row],[Nombre Inversión]],B93:H100,7,FALSE),0)+Inversiones[[#This Row],[Cant. Cuotapartes]]</f>
        <v>5359.7099999999982</v>
      </c>
      <c r="I92" s="30">
        <v>4.0635110000000001</v>
      </c>
      <c r="J92" s="7">
        <f>Inversiones[[#This Row],[Saldo Valorizado]]-G93</f>
        <v>22.580458229997021</v>
      </c>
      <c r="K92" s="23">
        <f>IFERROR((Inversiones[[#This Row],[Valor Cuotaparte]]-VLOOKUP(Inversiones[[#This Row],[Nombre Inversión]],B94:I106,8,FALSE))/VLOOKUP(Inversiones[[#This Row],[Nombre Inversión]],B95:I107,8,FALSE),"-")</f>
        <v>1.0389411825631545E-3</v>
      </c>
    </row>
    <row r="93" spans="1:13" hidden="1" x14ac:dyDescent="0.35">
      <c r="A93" s="1">
        <v>43452</v>
      </c>
      <c r="B93" t="s">
        <v>78</v>
      </c>
      <c r="C93" t="s">
        <v>79</v>
      </c>
      <c r="D93" s="6">
        <f>Inversiones[[#This Row],[Cant. Cuotapartes]]*Inversiones[[#This Row],[Valor Cuotaparte]]</f>
        <v>-1000.0080623</v>
      </c>
      <c r="E93" s="13">
        <v>-246.35</v>
      </c>
      <c r="F93" s="46">
        <f>IF(Inversiones[[#This Row],[Total Cuotapartes]]=0,0,_xlfn.IFNA(VLOOKUP(Inversiones[[#This Row],[Nombre Inversión]],B94:F102,5,FALSE),0)+Inversiones[[#This Row],[Monto]])</f>
        <v>17999.83984474</v>
      </c>
      <c r="G93" s="6">
        <f>Inversiones[[#This Row],[Total Cuotapartes]]*Inversiones[[#This Row],[Valor Cuotaparte]]</f>
        <v>21756.660083579995</v>
      </c>
      <c r="H93" s="25">
        <f>_xlfn.IFNA(VLOOKUP(Inversiones[[#This Row],[Nombre Inversión]],B94:H101,7,FALSE),0)+Inversiones[[#This Row],[Cant. Cuotapartes]]</f>
        <v>5359.7099999999982</v>
      </c>
      <c r="I93" s="30">
        <v>4.0592980000000001</v>
      </c>
      <c r="J93" s="7" t="s">
        <v>80</v>
      </c>
      <c r="K93" s="23" t="s">
        <v>80</v>
      </c>
    </row>
    <row r="94" spans="1:13" hidden="1" x14ac:dyDescent="0.35">
      <c r="A94" s="1">
        <v>43451</v>
      </c>
      <c r="B94" t="s">
        <v>78</v>
      </c>
      <c r="C94" t="s">
        <v>82</v>
      </c>
      <c r="D94" s="6">
        <v>0</v>
      </c>
      <c r="E94" s="13">
        <v>0</v>
      </c>
      <c r="F94" s="46">
        <f>IF(Inversiones[[#This Row],[Total Cuotapartes]]=0,0,_xlfn.IFNA(VLOOKUP(Inversiones[[#This Row],[Nombre Inversión]],B95:F103,5,FALSE),0)+Inversiones[[#This Row],[Monto]])</f>
        <v>18999.847907039999</v>
      </c>
      <c r="G94" s="6">
        <f>Inversiones[[#This Row],[Total Cuotapartes]]*Inversiones[[#This Row],[Valor Cuotaparte]]</f>
        <v>22756.668145879994</v>
      </c>
      <c r="H94" s="25">
        <f>_xlfn.IFNA(VLOOKUP(Inversiones[[#This Row],[Nombre Inversión]],B95:H102,7,FALSE),0)+Inversiones[[#This Row],[Cant. Cuotapartes]]</f>
        <v>5606.0599999999986</v>
      </c>
      <c r="I94" s="30">
        <v>4.0592980000000001</v>
      </c>
      <c r="J94" s="7">
        <f>IF(ABS(Inversiones[[#This Row],[Saldo Valorizado]]-Inversiones[[#This Row],[Monto Invertido]]-G95+F95)&gt;500,"-",Inversiones[[#This Row],[Saldo Valorizado]]-Inversiones[[#This Row],[Monto Invertido]]-G95+F95)</f>
        <v>23.590300480002043</v>
      </c>
      <c r="K94" s="23">
        <f>IFERROR((Inversiones[[#This Row],[Valor Cuotaparte]]-VLOOKUP(Inversiones[[#This Row],[Nombre Inversión]],B95:I107,8,FALSE))/VLOOKUP(Inversiones[[#This Row],[Nombre Inversión]],B96:I108,8,FALSE),"-")</f>
        <v>1.0409964077213365E-3</v>
      </c>
    </row>
    <row r="95" spans="1:13" hidden="1" x14ac:dyDescent="0.35">
      <c r="A95" s="1">
        <v>43448</v>
      </c>
      <c r="B95" t="s">
        <v>78</v>
      </c>
      <c r="C95" t="s">
        <v>82</v>
      </c>
      <c r="D95" s="6">
        <v>0</v>
      </c>
      <c r="E95" s="13">
        <v>0</v>
      </c>
      <c r="F95" s="46">
        <f>IF(Inversiones[[#This Row],[Total Cuotapartes]]=0,0,_xlfn.IFNA(VLOOKUP(Inversiones[[#This Row],[Nombre Inversión]],B96:F104,5,FALSE),0)+Inversiones[[#This Row],[Monto]])</f>
        <v>18999.847907039999</v>
      </c>
      <c r="G95" s="6">
        <f>Inversiones[[#This Row],[Total Cuotapartes]]*Inversiones[[#This Row],[Valor Cuotaparte]]</f>
        <v>22733.077845399992</v>
      </c>
      <c r="H95" s="25">
        <f>_xlfn.IFNA(VLOOKUP(Inversiones[[#This Row],[Nombre Inversión]],B96:H103,7,FALSE),0)+Inversiones[[#This Row],[Cant. Cuotapartes]]</f>
        <v>5606.0599999999986</v>
      </c>
      <c r="I95" s="30">
        <v>4.0550899999999999</v>
      </c>
      <c r="J95" s="7">
        <f>IF(ABS(Inversiones[[#This Row],[Saldo Valorizado]]-Inversiones[[#This Row],[Monto Invertido]]-G96+F96)&gt;500,"-",Inversiones[[#This Row],[Saldo Valorizado]]-Inversiones[[#This Row],[Monto Invertido]]-G96+F96)</f>
        <v>71.808022539997182</v>
      </c>
      <c r="K95" s="23">
        <f>IFERROR((Inversiones[[#This Row],[Valor Cuotaparte]]-VLOOKUP(Inversiones[[#This Row],[Nombre Inversión]],B96:I108,8,FALSE))/VLOOKUP(Inversiones[[#This Row],[Nombre Inversión]],B97:I109,8,FALSE),"-")</f>
        <v>3.1720536354176046E-3</v>
      </c>
    </row>
    <row r="96" spans="1:13" hidden="1" x14ac:dyDescent="0.35">
      <c r="A96" s="1">
        <v>43447</v>
      </c>
      <c r="B96" t="s">
        <v>78</v>
      </c>
      <c r="C96" t="s">
        <v>82</v>
      </c>
      <c r="D96" s="6">
        <v>0</v>
      </c>
      <c r="E96" s="13">
        <v>0</v>
      </c>
      <c r="F96" s="46">
        <f>IF(Inversiones[[#This Row],[Total Cuotapartes]]=0,0,_xlfn.IFNA(VLOOKUP(Inversiones[[#This Row],[Nombre Inversión]],B97:F105,5,FALSE),0)+Inversiones[[#This Row],[Monto]])</f>
        <v>18999.847907039999</v>
      </c>
      <c r="G96" s="6">
        <f>Inversiones[[#This Row],[Total Cuotapartes]]*Inversiones[[#This Row],[Valor Cuotaparte]]</f>
        <v>22661.269822859995</v>
      </c>
      <c r="H96" s="25">
        <f>_xlfn.IFNA(VLOOKUP(Inversiones[[#This Row],[Nombre Inversión]],B97:H104,7,FALSE),0)+Inversiones[[#This Row],[Cant. Cuotapartes]]</f>
        <v>5606.0599999999986</v>
      </c>
      <c r="I96" s="30">
        <v>4.042281</v>
      </c>
      <c r="J96" s="7">
        <f>IF(ABS(Inversiones[[#This Row],[Saldo Valorizado]]-Inversiones[[#This Row],[Monto Invertido]]-G97+F97)&gt;500,"-",Inversiones[[#This Row],[Saldo Valorizado]]-Inversiones[[#This Row],[Monto Invertido]]-G97+F97)</f>
        <v>23.562270180002088</v>
      </c>
      <c r="K96" s="23">
        <f>IFERROR((Inversiones[[#This Row],[Valor Cuotaparte]]-VLOOKUP(Inversiones[[#This Row],[Nombre Inversión]],B97:I109,8,FALSE))/VLOOKUP(Inversiones[[#This Row],[Nombre Inversión]],B98:I110,8,FALSE),"-")</f>
        <v>1.0419269624818044E-3</v>
      </c>
    </row>
    <row r="97" spans="1:18" hidden="1" x14ac:dyDescent="0.35">
      <c r="A97" s="1">
        <v>43446</v>
      </c>
      <c r="B97" t="s">
        <v>78</v>
      </c>
      <c r="C97" t="s">
        <v>82</v>
      </c>
      <c r="D97" s="6">
        <v>0</v>
      </c>
      <c r="E97" s="13">
        <v>0</v>
      </c>
      <c r="F97" s="46">
        <f>IF(Inversiones[[#This Row],[Total Cuotapartes]]=0,0,_xlfn.IFNA(VLOOKUP(Inversiones[[#This Row],[Nombre Inversión]],B98:F106,5,FALSE),0)+Inversiones[[#This Row],[Monto]])</f>
        <v>18999.847907039999</v>
      </c>
      <c r="G97" s="6">
        <f>Inversiones[[#This Row],[Total Cuotapartes]]*Inversiones[[#This Row],[Valor Cuotaparte]]</f>
        <v>22637.707552679993</v>
      </c>
      <c r="H97" s="25">
        <f>_xlfn.IFNA(VLOOKUP(Inversiones[[#This Row],[Nombre Inversión]],B98:H105,7,FALSE),0)+Inversiones[[#This Row],[Cant. Cuotapartes]]</f>
        <v>5606.0599999999986</v>
      </c>
      <c r="I97" s="30">
        <v>4.0380779999999996</v>
      </c>
      <c r="J97" s="7">
        <f>IF(ABS(Inversiones[[#This Row],[Saldo Valorizado]]-Inversiones[[#This Row],[Monto Invertido]]-G98+F98)&gt;500,"-",Inversiones[[#This Row],[Saldo Valorizado]]-Inversiones[[#This Row],[Monto Invertido]]-G98+F98)</f>
        <v>23.579088359998423</v>
      </c>
      <c r="K97" s="23">
        <f>IFERROR((Inversiones[[#This Row],[Valor Cuotaparte]]-VLOOKUP(Inversiones[[#This Row],[Nombre Inversión]],B98:I110,8,FALSE))/VLOOKUP(Inversiones[[#This Row],[Nombre Inversión]],B99:I111,8,FALSE),"-")</f>
        <v>1.0437537813119762E-3</v>
      </c>
    </row>
    <row r="98" spans="1:18" hidden="1" x14ac:dyDescent="0.35">
      <c r="A98" s="1">
        <v>43445</v>
      </c>
      <c r="B98" t="s">
        <v>78</v>
      </c>
      <c r="C98" t="s">
        <v>82</v>
      </c>
      <c r="D98" s="6">
        <v>0</v>
      </c>
      <c r="E98" s="13">
        <v>0</v>
      </c>
      <c r="F98" s="46">
        <f>IF(Inversiones[[#This Row],[Total Cuotapartes]]=0,0,_xlfn.IFNA(VLOOKUP(Inversiones[[#This Row],[Nombre Inversión]],B99:F107,5,FALSE),0)+Inversiones[[#This Row],[Monto]])</f>
        <v>18999.847907039999</v>
      </c>
      <c r="G98" s="6">
        <f>Inversiones[[#This Row],[Total Cuotapartes]]*Inversiones[[#This Row],[Valor Cuotaparte]]</f>
        <v>22614.128464319994</v>
      </c>
      <c r="H98" s="25">
        <f>_xlfn.IFNA(VLOOKUP(Inversiones[[#This Row],[Nombre Inversión]],B99:H106,7,FALSE),0)+Inversiones[[#This Row],[Cant. Cuotapartes]]</f>
        <v>5606.0599999999986</v>
      </c>
      <c r="I98" s="30">
        <v>4.0338719999999997</v>
      </c>
      <c r="J98" s="7">
        <f>Inversiones[[#This Row],[Saldo Valorizado]]-G99</f>
        <v>23.466967160002241</v>
      </c>
      <c r="K98" s="23">
        <f>IFERROR((Inversiones[[#This Row],[Valor Cuotaparte]]-VLOOKUP(Inversiones[[#This Row],[Nombre Inversión]],B100:I112,8,FALSE))/VLOOKUP(Inversiones[[#This Row],[Nombre Inversión]],B101:I113,8,FALSE),"-")</f>
        <v>1.0398591991891287E-3</v>
      </c>
    </row>
    <row r="99" spans="1:18" hidden="1" x14ac:dyDescent="0.35">
      <c r="A99" s="1">
        <v>43445</v>
      </c>
      <c r="B99" t="s">
        <v>78</v>
      </c>
      <c r="C99" t="s">
        <v>79</v>
      </c>
      <c r="D99" s="6">
        <f>Inversiones[[#This Row],[Cant. Cuotapartes]]*Inversiones[[#This Row],[Valor Cuotaparte]]</f>
        <v>-4000.0275110399998</v>
      </c>
      <c r="E99" s="13">
        <v>-992.64</v>
      </c>
      <c r="F99" s="46">
        <f>IF(Inversiones[[#This Row],[Total Cuotapartes]]=0,0,_xlfn.IFNA(VLOOKUP(Inversiones[[#This Row],[Nombre Inversión]],B100:F108,5,FALSE),0)+Inversiones[[#This Row],[Monto]])</f>
        <v>18999.847907039999</v>
      </c>
      <c r="G99" s="6">
        <f>Inversiones[[#This Row],[Total Cuotapartes]]*Inversiones[[#This Row],[Valor Cuotaparte]]</f>
        <v>22590.661497159992</v>
      </c>
      <c r="H99" s="25">
        <f>_xlfn.IFNA(VLOOKUP(Inversiones[[#This Row],[Nombre Inversión]],B100:H107,7,FALSE),0)+Inversiones[[#This Row],[Cant. Cuotapartes]]</f>
        <v>5606.0599999999986</v>
      </c>
      <c r="I99" s="30">
        <v>4.0296859999999999</v>
      </c>
      <c r="J99" s="7" t="s">
        <v>80</v>
      </c>
      <c r="K99" s="23"/>
    </row>
    <row r="100" spans="1:18" hidden="1" x14ac:dyDescent="0.35">
      <c r="A100" s="1">
        <v>43444</v>
      </c>
      <c r="B100" t="s">
        <v>78</v>
      </c>
      <c r="C100" t="s">
        <v>82</v>
      </c>
      <c r="D100" s="6">
        <v>0</v>
      </c>
      <c r="E100" s="13">
        <v>0</v>
      </c>
      <c r="F100" s="46">
        <f>IF(Inversiones[[#This Row],[Total Cuotapartes]]=0,0,_xlfn.IFNA(VLOOKUP(Inversiones[[#This Row],[Nombre Inversión]],B101:F109,5,FALSE),0)+Inversiones[[#This Row],[Monto]])</f>
        <v>22999.875418079999</v>
      </c>
      <c r="G100" s="6">
        <f>Inversiones[[#This Row],[Total Cuotapartes]]*Inversiones[[#This Row],[Valor Cuotaparte]]</f>
        <v>26590.689008199995</v>
      </c>
      <c r="H100" s="25">
        <f>_xlfn.IFNA(VLOOKUP(Inversiones[[#This Row],[Nombre Inversión]],B101:H108,7,FALSE),0)+Inversiones[[#This Row],[Cant. Cuotapartes]]</f>
        <v>6598.6999999999989</v>
      </c>
      <c r="I100" s="30">
        <v>4.0296859999999999</v>
      </c>
      <c r="J100" s="7">
        <f>IF(ABS(Inversiones[[#This Row],[Saldo Valorizado]]-Inversiones[[#This Row],[Monto Invertido]]-G101+F101)&gt;500,"-",Inversiones[[#This Row],[Saldo Valorizado]]-Inversiones[[#This Row],[Monto Invertido]]-G101+F101)</f>
        <v>27.325216699999146</v>
      </c>
      <c r="K100" s="23">
        <f>IFERROR((Inversiones[[#This Row],[Valor Cuotaparte]]-VLOOKUP(Inversiones[[#This Row],[Nombre Inversión]],B101:I113,8,FALSE))/VLOOKUP(Inversiones[[#This Row],[Nombre Inversión]],B102:I114,8,FALSE),"-")</f>
        <v>1.031882194487673E-3</v>
      </c>
    </row>
    <row r="101" spans="1:18" hidden="1" x14ac:dyDescent="0.35">
      <c r="A101" s="1">
        <v>43441</v>
      </c>
      <c r="B101" t="s">
        <v>78</v>
      </c>
      <c r="C101" t="s">
        <v>82</v>
      </c>
      <c r="D101" s="6">
        <v>0</v>
      </c>
      <c r="E101" s="13">
        <v>0</v>
      </c>
      <c r="F101" s="46">
        <f>IF(Inversiones[[#This Row],[Total Cuotapartes]]=0,0,_xlfn.IFNA(VLOOKUP(Inversiones[[#This Row],[Nombre Inversión]],B102:F110,5,FALSE),0)+Inversiones[[#This Row],[Monto]])</f>
        <v>22999.875418079999</v>
      </c>
      <c r="G101" s="6">
        <f>Inversiones[[#This Row],[Total Cuotapartes]]*Inversiones[[#This Row],[Valor Cuotaparte]]</f>
        <v>26563.363791499996</v>
      </c>
      <c r="H101" s="25">
        <f>_xlfn.IFNA(VLOOKUP(Inversiones[[#This Row],[Nombre Inversión]],B102:H109,7,FALSE),0)+Inversiones[[#This Row],[Cant. Cuotapartes]]</f>
        <v>6598.6999999999989</v>
      </c>
      <c r="I101" s="30">
        <v>4.0255450000000002</v>
      </c>
      <c r="J101" s="7">
        <f>IF(ABS(Inversiones[[#This Row],[Saldo Valorizado]]-Inversiones[[#This Row],[Monto Invertido]]-G102+F102)&gt;500,"-",Inversiones[[#This Row],[Saldo Valorizado]]-Inversiones[[#This Row],[Monto Invertido]]-G102+F102)</f>
        <v>82.417763000004925</v>
      </c>
      <c r="K101" s="23">
        <f>IFERROR((Inversiones[[#This Row],[Valor Cuotaparte]]-VLOOKUP(Inversiones[[#This Row],[Nombre Inversión]],B102:I114,8,FALSE))/VLOOKUP(Inversiones[[#This Row],[Nombre Inversión]],B103:I115,8,FALSE),"-")</f>
        <v>3.1155461011024782E-3</v>
      </c>
    </row>
    <row r="102" spans="1:18" hidden="1" x14ac:dyDescent="0.35">
      <c r="A102" s="1">
        <v>43440</v>
      </c>
      <c r="B102" t="s">
        <v>78</v>
      </c>
      <c r="C102" t="s">
        <v>82</v>
      </c>
      <c r="D102" s="6">
        <v>0</v>
      </c>
      <c r="E102" s="13">
        <v>0</v>
      </c>
      <c r="F102" s="46">
        <f>IF(Inversiones[[#This Row],[Total Cuotapartes]]=0,0,_xlfn.IFNA(VLOOKUP(Inversiones[[#This Row],[Nombre Inversión]],B103:F111,5,FALSE),0)+Inversiones[[#This Row],[Monto]])</f>
        <v>22999.875418079999</v>
      </c>
      <c r="G102" s="6">
        <f>Inversiones[[#This Row],[Total Cuotapartes]]*Inversiones[[#This Row],[Valor Cuotaparte]]</f>
        <v>26480.946028499991</v>
      </c>
      <c r="H102" s="25">
        <f>_xlfn.IFNA(VLOOKUP(Inversiones[[#This Row],[Nombre Inversión]],B103:H110,7,FALSE),0)+Inversiones[[#This Row],[Cant. Cuotapartes]]</f>
        <v>6598.6999999999989</v>
      </c>
      <c r="I102" s="30">
        <v>4.0130549999999996</v>
      </c>
      <c r="J102" s="7">
        <f>IF(ABS(Inversiones[[#This Row],[Saldo Valorizado]]-Inversiones[[#This Row],[Monto Invertido]]-G105+F105)&gt;500,"-",Inversiones[[#This Row],[Saldo Valorizado]]-Inversiones[[#This Row],[Monto Invertido]]-G105+F105)</f>
        <v>27.232834899994486</v>
      </c>
      <c r="K102" s="23">
        <f>IFERROR((Inversiones[[#This Row],[Valor Cuotaparte]]-VLOOKUP(Inversiones[[#This Row],[Nombre Inversión]],B103:I115,8,FALSE))/VLOOKUP(Inversiones[[#This Row],[Nombre Inversión]],B104:I116,8,FALSE),"-")</f>
        <v>1.0294522625498756E-3</v>
      </c>
    </row>
    <row r="103" spans="1:18" hidden="1" x14ac:dyDescent="0.35">
      <c r="A103" s="1">
        <v>43439</v>
      </c>
      <c r="B103" t="s">
        <v>100</v>
      </c>
      <c r="C103" t="s">
        <v>79</v>
      </c>
      <c r="D103" s="6">
        <f>Inversiones[[#This Row],[Cant. Cuotapartes]]*Inversiones[[#This Row],[Valor Cuotaparte]]</f>
        <v>-4810.3944375600004</v>
      </c>
      <c r="E103" s="13">
        <f>-105.96</f>
        <v>-105.96</v>
      </c>
      <c r="F103" s="46">
        <f>IF(Inversiones[[#This Row],[Total Cuotapartes]]=0,0,_xlfn.IFNA(VLOOKUP(Inversiones[[#This Row],[Nombre Inversión]],B104:F112,5,FALSE),0)+Inversiones[[#This Row],[Monto]])</f>
        <v>0</v>
      </c>
      <c r="G103" s="6">
        <f>Inversiones[[#This Row],[Total Cuotapartes]]*Inversiones[[#This Row],[Valor Cuotaparte]]</f>
        <v>0</v>
      </c>
      <c r="H103" s="25">
        <f>_xlfn.IFNA(VLOOKUP(Inversiones[[#This Row],[Nombre Inversión]],B104:H111,7,FALSE),0)+Inversiones[[#This Row],[Cant. Cuotapartes]]</f>
        <v>0</v>
      </c>
      <c r="I103" s="30">
        <v>45.398211000000003</v>
      </c>
      <c r="J103" s="7" t="s">
        <v>80</v>
      </c>
      <c r="K103" s="23"/>
    </row>
    <row r="104" spans="1:18" hidden="1" x14ac:dyDescent="0.35">
      <c r="A104" s="1">
        <v>43439</v>
      </c>
      <c r="B104" t="s">
        <v>100</v>
      </c>
      <c r="C104" t="s">
        <v>82</v>
      </c>
      <c r="D104" s="6">
        <v>0</v>
      </c>
      <c r="E104" s="13">
        <v>0</v>
      </c>
      <c r="F104" s="46">
        <f>IF(Inversiones[[#This Row],[Total Cuotapartes]]=0,0,_xlfn.IFNA(VLOOKUP(Inversiones[[#This Row],[Nombre Inversión]],B105:F113,5,FALSE),0)+Inversiones[[#This Row],[Monto]])</f>
        <v>5000.1536452799992</v>
      </c>
      <c r="G104" s="6">
        <f>Inversiones[[#This Row],[Total Cuotapartes]]*Inversiones[[#This Row],[Valor Cuotaparte]]</f>
        <v>4810.3944375600004</v>
      </c>
      <c r="H104" s="25">
        <f>_xlfn.IFNA(VLOOKUP(Inversiones[[#This Row],[Nombre Inversión]],B105:H112,7,FALSE),0)+Inversiones[[#This Row],[Cant. Cuotapartes]]</f>
        <v>105.96</v>
      </c>
      <c r="I104" s="30">
        <v>45.398211000000003</v>
      </c>
      <c r="J104" s="7">
        <f>IF(ABS(Inversiones[[#This Row],[Saldo Valorizado]]-Inversiones[[#This Row],[Monto Invertido]]-G106+F106)&gt;500,"-",Inversiones[[#This Row],[Saldo Valorizado]]-Inversiones[[#This Row],[Monto Invertido]]-G106+F106)</f>
        <v>-17.510101919999215</v>
      </c>
      <c r="K104" s="36">
        <f>IFERROR((Inversiones[[#This Row],[Valor Cuotaparte]]-VLOOKUP(Inversiones[[#This Row],[Nombre Inversión]],B105:I117,8,FALSE))/VLOOKUP(Inversiones[[#This Row],[Nombre Inversión]],B106:I118,8,FALSE),"-")</f>
        <v>-3.6268533846954367E-3</v>
      </c>
    </row>
    <row r="105" spans="1:18" hidden="1" x14ac:dyDescent="0.35">
      <c r="A105" s="1">
        <v>43439</v>
      </c>
      <c r="B105" t="s">
        <v>78</v>
      </c>
      <c r="C105" t="s">
        <v>82</v>
      </c>
      <c r="D105" s="6">
        <v>0</v>
      </c>
      <c r="E105" s="13">
        <v>0</v>
      </c>
      <c r="F105" s="46">
        <f>IF(Inversiones[[#This Row],[Total Cuotapartes]]=0,0,_xlfn.IFNA(VLOOKUP(Inversiones[[#This Row],[Nombre Inversión]],B106:F114,5,FALSE),0)+Inversiones[[#This Row],[Monto]])</f>
        <v>22999.875418079999</v>
      </c>
      <c r="G105" s="6">
        <f>Inversiones[[#This Row],[Total Cuotapartes]]*Inversiones[[#This Row],[Valor Cuotaparte]]</f>
        <v>26453.713193599997</v>
      </c>
      <c r="H105" s="25">
        <f>_xlfn.IFNA(VLOOKUP(Inversiones[[#This Row],[Nombre Inversión]],B106:H113,7,FALSE),0)+Inversiones[[#This Row],[Cant. Cuotapartes]]</f>
        <v>6598.6999999999989</v>
      </c>
      <c r="I105" s="30">
        <v>4.008928</v>
      </c>
      <c r="J105" s="7">
        <f>IF(ABS(Inversiones[[#This Row],[Saldo Valorizado]]-Inversiones[[#This Row],[Monto Invertido]]-G107+F107)&gt;500,"-",Inversiones[[#This Row],[Saldo Valorizado]]-Inversiones[[#This Row],[Monto Invertido]]-G107+F107)</f>
        <v>27.041472600001725</v>
      </c>
      <c r="K105" s="23">
        <f>IFERROR((Inversiones[[#This Row],[Valor Cuotaparte]]-VLOOKUP(Inversiones[[#This Row],[Nombre Inversión]],B106:I118,8,FALSE))/VLOOKUP(Inversiones[[#This Row],[Nombre Inversión]],B107:I119,8,FALSE),"-")</f>
        <v>1.0232644082270495E-3</v>
      </c>
    </row>
    <row r="106" spans="1:18" hidden="1" x14ac:dyDescent="0.35">
      <c r="A106" s="1">
        <v>43438</v>
      </c>
      <c r="B106" t="s">
        <v>100</v>
      </c>
      <c r="C106" t="s">
        <v>82</v>
      </c>
      <c r="D106" s="6">
        <v>0</v>
      </c>
      <c r="E106" s="13">
        <v>0</v>
      </c>
      <c r="F106" s="46">
        <f>IF(Inversiones[[#This Row],[Total Cuotapartes]]=0,0,_xlfn.IFNA(VLOOKUP(Inversiones[[#This Row],[Nombre Inversión]],B107:F115,5,FALSE),0)+Inversiones[[#This Row],[Monto]])</f>
        <v>5000.1536452799992</v>
      </c>
      <c r="G106" s="6">
        <f>Inversiones[[#This Row],[Total Cuotapartes]]*Inversiones[[#This Row],[Valor Cuotaparte]]</f>
        <v>4827.9045394799996</v>
      </c>
      <c r="H106" s="25">
        <f>_xlfn.IFNA(VLOOKUP(Inversiones[[#This Row],[Nombre Inversión]],B107:H114,7,FALSE),0)+Inversiones[[#This Row],[Cant. Cuotapartes]]</f>
        <v>105.96</v>
      </c>
      <c r="I106" s="31">
        <v>45.563462999999999</v>
      </c>
      <c r="J106" s="7">
        <f>IF(ABS(Inversiones[[#This Row],[Saldo Valorizado]]-Inversiones[[#This Row],[Monto Invertido]]-G108+F108)&gt;500,"-",Inversiones[[#This Row],[Saldo Valorizado]]-Inversiones[[#This Row],[Monto Invertido]]-G108+F108)</f>
        <v>11.881506719999379</v>
      </c>
      <c r="K106" s="36">
        <f>IFERROR((Inversiones[[#This Row],[Valor Cuotaparte]]-VLOOKUP(Inversiones[[#This Row],[Nombre Inversión]],B107:I119,8,FALSE))/VLOOKUP(Inversiones[[#This Row],[Nombre Inversión]],B108:I120,8,FALSE),"-")</f>
        <v>2.467078466854919E-3</v>
      </c>
    </row>
    <row r="107" spans="1:18" hidden="1" x14ac:dyDescent="0.35">
      <c r="A107" s="1">
        <v>43438</v>
      </c>
      <c r="B107" t="s">
        <v>78</v>
      </c>
      <c r="C107" t="s">
        <v>82</v>
      </c>
      <c r="D107" s="6">
        <v>0</v>
      </c>
      <c r="E107" s="13">
        <v>0</v>
      </c>
      <c r="F107" s="46">
        <f>IF(Inversiones[[#This Row],[Total Cuotapartes]]=0,0,_xlfn.IFNA(VLOOKUP(Inversiones[[#This Row],[Nombre Inversión]],B108:F116,5,FALSE),0)+Inversiones[[#This Row],[Monto]])</f>
        <v>22999.875418079999</v>
      </c>
      <c r="G107" s="6">
        <f>Inversiones[[#This Row],[Total Cuotapartes]]*Inversiones[[#This Row],[Valor Cuotaparte]]</f>
        <v>26426.671720999995</v>
      </c>
      <c r="H107" s="25">
        <f>_xlfn.IFNA(VLOOKUP(Inversiones[[#This Row],[Nombre Inversión]],B108:H115,7,FALSE),0)+Inversiones[[#This Row],[Cant. Cuotapartes]]</f>
        <v>6598.6999999999989</v>
      </c>
      <c r="I107" s="30">
        <v>4.0048300000000001</v>
      </c>
      <c r="J107" s="7">
        <f>IF(ABS(Inversiones[[#This Row],[Saldo Valorizado]]-Inversiones[[#This Row],[Monto Invertido]]-G109+F109)&gt;500,"-",Inversiones[[#This Row],[Saldo Valorizado]]-Inversiones[[#This Row],[Monto Invertido]]-G109+F109)</f>
        <v>27.371407599996019</v>
      </c>
      <c r="K107" s="23">
        <f>IFERROR((Inversiones[[#This Row],[Valor Cuotaparte]]-VLOOKUP(Inversiones[[#This Row],[Nombre Inversión]],B108:I120,8,FALSE))/VLOOKUP(Inversiones[[#This Row],[Nombre Inversión]],B109:I121,8,FALSE),"-")</f>
        <v>1.0368232216406649E-3</v>
      </c>
    </row>
    <row r="108" spans="1:18" hidden="1" x14ac:dyDescent="0.35">
      <c r="A108" s="1">
        <v>43437</v>
      </c>
      <c r="B108" t="s">
        <v>100</v>
      </c>
      <c r="C108" t="s">
        <v>82</v>
      </c>
      <c r="D108" s="6">
        <v>0</v>
      </c>
      <c r="E108" s="13">
        <v>0</v>
      </c>
      <c r="F108" s="46">
        <f>IF(Inversiones[[#This Row],[Total Cuotapartes]]=0,0,_xlfn.IFNA(VLOOKUP(Inversiones[[#This Row],[Nombre Inversión]],B109:F117,5,FALSE),0)+Inversiones[[#This Row],[Monto]])</f>
        <v>5000.1536452799992</v>
      </c>
      <c r="G108" s="6">
        <f>Inversiones[[#This Row],[Total Cuotapartes]]*Inversiones[[#This Row],[Valor Cuotaparte]]</f>
        <v>4816.0230327600002</v>
      </c>
      <c r="H108" s="25">
        <f>_xlfn.IFNA(VLOOKUP(Inversiones[[#This Row],[Nombre Inversión]],B109:H116,7,FALSE),0)+Inversiones[[#This Row],[Cant. Cuotapartes]]</f>
        <v>105.96</v>
      </c>
      <c r="I108" s="31">
        <v>45.451331000000003</v>
      </c>
      <c r="J108" s="7">
        <f>IF(ABS(Inversiones[[#This Row],[Saldo Valorizado]]-Inversiones[[#This Row],[Monto Invertido]]-G111+F111)&gt;500,"-",Inversiones[[#This Row],[Saldo Valorizado]]-Inversiones[[#This Row],[Monto Invertido]]-G111+F111)</f>
        <v>86.521849920000022</v>
      </c>
      <c r="K108" s="36">
        <f>IFERROR((Inversiones[[#This Row],[Valor Cuotaparte]]-VLOOKUP(Inversiones[[#This Row],[Nombre Inversión]],B109:I123,8,FALSE))/VLOOKUP(Inversiones[[#This Row],[Nombre Inversión]],B111:I124,8,FALSE),"-")</f>
        <v>1.8294075120210664E-2</v>
      </c>
    </row>
    <row r="109" spans="1:18" hidden="1" x14ac:dyDescent="0.35">
      <c r="A109" s="1">
        <v>43437</v>
      </c>
      <c r="B109" t="s">
        <v>78</v>
      </c>
      <c r="C109" t="s">
        <v>82</v>
      </c>
      <c r="D109" s="6">
        <v>0</v>
      </c>
      <c r="E109" s="13">
        <v>0</v>
      </c>
      <c r="F109" s="46">
        <f>IF(Inversiones[[#This Row],[Total Cuotapartes]]=0,0,_xlfn.IFNA(VLOOKUP(Inversiones[[#This Row],[Nombre Inversión]],B110:F118,5,FALSE),0)+Inversiones[[#This Row],[Monto]])</f>
        <v>22999.875418079999</v>
      </c>
      <c r="G109" s="6">
        <f>Inversiones[[#This Row],[Total Cuotapartes]]*Inversiones[[#This Row],[Valor Cuotaparte]]</f>
        <v>26399.300313399999</v>
      </c>
      <c r="H109" s="25">
        <f>_xlfn.IFNA(VLOOKUP(Inversiones[[#This Row],[Nombre Inversión]],B110:H117,7,FALSE),0)+Inversiones[[#This Row],[Cant. Cuotapartes]]</f>
        <v>6598.6999999999989</v>
      </c>
      <c r="I109" s="31">
        <v>4.0006820000000003</v>
      </c>
      <c r="J109" s="7">
        <f>Inversiones[[#This Row],[Saldo Valorizado]]-G110</f>
        <v>27.391203700004553</v>
      </c>
      <c r="K109" s="23">
        <f>IFERROR((Inversiones[[#This Row],[Valor Cuotaparte]]-VLOOKUP(Inversiones[[#This Row],[Nombre Inversión]],B111:I124,8,FALSE))/VLOOKUP(Inversiones[[#This Row],[Nombre Inversión]],B112:I125,8,FALSE),"-")</f>
        <v>1.038650769880238E-3</v>
      </c>
      <c r="R109">
        <f>105.96*45.398211</f>
        <v>4810.3944375600004</v>
      </c>
    </row>
    <row r="110" spans="1:18" hidden="1" x14ac:dyDescent="0.35">
      <c r="A110" s="1">
        <v>43437</v>
      </c>
      <c r="B110" t="s">
        <v>78</v>
      </c>
      <c r="C110" t="s">
        <v>76</v>
      </c>
      <c r="D110" s="6">
        <f>Inversiones[[#This Row],[Cant. Cuotapartes]]*Inversiones[[#This Row],[Valor Cuotaparte]]</f>
        <v>16000.03192788</v>
      </c>
      <c r="E110" s="25">
        <v>4003.48</v>
      </c>
      <c r="F110" s="46">
        <f>IF(Inversiones[[#This Row],[Total Cuotapartes]]=0,0,_xlfn.IFNA(VLOOKUP(Inversiones[[#This Row],[Nombre Inversión]],B111:F119,5,FALSE),0)+Inversiones[[#This Row],[Monto]])</f>
        <v>22999.875418079999</v>
      </c>
      <c r="G110" s="6">
        <f>Inversiones[[#This Row],[Total Cuotapartes]]*Inversiones[[#This Row],[Valor Cuotaparte]]</f>
        <v>26371.909109699995</v>
      </c>
      <c r="H110" s="25">
        <f>_xlfn.IFNA(VLOOKUP(Inversiones[[#This Row],[Nombre Inversión]],B111:H118,7,FALSE),0)+Inversiones[[#This Row],[Cant. Cuotapartes]]</f>
        <v>6598.6999999999989</v>
      </c>
      <c r="I110" s="30">
        <v>3.9965310000000001</v>
      </c>
      <c r="J110" s="7" t="str">
        <f>IF(ABS(Inversiones[[#This Row],[Saldo Valorizado]]-Inversiones[[#This Row],[Monto Invertido]]-G111+F111)&gt;500,"-",Inversiones[[#This Row],[Saldo Valorizado]]-Inversiones[[#This Row],[Monto Invertido]]-G111+F111)</f>
        <v>-</v>
      </c>
    </row>
    <row r="111" spans="1:18" hidden="1" x14ac:dyDescent="0.35">
      <c r="A111" s="1">
        <v>43433</v>
      </c>
      <c r="B111" t="s">
        <v>100</v>
      </c>
      <c r="C111" t="s">
        <v>82</v>
      </c>
      <c r="D111" s="6">
        <v>0</v>
      </c>
      <c r="E111" s="13">
        <v>0</v>
      </c>
      <c r="F111" s="46">
        <f>IF(Inversiones[[#This Row],[Total Cuotapartes]]=0,0,_xlfn.IFNA(VLOOKUP(Inversiones[[#This Row],[Nombre Inversión]],B112:F120,5,FALSE),0)+Inversiones[[#This Row],[Monto]])</f>
        <v>5000.1536452799992</v>
      </c>
      <c r="G111" s="6">
        <f>Inversiones[[#This Row],[Total Cuotapartes]]*Inversiones[[#This Row],[Valor Cuotaparte]]</f>
        <v>4729.5011828400002</v>
      </c>
      <c r="H111" s="25">
        <f>_xlfn.IFNA(VLOOKUP(Inversiones[[#This Row],[Nombre Inversión]],B112:H119,7,FALSE),0)+Inversiones[[#This Row],[Cant. Cuotapartes]]</f>
        <v>105.96</v>
      </c>
      <c r="I111" s="31">
        <v>44.634779000000002</v>
      </c>
      <c r="J111" s="7">
        <f>IF(ABS(Inversiones[[#This Row],[Saldo Valorizado]]-Inversiones[[#This Row],[Monto Invertido]]-G114+F114)&gt;500,"-",Inversiones[[#This Row],[Saldo Valorizado]]-Inversiones[[#This Row],[Monto Invertido]]-G114+F114)</f>
        <v>23.478934680000748</v>
      </c>
      <c r="K111" s="36">
        <f>IFERROR((Inversiones[[#This Row],[Valor Cuotaparte]]-VLOOKUP(Inversiones[[#This Row],[Nombre Inversión]],B112:I125,8,FALSE))/VLOOKUP(Inversiones[[#This Row],[Nombre Inversión]],B114:I126,8,FALSE),"-")</f>
        <v>4.9891253041101239E-3</v>
      </c>
    </row>
    <row r="112" spans="1:18" hidden="1" x14ac:dyDescent="0.35">
      <c r="A112" s="1">
        <v>43433</v>
      </c>
      <c r="B112" t="s">
        <v>78</v>
      </c>
      <c r="C112" t="s">
        <v>82</v>
      </c>
      <c r="D112" s="6">
        <v>0</v>
      </c>
      <c r="E112" s="13">
        <v>0</v>
      </c>
      <c r="F112" s="46">
        <f>IF(Inversiones[[#This Row],[Total Cuotapartes]]=0,0,_xlfn.IFNA(VLOOKUP(Inversiones[[#This Row],[Nombre Inversión]],B113:F121,5,FALSE),0)+Inversiones[[#This Row],[Monto]])</f>
        <v>6999.843490199999</v>
      </c>
      <c r="G112" s="6">
        <f>Inversiones[[#This Row],[Total Cuotapartes]]*Inversiones[[#This Row],[Valor Cuotaparte]]</f>
        <v>10371.877181819997</v>
      </c>
      <c r="H112" s="25">
        <f>_xlfn.IFNA(VLOOKUP(Inversiones[[#This Row],[Nombre Inversión]],B113:H120,7,FALSE),0)+Inversiones[[#This Row],[Cant. Cuotapartes]]</f>
        <v>2595.2199999999993</v>
      </c>
      <c r="I112" s="30">
        <v>3.9965310000000001</v>
      </c>
      <c r="J112" s="7">
        <f>Inversiones[[#This Row],[Saldo Valorizado]]-G113</f>
        <v>43.464744560000327</v>
      </c>
      <c r="K112" s="23">
        <f>IFERROR((Inversiones[[#This Row],[Valor Cuotaparte]]-VLOOKUP(Inversiones[[#This Row],[Nombre Inversión]],B114:I126,8,FALSE))/VLOOKUP(Inversiones[[#This Row],[Nombre Inversión]],B115:I127,8,FALSE),"-")</f>
        <v>4.2082696468627081E-3</v>
      </c>
    </row>
    <row r="113" spans="1:11" hidden="1" x14ac:dyDescent="0.35">
      <c r="A113" s="1">
        <v>43433</v>
      </c>
      <c r="B113" t="s">
        <v>78</v>
      </c>
      <c r="C113" t="s">
        <v>79</v>
      </c>
      <c r="D113" s="6">
        <f>Inversiones[[#This Row],[Cant. Cuotapartes]]*Inversiones[[#This Row],[Valor Cuotaparte]]</f>
        <v>-2000.00014882</v>
      </c>
      <c r="E113" s="13">
        <v>-502.54</v>
      </c>
      <c r="F113" s="46">
        <f>IF(Inversiones[[#This Row],[Total Cuotapartes]]=0,0,_xlfn.IFNA(VLOOKUP(Inversiones[[#This Row],[Nombre Inversión]],B114:F122,5,FALSE),0)+Inversiones[[#This Row],[Monto]])</f>
        <v>6999.843490199999</v>
      </c>
      <c r="G113" s="6">
        <f>Inversiones[[#This Row],[Total Cuotapartes]]*Inversiones[[#This Row],[Valor Cuotaparte]]</f>
        <v>10328.412437259996</v>
      </c>
      <c r="H113" s="25">
        <f>_xlfn.IFNA(VLOOKUP(Inversiones[[#This Row],[Nombre Inversión]],B114:H121,7,FALSE),0)+Inversiones[[#This Row],[Cant. Cuotapartes]]</f>
        <v>2595.2199999999993</v>
      </c>
      <c r="I113" s="30">
        <v>3.9797829999999998</v>
      </c>
      <c r="J113" s="7" t="str">
        <f>IF(ABS(Inversiones[[#This Row],[Saldo Valorizado]]-Inversiones[[#This Row],[Monto Invertido]]-G114+F114)&gt;500,"-",Inversiones[[#This Row],[Saldo Valorizado]]-Inversiones[[#This Row],[Monto Invertido]]-G114+F114)</f>
        <v>-</v>
      </c>
      <c r="K113" s="23"/>
    </row>
    <row r="114" spans="1:11" hidden="1" x14ac:dyDescent="0.35">
      <c r="A114" s="1">
        <v>43432</v>
      </c>
      <c r="B114" t="s">
        <v>100</v>
      </c>
      <c r="C114" t="s">
        <v>82</v>
      </c>
      <c r="D114" s="6">
        <v>0</v>
      </c>
      <c r="E114" s="13">
        <v>0</v>
      </c>
      <c r="F114" s="46">
        <f>IF(Inversiones[[#This Row],[Total Cuotapartes]]=0,0,_xlfn.IFNA(VLOOKUP(Inversiones[[#This Row],[Nombre Inversión]],B115:F123,5,FALSE),0)+Inversiones[[#This Row],[Monto]])</f>
        <v>5000.1536452799992</v>
      </c>
      <c r="G114" s="6">
        <f>Inversiones[[#This Row],[Total Cuotapartes]]*Inversiones[[#This Row],[Valor Cuotaparte]]</f>
        <v>4706.0222481599994</v>
      </c>
      <c r="H114" s="25">
        <f>_xlfn.IFNA(VLOOKUP(Inversiones[[#This Row],[Nombre Inversión]],B115:H122,7,FALSE),0)+Inversiones[[#This Row],[Cant. Cuotapartes]]</f>
        <v>105.96</v>
      </c>
      <c r="I114" s="31">
        <v>44.413195999999999</v>
      </c>
      <c r="J114" s="7">
        <f>IF(ABS(Inversiones[[#This Row],[Saldo Valorizado]]-Inversiones[[#This Row],[Monto Invertido]]-G116+F116)&gt;500,"-",Inversiones[[#This Row],[Saldo Valorizado]]-Inversiones[[#This Row],[Monto Invertido]]-G116+F116)</f>
        <v>40.740136559999883</v>
      </c>
      <c r="K114" s="36">
        <f>IFERROR((Inversiones[[#This Row],[Valor Cuotaparte]]-VLOOKUP(Inversiones[[#This Row],[Nombre Inversión]],B115:I127,8,FALSE))/VLOOKUP(Inversiones[[#This Row],[Nombre Inversión]],B116:I128,8,FALSE),"-")</f>
        <v>8.7326201471722101E-3</v>
      </c>
    </row>
    <row r="115" spans="1:11" hidden="1" x14ac:dyDescent="0.35">
      <c r="A115" s="1">
        <v>43432</v>
      </c>
      <c r="B115" t="s">
        <v>78</v>
      </c>
      <c r="C115" t="s">
        <v>82</v>
      </c>
      <c r="D115" s="6">
        <v>0</v>
      </c>
      <c r="E115" s="13">
        <v>0</v>
      </c>
      <c r="F115" s="46">
        <f>IF(Inversiones[[#This Row],[Total Cuotapartes]]=0,0,_xlfn.IFNA(VLOOKUP(Inversiones[[#This Row],[Nombre Inversión]],B116:F124,5,FALSE),0)+Inversiones[[#This Row],[Monto]])</f>
        <v>8999.8436390199986</v>
      </c>
      <c r="G115" s="6">
        <f>Inversiones[[#This Row],[Total Cuotapartes]]*Inversiones[[#This Row],[Valor Cuotaparte]]</f>
        <v>12328.412586079996</v>
      </c>
      <c r="H115" s="25">
        <f>_xlfn.IFNA(VLOOKUP(Inversiones[[#This Row],[Nombre Inversión]],B116:H123,7,FALSE),0)+Inversiones[[#This Row],[Cant. Cuotapartes]]</f>
        <v>3097.7599999999993</v>
      </c>
      <c r="I115" s="30">
        <v>3.9797829999999998</v>
      </c>
      <c r="J115" s="7">
        <f>IF(ABS(Inversiones[[#This Row],[Saldo Valorizado]]-Inversiones[[#This Row],[Monto Invertido]]-G117+F117)&gt;500,"-",Inversiones[[#This Row],[Saldo Valorizado]]-Inversiones[[#This Row],[Monto Invertido]]-G117+F117)</f>
        <v>12.899072639998849</v>
      </c>
      <c r="K115" s="23">
        <f>IFERROR((Inversiones[[#This Row],[Valor Cuotaparte]]-VLOOKUP(Inversiones[[#This Row],[Nombre Inversión]],B116:I128,8,FALSE))/VLOOKUP(Inversiones[[#This Row],[Nombre Inversión]],B117:I129,8,FALSE),"-")</f>
        <v>1.0473840677388438E-3</v>
      </c>
    </row>
    <row r="116" spans="1:11" hidden="1" x14ac:dyDescent="0.35">
      <c r="A116" s="1">
        <v>43431</v>
      </c>
      <c r="B116" t="s">
        <v>100</v>
      </c>
      <c r="C116" t="s">
        <v>82</v>
      </c>
      <c r="D116" s="6">
        <v>0</v>
      </c>
      <c r="E116" s="13">
        <v>0</v>
      </c>
      <c r="F116" s="46">
        <f>IF(Inversiones[[#This Row],[Total Cuotapartes]]=0,0,_xlfn.IFNA(VLOOKUP(Inversiones[[#This Row],[Nombre Inversión]],B117:F125,5,FALSE),0)+Inversiones[[#This Row],[Monto]])</f>
        <v>5000.1536452799992</v>
      </c>
      <c r="G116" s="6">
        <f>Inversiones[[#This Row],[Total Cuotapartes]]*Inversiones[[#This Row],[Valor Cuotaparte]]</f>
        <v>4665.2821115999996</v>
      </c>
      <c r="H116" s="25">
        <f>_xlfn.IFNA(VLOOKUP(Inversiones[[#This Row],[Nombre Inversión]],B117:H124,7,FALSE),0)+Inversiones[[#This Row],[Cant. Cuotapartes]]</f>
        <v>105.96</v>
      </c>
      <c r="I116" s="31">
        <v>44.028709999999997</v>
      </c>
      <c r="J116" s="7">
        <f>IF(ABS(Inversiones[[#This Row],[Saldo Valorizado]]-Inversiones[[#This Row],[Monto Invertido]]-G118+F118)&gt;500,"-",Inversiones[[#This Row],[Saldo Valorizado]]-Inversiones[[#This Row],[Monto Invertido]]-G118+F118)</f>
        <v>-62.541406560000723</v>
      </c>
      <c r="K116" s="36">
        <f>IFERROR((Inversiones[[#This Row],[Valor Cuotaparte]]-VLOOKUP(Inversiones[[#This Row],[Nombre Inversión]],B117:I129,8,FALSE))/VLOOKUP(Inversiones[[#This Row],[Nombre Inversión]],B118:I130,8,FALSE),"-")</f>
        <v>-1.3228371642844374E-2</v>
      </c>
    </row>
    <row r="117" spans="1:11" hidden="1" x14ac:dyDescent="0.35">
      <c r="A117" s="1">
        <v>43431</v>
      </c>
      <c r="B117" t="s">
        <v>78</v>
      </c>
      <c r="C117" t="s">
        <v>82</v>
      </c>
      <c r="D117" s="6">
        <v>0</v>
      </c>
      <c r="E117" s="13">
        <v>0</v>
      </c>
      <c r="F117" s="46">
        <f>IF(Inversiones[[#This Row],[Total Cuotapartes]]=0,0,_xlfn.IFNA(VLOOKUP(Inversiones[[#This Row],[Nombre Inversión]],B118:F126,5,FALSE),0)+Inversiones[[#This Row],[Monto]])</f>
        <v>8999.8436390199986</v>
      </c>
      <c r="G117" s="6">
        <f>Inversiones[[#This Row],[Total Cuotapartes]]*Inversiones[[#This Row],[Valor Cuotaparte]]</f>
        <v>12315.513513439997</v>
      </c>
      <c r="H117" s="25">
        <f>_xlfn.IFNA(VLOOKUP(Inversiones[[#This Row],[Nombre Inversión]],B118:H125,7,FALSE),0)+Inversiones[[#This Row],[Cant. Cuotapartes]]</f>
        <v>3097.7599999999993</v>
      </c>
      <c r="I117" s="30">
        <v>3.975619</v>
      </c>
      <c r="J117" s="7">
        <f>IF(ABS(Inversiones[[#This Row],[Saldo Valorizado]]-Inversiones[[#This Row],[Monto Invertido]]-G119+F119)&gt;500,"-",Inversiones[[#This Row],[Saldo Valorizado]]-Inversiones[[#This Row],[Monto Invertido]]-G119+F119)</f>
        <v>12.892877119998957</v>
      </c>
      <c r="K117" s="23">
        <f>IFERROR((Inversiones[[#This Row],[Valor Cuotaparte]]-VLOOKUP(Inversiones[[#This Row],[Nombre Inversión]],B118:I130,8,FALSE))/VLOOKUP(Inversiones[[#This Row],[Nombre Inversión]],B119:I131,8,FALSE),"-")</f>
        <v>1.0479781097969835E-3</v>
      </c>
    </row>
    <row r="118" spans="1:11" hidden="1" x14ac:dyDescent="0.35">
      <c r="A118" s="1">
        <v>43430</v>
      </c>
      <c r="B118" t="s">
        <v>100</v>
      </c>
      <c r="C118" t="s">
        <v>82</v>
      </c>
      <c r="D118" s="6">
        <v>0</v>
      </c>
      <c r="E118" s="13">
        <v>0</v>
      </c>
      <c r="F118" s="46">
        <f>IF(Inversiones[[#This Row],[Total Cuotapartes]]=0,0,_xlfn.IFNA(VLOOKUP(Inversiones[[#This Row],[Nombre Inversión]],B119:F127,5,FALSE),0)+Inversiones[[#This Row],[Monto]])</f>
        <v>5000.1536452799992</v>
      </c>
      <c r="G118" s="6">
        <f>Inversiones[[#This Row],[Total Cuotapartes]]*Inversiones[[#This Row],[Valor Cuotaparte]]</f>
        <v>4727.8235181600003</v>
      </c>
      <c r="H118" s="25">
        <f>_xlfn.IFNA(VLOOKUP(Inversiones[[#This Row],[Nombre Inversión]],B119:H126,7,FALSE),0)+Inversiones[[#This Row],[Cant. Cuotapartes]]</f>
        <v>105.96</v>
      </c>
      <c r="I118" s="31">
        <v>44.618946000000001</v>
      </c>
      <c r="J118" s="7">
        <f>IF(ABS(Inversiones[[#This Row],[Saldo Valorizado]]-Inversiones[[#This Row],[Monto Invertido]]-G120+F120)&gt;500,"-",Inversiones[[#This Row],[Saldo Valorizado]]-Inversiones[[#This Row],[Monto Invertido]]-G120+F120)</f>
        <v>73.724636880000617</v>
      </c>
      <c r="K118" s="36">
        <f>IFERROR((Inversiones[[#This Row],[Valor Cuotaparte]]-VLOOKUP(Inversiones[[#This Row],[Nombre Inversión]],B119:I131,8,FALSE))/VLOOKUP(Inversiones[[#This Row],[Nombre Inversión]],B120:I132,8,FALSE),"-")</f>
        <v>1.5840797275825009E-2</v>
      </c>
    </row>
    <row r="119" spans="1:11" hidden="1" x14ac:dyDescent="0.35">
      <c r="A119" s="1">
        <v>43430</v>
      </c>
      <c r="B119" t="s">
        <v>78</v>
      </c>
      <c r="C119" t="s">
        <v>82</v>
      </c>
      <c r="D119" s="6">
        <v>0</v>
      </c>
      <c r="E119" s="13">
        <v>0</v>
      </c>
      <c r="F119" s="46">
        <f>IF(Inversiones[[#This Row],[Total Cuotapartes]]=0,0,_xlfn.IFNA(VLOOKUP(Inversiones[[#This Row],[Nombre Inversión]],B120:F128,5,FALSE),0)+Inversiones[[#This Row],[Monto]])</f>
        <v>8999.8436390199986</v>
      </c>
      <c r="G119" s="6">
        <f>Inversiones[[#This Row],[Total Cuotapartes]]*Inversiones[[#This Row],[Valor Cuotaparte]]</f>
        <v>12302.620636319998</v>
      </c>
      <c r="H119" s="25">
        <f>_xlfn.IFNA(VLOOKUP(Inversiones[[#This Row],[Nombre Inversión]],B120:H127,7,FALSE),0)+Inversiones[[#This Row],[Cant. Cuotapartes]]</f>
        <v>3097.7599999999993</v>
      </c>
      <c r="I119" s="30">
        <v>3.971457</v>
      </c>
      <c r="J119" s="7">
        <f>IF(ABS(Inversiones[[#This Row],[Saldo Valorizado]]-Inversiones[[#This Row],[Monto Invertido]]-G121+F121)&gt;500,"-",Inversiones[[#This Row],[Saldo Valorizado]]-Inversiones[[#This Row],[Monto Invertido]]-G121+F121)</f>
        <v>12.908365920000506</v>
      </c>
      <c r="K119" s="23">
        <f>IFERROR((Inversiones[[#This Row],[Valor Cuotaparte]]-VLOOKUP(Inversiones[[#This Row],[Nombre Inversión]],B120:I132,8,FALSE))/VLOOKUP(Inversiones[[#This Row],[Nombre Inversión]],B121:I133,8,FALSE),"-")</f>
        <v>1.050339148385878E-3</v>
      </c>
    </row>
    <row r="120" spans="1:11" hidden="1" x14ac:dyDescent="0.35">
      <c r="A120" s="1">
        <v>43427</v>
      </c>
      <c r="B120" t="s">
        <v>100</v>
      </c>
      <c r="C120" t="s">
        <v>82</v>
      </c>
      <c r="D120" s="6">
        <v>0</v>
      </c>
      <c r="E120" s="13">
        <v>0</v>
      </c>
      <c r="F120" s="46">
        <f>IF(Inversiones[[#This Row],[Total Cuotapartes]]=0,0,_xlfn.IFNA(VLOOKUP(Inversiones[[#This Row],[Nombre Inversión]],B121:F129,5,FALSE),0)+Inversiones[[#This Row],[Monto]])</f>
        <v>5000.1536452799992</v>
      </c>
      <c r="G120" s="6">
        <f>Inversiones[[#This Row],[Total Cuotapartes]]*Inversiones[[#This Row],[Valor Cuotaparte]]</f>
        <v>4654.0988812799997</v>
      </c>
      <c r="H120" s="25">
        <f>_xlfn.IFNA(VLOOKUP(Inversiones[[#This Row],[Nombre Inversión]],B121:H128,7,FALSE),0)+Inversiones[[#This Row],[Cant. Cuotapartes]]</f>
        <v>105.96</v>
      </c>
      <c r="I120" s="31">
        <v>43.923167999999997</v>
      </c>
      <c r="J120" s="7">
        <f>IF(ABS(Inversiones[[#This Row],[Saldo Valorizado]]-Inversiones[[#This Row],[Monto Invertido]]-G123+F123)&gt;500,"-",Inversiones[[#This Row],[Saldo Valorizado]]-Inversiones[[#This Row],[Monto Invertido]]-G123+F123)</f>
        <v>64.178064719999384</v>
      </c>
      <c r="K120" s="36">
        <f>IFERROR((Inversiones[[#This Row],[Valor Cuotaparte]]-VLOOKUP(Inversiones[[#This Row],[Nombre Inversión]],B121:I134,8,FALSE))/VLOOKUP(Inversiones[[#This Row],[Nombre Inversión]],B123:I135,8,FALSE),"-")</f>
        <v>1.398239039079956E-2</v>
      </c>
    </row>
    <row r="121" spans="1:11" hidden="1" x14ac:dyDescent="0.35">
      <c r="A121" s="1">
        <v>43427</v>
      </c>
      <c r="B121" t="s">
        <v>78</v>
      </c>
      <c r="C121" t="s">
        <v>82</v>
      </c>
      <c r="D121" s="6">
        <v>0</v>
      </c>
      <c r="E121" s="13">
        <v>0</v>
      </c>
      <c r="F121" s="46">
        <f>IF(Inversiones[[#This Row],[Total Cuotapartes]]=0,0,_xlfn.IFNA(VLOOKUP(Inversiones[[#This Row],[Nombre Inversión]],B122:F130,5,FALSE),0)+Inversiones[[#This Row],[Monto]])</f>
        <v>8999.8436390199986</v>
      </c>
      <c r="G121" s="6">
        <f>Inversiones[[#This Row],[Total Cuotapartes]]*Inversiones[[#This Row],[Valor Cuotaparte]]</f>
        <v>12289.712270399998</v>
      </c>
      <c r="H121" s="25">
        <f>_xlfn.IFNA(VLOOKUP(Inversiones[[#This Row],[Nombre Inversión]],B122:H129,7,FALSE),0)+Inversiones[[#This Row],[Cant. Cuotapartes]]</f>
        <v>3097.7599999999993</v>
      </c>
      <c r="I121" s="30">
        <v>3.9672900000000002</v>
      </c>
      <c r="J121" s="7">
        <f>Inversiones[[#This Row],[Saldo Valorizado]]-G122</f>
        <v>38.718902239999807</v>
      </c>
      <c r="K121" s="23">
        <f>IFERROR((Inversiones[[#This Row],[Valor Cuotaparte]]-VLOOKUP(Inversiones[[#This Row],[Nombre Inversión]],B123:I135,8,FALSE))/VLOOKUP(Inversiones[[#This Row],[Nombre Inversión]],B124:I136,8,FALSE),"-")</f>
        <v>3.1604704268822391E-3</v>
      </c>
    </row>
    <row r="122" spans="1:11" hidden="1" x14ac:dyDescent="0.35">
      <c r="A122" s="1">
        <v>43427</v>
      </c>
      <c r="B122" t="s">
        <v>78</v>
      </c>
      <c r="C122" t="s">
        <v>79</v>
      </c>
      <c r="D122" s="6">
        <f>Inversiones[[#This Row],[Cant. Cuotapartes]]*Inversiones[[#This Row],[Valor Cuotaparte]]</f>
        <v>-5000.0027133900003</v>
      </c>
      <c r="E122" s="13">
        <v>-1264.29</v>
      </c>
      <c r="F122" s="46">
        <f>IF(Inversiones[[#This Row],[Total Cuotapartes]]=0,0,_xlfn.IFNA(VLOOKUP(Inversiones[[#This Row],[Nombre Inversión]],B123:F131,5,FALSE),0)+Inversiones[[#This Row],[Monto]])</f>
        <v>8999.8436390199986</v>
      </c>
      <c r="G122" s="6">
        <f>Inversiones[[#This Row],[Total Cuotapartes]]*Inversiones[[#This Row],[Valor Cuotaparte]]</f>
        <v>12250.993368159998</v>
      </c>
      <c r="H122" s="25">
        <f>_xlfn.IFNA(VLOOKUP(Inversiones[[#This Row],[Nombre Inversión]],B123:H130,7,FALSE),0)+Inversiones[[#This Row],[Cant. Cuotapartes]]</f>
        <v>3097.7599999999993</v>
      </c>
      <c r="I122" s="30">
        <v>3.9547910000000002</v>
      </c>
      <c r="J122" s="7" t="str">
        <f>IF(ABS(Inversiones[[#This Row],[Saldo Valorizado]]-Inversiones[[#This Row],[Monto Invertido]]-G123+F123)&gt;500,"-",Inversiones[[#This Row],[Saldo Valorizado]]-Inversiones[[#This Row],[Monto Invertido]]-G123+F123)</f>
        <v>-</v>
      </c>
      <c r="K122" s="23"/>
    </row>
    <row r="123" spans="1:11" hidden="1" x14ac:dyDescent="0.35">
      <c r="A123" s="1">
        <v>43426</v>
      </c>
      <c r="B123" t="s">
        <v>100</v>
      </c>
      <c r="C123" t="s">
        <v>82</v>
      </c>
      <c r="D123" s="6">
        <v>0</v>
      </c>
      <c r="E123" s="13">
        <v>0</v>
      </c>
      <c r="F123" s="46">
        <f>IF(Inversiones[[#This Row],[Total Cuotapartes]]=0,0,_xlfn.IFNA(VLOOKUP(Inversiones[[#This Row],[Nombre Inversión]],B124:F132,5,FALSE),0)+Inversiones[[#This Row],[Monto]])</f>
        <v>5000.1536452799992</v>
      </c>
      <c r="G123" s="6">
        <f>Inversiones[[#This Row],[Total Cuotapartes]]*Inversiones[[#This Row],[Valor Cuotaparte]]</f>
        <v>4589.9208165600003</v>
      </c>
      <c r="H123" s="25">
        <f>_xlfn.IFNA(VLOOKUP(Inversiones[[#This Row],[Nombre Inversión]],B124:H131,7,FALSE),0)+Inversiones[[#This Row],[Cant. Cuotapartes]]</f>
        <v>105.96</v>
      </c>
      <c r="I123" s="31">
        <v>43.317486000000002</v>
      </c>
      <c r="J123" s="7">
        <f>IF(ABS(Inversiones[[#This Row],[Saldo Valorizado]]-Inversiones[[#This Row],[Monto Invertido]]-G125+F125)&gt;500,"-",Inversiones[[#This Row],[Saldo Valorizado]]-Inversiones[[#This Row],[Monto Invertido]]-G125+F125)</f>
        <v>8.1190790400005426</v>
      </c>
      <c r="K123" s="36">
        <f>IFERROR((Inversiones[[#This Row],[Valor Cuotaparte]]-VLOOKUP(Inversiones[[#This Row],[Nombre Inversión]],B124:I136,8,FALSE))/VLOOKUP(Inversiones[[#This Row],[Nombre Inversión]],B125:I137,8,FALSE),"-")</f>
        <v>1.7720275789137245E-3</v>
      </c>
    </row>
    <row r="124" spans="1:11" hidden="1" x14ac:dyDescent="0.35">
      <c r="A124" s="1">
        <v>43426</v>
      </c>
      <c r="B124" t="s">
        <v>78</v>
      </c>
      <c r="C124" t="s">
        <v>82</v>
      </c>
      <c r="D124" s="6">
        <v>0</v>
      </c>
      <c r="E124" s="13">
        <v>0</v>
      </c>
      <c r="F124" s="46">
        <f>IF(Inversiones[[#This Row],[Total Cuotapartes]]=0,0,_xlfn.IFNA(VLOOKUP(Inversiones[[#This Row],[Nombre Inversión]],B125:F133,5,FALSE),0)+Inversiones[[#This Row],[Monto]])</f>
        <v>13999.846352409999</v>
      </c>
      <c r="G124" s="6">
        <f>Inversiones[[#This Row],[Total Cuotapartes]]*Inversiones[[#This Row],[Valor Cuotaparte]]</f>
        <v>17250.996081549998</v>
      </c>
      <c r="H124" s="25">
        <f>_xlfn.IFNA(VLOOKUP(Inversiones[[#This Row],[Nombre Inversión]],B125:H132,7,FALSE),0)+Inversiones[[#This Row],[Cant. Cuotapartes]]</f>
        <v>4362.0499999999993</v>
      </c>
      <c r="I124" s="30">
        <v>3.9547910000000002</v>
      </c>
      <c r="J124" s="7">
        <f>IF(ABS(Inversiones[[#This Row],[Saldo Valorizado]]-Inversiones[[#This Row],[Monto Invertido]]-G126+F126)&gt;500,"-",Inversiones[[#This Row],[Saldo Valorizado]]-Inversiones[[#This Row],[Monto Invertido]]-G126+F126)</f>
        <v>18.163576200000534</v>
      </c>
      <c r="K124" s="23">
        <f>IFERROR((Inversiones[[#This Row],[Valor Cuotaparte]]-VLOOKUP(Inversiones[[#This Row],[Nombre Inversión]],B125:I137,8,FALSE))/VLOOKUP(Inversiones[[#This Row],[Nombre Inversión]],B126:I138,8,FALSE),"-")</f>
        <v>1.0540099077944536E-3</v>
      </c>
    </row>
    <row r="125" spans="1:11" hidden="1" x14ac:dyDescent="0.35">
      <c r="A125" s="1">
        <v>43425</v>
      </c>
      <c r="B125" t="s">
        <v>100</v>
      </c>
      <c r="C125" t="s">
        <v>82</v>
      </c>
      <c r="D125" s="6">
        <v>0</v>
      </c>
      <c r="E125" s="13">
        <v>0</v>
      </c>
      <c r="F125" s="46">
        <f>IF(Inversiones[[#This Row],[Total Cuotapartes]]=0,0,_xlfn.IFNA(VLOOKUP(Inversiones[[#This Row],[Nombre Inversión]],B126:F134,5,FALSE),0)+Inversiones[[#This Row],[Monto]])</f>
        <v>5000.1536452799992</v>
      </c>
      <c r="G125" s="6">
        <f>Inversiones[[#This Row],[Total Cuotapartes]]*Inversiones[[#This Row],[Valor Cuotaparte]]</f>
        <v>4581.8017375199997</v>
      </c>
      <c r="H125" s="25">
        <f>_xlfn.IFNA(VLOOKUP(Inversiones[[#This Row],[Nombre Inversión]],B126:H133,7,FALSE),0)+Inversiones[[#This Row],[Cant. Cuotapartes]]</f>
        <v>105.96</v>
      </c>
      <c r="I125" s="31">
        <v>43.240862</v>
      </c>
      <c r="J125" s="7">
        <f>IF(ABS(Inversiones[[#This Row],[Saldo Valorizado]]-Inversiones[[#This Row],[Monto Invertido]]-G128+F128)&gt;500,"-",Inversiones[[#This Row],[Saldo Valorizado]]-Inversiones[[#This Row],[Monto Invertido]]-G128+F128)</f>
        <v>84.947390280000036</v>
      </c>
      <c r="K125" s="36">
        <f>IFERROR((Inversiones[[#This Row],[Valor Cuotaparte]]-VLOOKUP(Inversiones[[#This Row],[Nombre Inversión]],B126:I139,8,FALSE))/VLOOKUP(Inversiones[[#This Row],[Nombre Inversión]],B128:I140,8,FALSE),"-")</f>
        <v>1.8890402872874353E-2</v>
      </c>
    </row>
    <row r="126" spans="1:11" hidden="1" x14ac:dyDescent="0.35">
      <c r="A126" s="1">
        <v>43425</v>
      </c>
      <c r="B126" t="s">
        <v>78</v>
      </c>
      <c r="C126" t="s">
        <v>82</v>
      </c>
      <c r="D126" s="6">
        <v>0</v>
      </c>
      <c r="E126" s="13">
        <v>0</v>
      </c>
      <c r="F126" s="46">
        <f>IF(Inversiones[[#This Row],[Total Cuotapartes]]=0,0,_xlfn.IFNA(VLOOKUP(Inversiones[[#This Row],[Nombre Inversión]],B127:F135,5,FALSE),0)+Inversiones[[#This Row],[Monto]])</f>
        <v>13999.846352409999</v>
      </c>
      <c r="G126" s="6">
        <f>Inversiones[[#This Row],[Total Cuotapartes]]*Inversiones[[#This Row],[Valor Cuotaparte]]</f>
        <v>17232.832505349998</v>
      </c>
      <c r="H126" s="25">
        <f>_xlfn.IFNA(VLOOKUP(Inversiones[[#This Row],[Nombre Inversión]],B127:H134,7,FALSE),0)+Inversiones[[#This Row],[Cant. Cuotapartes]]</f>
        <v>4362.0499999999993</v>
      </c>
      <c r="I126" s="30">
        <v>3.9506269999999999</v>
      </c>
      <c r="J126" s="7">
        <f>Inversiones[[#This Row],[Saldo Valorizado]]-G127</f>
        <v>18.215920800001186</v>
      </c>
      <c r="K126" s="23">
        <f>IFERROR((Inversiones[[#This Row],[Valor Cuotaparte]]-VLOOKUP(Inversiones[[#This Row],[Nombre Inversión]],B128:I140,8,FALSE))/VLOOKUP(Inversiones[[#This Row],[Nombre Inversión]],B129:I141,8,FALSE),"-")</f>
        <v>1.0581659318713789E-3</v>
      </c>
    </row>
    <row r="127" spans="1:11" hidden="1" x14ac:dyDescent="0.35">
      <c r="A127" s="1">
        <v>43425</v>
      </c>
      <c r="B127" t="s">
        <v>78</v>
      </c>
      <c r="C127" t="s">
        <v>79</v>
      </c>
      <c r="D127" s="6">
        <f>Inversiones[[#This Row],[Cant. Cuotapartes]]*Inversiones[[#This Row],[Valor Cuotaparte]]</f>
        <v>-1000.0306834</v>
      </c>
      <c r="E127" s="13">
        <v>-253.4</v>
      </c>
      <c r="F127" s="46">
        <f>IF(Inversiones[[#This Row],[Total Cuotapartes]]=0,0,_xlfn.IFNA(VLOOKUP(Inversiones[[#This Row],[Nombre Inversión]],B128:F136,5,FALSE),0)+Inversiones[[#This Row],[Monto]])</f>
        <v>13999.846352409999</v>
      </c>
      <c r="G127" s="6">
        <f>Inversiones[[#This Row],[Total Cuotapartes]]*Inversiones[[#This Row],[Valor Cuotaparte]]</f>
        <v>17214.616584549996</v>
      </c>
      <c r="H127" s="25">
        <f>_xlfn.IFNA(VLOOKUP(Inversiones[[#This Row],[Nombre Inversión]],B128:H135,7,FALSE),0)+Inversiones[[#This Row],[Cant. Cuotapartes]]</f>
        <v>4362.0499999999993</v>
      </c>
      <c r="I127" s="31">
        <v>3.9464510000000002</v>
      </c>
      <c r="J127" s="7" t="str">
        <f>IF(ABS(Inversiones[[#This Row],[Saldo Valorizado]]-Inversiones[[#This Row],[Monto Invertido]]-G128+F128)&gt;500,"-",Inversiones[[#This Row],[Saldo Valorizado]]-Inversiones[[#This Row],[Monto Invertido]]-G128+F128)</f>
        <v>-</v>
      </c>
      <c r="K127" s="23"/>
    </row>
    <row r="128" spans="1:11" hidden="1" x14ac:dyDescent="0.35">
      <c r="A128" s="1">
        <v>43424</v>
      </c>
      <c r="B128" t="s">
        <v>100</v>
      </c>
      <c r="C128" t="s">
        <v>82</v>
      </c>
      <c r="D128" s="6">
        <v>0</v>
      </c>
      <c r="E128" s="13">
        <v>0</v>
      </c>
      <c r="F128" s="46">
        <f>IF(Inversiones[[#This Row],[Total Cuotapartes]]=0,0,_xlfn.IFNA(VLOOKUP(Inversiones[[#This Row],[Nombre Inversión]],B129:F137,5,FALSE),0)+Inversiones[[#This Row],[Monto]])</f>
        <v>5000.1536452799992</v>
      </c>
      <c r="G128" s="6">
        <f>Inversiones[[#This Row],[Total Cuotapartes]]*Inversiones[[#This Row],[Valor Cuotaparte]]</f>
        <v>4496.8543472399997</v>
      </c>
      <c r="H128" s="25">
        <f>_xlfn.IFNA(VLOOKUP(Inversiones[[#This Row],[Nombre Inversión]],B129:H136,7,FALSE),0)+Inversiones[[#This Row],[Cant. Cuotapartes]]</f>
        <v>105.96</v>
      </c>
      <c r="I128" s="31">
        <v>42.439169</v>
      </c>
      <c r="J128" s="7">
        <f>IF(ABS(Inversiones[[#This Row],[Saldo Valorizado]]-Inversiones[[#This Row],[Monto Invertido]]-G130+F130)&gt;500,"-",Inversiones[[#This Row],[Saldo Valorizado]]-Inversiones[[#This Row],[Monto Invertido]]-G130+F130)</f>
        <v>-224.01830088000042</v>
      </c>
      <c r="K128" s="36">
        <f>IFERROR((Inversiones[[#This Row],[Valor Cuotaparte]]-VLOOKUP(Inversiones[[#This Row],[Nombre Inversión]],B129:I141,8,FALSE))/VLOOKUP(Inversiones[[#This Row],[Nombre Inversión]],B130:I142,8,FALSE),"-")</f>
        <v>-4.7452731216804038E-2</v>
      </c>
    </row>
    <row r="129" spans="1:11" hidden="1" x14ac:dyDescent="0.35">
      <c r="A129" s="1">
        <v>43424</v>
      </c>
      <c r="B129" t="s">
        <v>78</v>
      </c>
      <c r="C129" t="s">
        <v>82</v>
      </c>
      <c r="D129" s="6">
        <v>0</v>
      </c>
      <c r="E129" s="13">
        <v>0</v>
      </c>
      <c r="F129" s="46">
        <f>IF(Inversiones[[#This Row],[Total Cuotapartes]]=0,0,_xlfn.IFNA(VLOOKUP(Inversiones[[#This Row],[Nombre Inversión]],B130:F138,5,FALSE),0)+Inversiones[[#This Row],[Monto]])</f>
        <v>14999.877035809999</v>
      </c>
      <c r="G129" s="6">
        <f>Inversiones[[#This Row],[Total Cuotapartes]]*Inversiones[[#This Row],[Valor Cuotaparte]]</f>
        <v>18214.647267949997</v>
      </c>
      <c r="H129" s="25">
        <f>_xlfn.IFNA(VLOOKUP(Inversiones[[#This Row],[Nombre Inversión]],B130:H137,7,FALSE),0)+Inversiones[[#This Row],[Cant. Cuotapartes]]</f>
        <v>4615.4499999999989</v>
      </c>
      <c r="I129" s="31">
        <v>3.9464510000000002</v>
      </c>
      <c r="J129" s="7">
        <f>IF(ABS(Inversiones[[#This Row],[Saldo Valorizado]]-Inversiones[[#This Row],[Monto Invertido]]-G131+F131)&gt;500,"-",Inversiones[[#This Row],[Saldo Valorizado]]-Inversiones[[#This Row],[Monto Invertido]]-G131+F131)</f>
        <v>19.389505449998978</v>
      </c>
      <c r="K129" s="23">
        <f>IFERROR((Inversiones[[#This Row],[Valor Cuotaparte]]-VLOOKUP(Inversiones[[#This Row],[Nombre Inversión]],B130:I142,8,FALSE))/VLOOKUP(Inversiones[[#This Row],[Nombre Inversión]],B131:I143,8,FALSE),"-")</f>
        <v>1.0656351068552531E-3</v>
      </c>
    </row>
    <row r="130" spans="1:11" hidden="1" x14ac:dyDescent="0.35">
      <c r="A130" s="1">
        <v>43420</v>
      </c>
      <c r="B130" t="s">
        <v>100</v>
      </c>
      <c r="C130" t="s">
        <v>82</v>
      </c>
      <c r="D130" s="6">
        <v>0</v>
      </c>
      <c r="E130" s="13">
        <v>0</v>
      </c>
      <c r="F130" s="46">
        <f>IF(Inversiones[[#This Row],[Total Cuotapartes]]=0,0,_xlfn.IFNA(VLOOKUP(Inversiones[[#This Row],[Nombre Inversión]],B131:F139,5,FALSE),0)+Inversiones[[#This Row],[Monto]])</f>
        <v>5000.1536452799992</v>
      </c>
      <c r="G130" s="6">
        <f>Inversiones[[#This Row],[Total Cuotapartes]]*Inversiones[[#This Row],[Valor Cuotaparte]]</f>
        <v>4720.8726481200001</v>
      </c>
      <c r="H130" s="25">
        <f>_xlfn.IFNA(VLOOKUP(Inversiones[[#This Row],[Nombre Inversión]],B131:H138,7,FALSE),0)+Inversiones[[#This Row],[Cant. Cuotapartes]]</f>
        <v>105.96</v>
      </c>
      <c r="I130" s="31">
        <v>44.553347000000002</v>
      </c>
      <c r="J130" s="7">
        <f>IF(ABS(Inversiones[[#This Row],[Saldo Valorizado]]-Inversiones[[#This Row],[Monto Invertido]]-G132+F132)&gt;500,"-",Inversiones[[#This Row],[Saldo Valorizado]]-Inversiones[[#This Row],[Monto Invertido]]-G132+F132)</f>
        <v>80.27519003999987</v>
      </c>
      <c r="K130" s="36">
        <f>IFERROR((Inversiones[[#This Row],[Valor Cuotaparte]]-VLOOKUP(Inversiones[[#This Row],[Nombre Inversión]],B131:I143,8,FALSE))/VLOOKUP(Inversiones[[#This Row],[Nombre Inversión]],B132:I144,8,FALSE),"-")</f>
        <v>1.7298460115351813E-2</v>
      </c>
    </row>
    <row r="131" spans="1:11" hidden="1" x14ac:dyDescent="0.35">
      <c r="A131" s="1">
        <v>43420</v>
      </c>
      <c r="B131" t="s">
        <v>78</v>
      </c>
      <c r="C131" t="s">
        <v>82</v>
      </c>
      <c r="D131" s="6">
        <v>0</v>
      </c>
      <c r="E131" s="13">
        <v>0</v>
      </c>
      <c r="F131" s="46">
        <f>IF(Inversiones[[#This Row],[Total Cuotapartes]]=0,0,_xlfn.IFNA(VLOOKUP(Inversiones[[#This Row],[Nombre Inversión]],B132:F140,5,FALSE),0)+Inversiones[[#This Row],[Monto]])</f>
        <v>14999.877035809999</v>
      </c>
      <c r="G131" s="6">
        <f>Inversiones[[#This Row],[Total Cuotapartes]]*Inversiones[[#This Row],[Valor Cuotaparte]]</f>
        <v>18195.257762499998</v>
      </c>
      <c r="H131" s="25">
        <f>_xlfn.IFNA(VLOOKUP(Inversiones[[#This Row],[Nombre Inversión]],B132:H139,7,FALSE),0)+Inversiones[[#This Row],[Cant. Cuotapartes]]</f>
        <v>4615.4499999999989</v>
      </c>
      <c r="I131" s="30">
        <v>3.94225</v>
      </c>
      <c r="J131" s="7">
        <f>IF(ABS(Inversiones[[#This Row],[Saldo Valorizado]]-Inversiones[[#This Row],[Monto Invertido]]-G133+F133)&gt;500,"-",Inversiones[[#This Row],[Saldo Valorizado]]-Inversiones[[#This Row],[Monto Invertido]]-G133+F133)</f>
        <v>78.402649150000798</v>
      </c>
      <c r="K131" s="23">
        <f>IFERROR((Inversiones[[#This Row],[Valor Cuotaparte]]-VLOOKUP(Inversiones[[#This Row],[Nombre Inversión]],B132:I144,8,FALSE))/VLOOKUP(Inversiones[[#This Row],[Nombre Inversión]],B133:I145,8,FALSE),"-")</f>
        <v>4.3276081118640616E-3</v>
      </c>
    </row>
    <row r="132" spans="1:11" hidden="1" x14ac:dyDescent="0.35">
      <c r="A132" s="1">
        <v>43419</v>
      </c>
      <c r="B132" t="s">
        <v>100</v>
      </c>
      <c r="C132" t="s">
        <v>82</v>
      </c>
      <c r="D132" s="6">
        <v>0</v>
      </c>
      <c r="E132" s="13">
        <v>0</v>
      </c>
      <c r="F132" s="46">
        <f>IF(Inversiones[[#This Row],[Total Cuotapartes]]=0,0,_xlfn.IFNA(VLOOKUP(Inversiones[[#This Row],[Nombre Inversión]],B133:F141,5,FALSE),0)+Inversiones[[#This Row],[Monto]])</f>
        <v>5000.1536452799992</v>
      </c>
      <c r="G132" s="6">
        <f>Inversiones[[#This Row],[Total Cuotapartes]]*Inversiones[[#This Row],[Valor Cuotaparte]]</f>
        <v>4640.5974580800003</v>
      </c>
      <c r="H132" s="25">
        <f>_xlfn.IFNA(VLOOKUP(Inversiones[[#This Row],[Nombre Inversión]],B133:H140,7,FALSE),0)+Inversiones[[#This Row],[Cant. Cuotapartes]]</f>
        <v>105.96</v>
      </c>
      <c r="I132" s="31">
        <v>43.795748000000003</v>
      </c>
      <c r="J132" s="7">
        <f>IF(ABS(Inversiones[[#This Row],[Saldo Valorizado]]-Inversiones[[#This Row],[Monto Invertido]]-G134+F134)&gt;500,"-",Inversiones[[#This Row],[Saldo Valorizado]]-Inversiones[[#This Row],[Monto Invertido]]-G134+F134)</f>
        <v>170.66786472000058</v>
      </c>
      <c r="K132" s="36">
        <f>IFERROR((Inversiones[[#This Row],[Valor Cuotaparte]]-VLOOKUP(Inversiones[[#This Row],[Nombre Inversión]],B133:I145,8,FALSE))/VLOOKUP(Inversiones[[#This Row],[Nombre Inversión]],B134:I146,8,FALSE),"-")</f>
        <v>3.8181331753753905E-2</v>
      </c>
    </row>
    <row r="133" spans="1:11" hidden="1" x14ac:dyDescent="0.35">
      <c r="A133" s="1">
        <v>43419</v>
      </c>
      <c r="B133" t="s">
        <v>78</v>
      </c>
      <c r="C133" t="s">
        <v>82</v>
      </c>
      <c r="D133" s="6">
        <v>0</v>
      </c>
      <c r="E133" s="13">
        <v>0</v>
      </c>
      <c r="F133" s="46">
        <f>IF(Inversiones[[#This Row],[Total Cuotapartes]]=0,0,_xlfn.IFNA(VLOOKUP(Inversiones[[#This Row],[Nombre Inversión]],B134:F142,5,FALSE),0)+Inversiones[[#This Row],[Monto]])</f>
        <v>14999.877035809999</v>
      </c>
      <c r="G133" s="6">
        <f>Inversiones[[#This Row],[Total Cuotapartes]]*Inversiones[[#This Row],[Valor Cuotaparte]]</f>
        <v>18116.855113349997</v>
      </c>
      <c r="H133" s="25">
        <f>_xlfn.IFNA(VLOOKUP(Inversiones[[#This Row],[Nombre Inversión]],B134:H141,7,FALSE),0)+Inversiones[[#This Row],[Cant. Cuotapartes]]</f>
        <v>4615.4499999999989</v>
      </c>
      <c r="I133" s="31">
        <v>3.9252630000000002</v>
      </c>
      <c r="J133" s="7">
        <f>IF(ABS(Inversiones[[#This Row],[Saldo Valorizado]]-Inversiones[[#This Row],[Monto Invertido]]-G135+F135)&gt;500,"-",Inversiones[[#This Row],[Saldo Valorizado]]-Inversiones[[#This Row],[Monto Invertido]]-G135+F135)</f>
        <v>19.841819550001674</v>
      </c>
      <c r="K133" s="23">
        <f>IFERROR((Inversiones[[#This Row],[Valor Cuotaparte]]-VLOOKUP(Inversiones[[#This Row],[Nombre Inversión]],B134:I146,8,FALSE))/VLOOKUP(Inversiones[[#This Row],[Nombre Inversión]],B135:I147,8,FALSE),"-")</f>
        <v>1.0964140451174896E-3</v>
      </c>
    </row>
    <row r="134" spans="1:11" hidden="1" x14ac:dyDescent="0.35">
      <c r="A134" s="1">
        <v>43418</v>
      </c>
      <c r="B134" t="s">
        <v>100</v>
      </c>
      <c r="C134" t="s">
        <v>82</v>
      </c>
      <c r="D134" s="6">
        <v>0</v>
      </c>
      <c r="E134" s="13">
        <v>0</v>
      </c>
      <c r="F134" s="46">
        <f>IF(Inversiones[[#This Row],[Total Cuotapartes]]=0,0,_xlfn.IFNA(VLOOKUP(Inversiones[[#This Row],[Nombre Inversión]],B135:F143,5,FALSE),0)+Inversiones[[#This Row],[Monto]])</f>
        <v>5000.1536452799992</v>
      </c>
      <c r="G134" s="6">
        <f>Inversiones[[#This Row],[Total Cuotapartes]]*Inversiones[[#This Row],[Valor Cuotaparte]]</f>
        <v>4469.9295933599997</v>
      </c>
      <c r="H134" s="25">
        <f>_xlfn.IFNA(VLOOKUP(Inversiones[[#This Row],[Nombre Inversión]],B135:H142,7,FALSE),0)+Inversiones[[#This Row],[Cant. Cuotapartes]]</f>
        <v>105.96</v>
      </c>
      <c r="I134" s="31">
        <v>42.185065999999999</v>
      </c>
      <c r="J134" s="7">
        <f>IF(ABS(Inversiones[[#This Row],[Saldo Valorizado]]-Inversiones[[#This Row],[Monto Invertido]]-G137+F137)&gt;500,"-",Inversiones[[#This Row],[Saldo Valorizado]]-Inversiones[[#This Row],[Monto Invertido]]-G137+F137)</f>
        <v>133.3445143200006</v>
      </c>
      <c r="K134" s="36">
        <f>IFERROR((Inversiones[[#This Row],[Valor Cuotaparte]]-VLOOKUP(Inversiones[[#This Row],[Nombre Inversión]],B135:I149,8,FALSE))/VLOOKUP(Inversiones[[#This Row],[Nombre Inversión]],B137:I150,8,FALSE),"-")</f>
        <v>3.0748737056836214E-2</v>
      </c>
    </row>
    <row r="135" spans="1:11" hidden="1" x14ac:dyDescent="0.35">
      <c r="A135" s="1">
        <v>43418</v>
      </c>
      <c r="B135" t="s">
        <v>78</v>
      </c>
      <c r="C135" t="s">
        <v>82</v>
      </c>
      <c r="D135" s="6">
        <v>0</v>
      </c>
      <c r="E135" s="13">
        <v>0</v>
      </c>
      <c r="F135" s="46">
        <f>IF(Inversiones[[#This Row],[Total Cuotapartes]]=0,0,_xlfn.IFNA(VLOOKUP(Inversiones[[#This Row],[Nombre Inversión]],B136:F144,5,FALSE),0)+Inversiones[[#This Row],[Monto]])</f>
        <v>14999.877035809999</v>
      </c>
      <c r="G135" s="6">
        <f>Inversiones[[#This Row],[Total Cuotapartes]]*Inversiones[[#This Row],[Valor Cuotaparte]]</f>
        <v>18097.013293799995</v>
      </c>
      <c r="H135" s="25">
        <f>_xlfn.IFNA(VLOOKUP(Inversiones[[#This Row],[Nombre Inversión]],B136:H143,7,FALSE),0)+Inversiones[[#This Row],[Cant. Cuotapartes]]</f>
        <v>4615.4499999999989</v>
      </c>
      <c r="I135" s="31">
        <v>3.9209640000000001</v>
      </c>
      <c r="J135" s="7">
        <f>Inversiones[[#This Row],[Saldo Valorizado]]-G136</f>
        <v>19.841819549998036</v>
      </c>
      <c r="K135" s="23">
        <f>IFERROR((Inversiones[[#This Row],[Valor Cuotaparte]]-VLOOKUP(Inversiones[[#This Row],[Nombre Inversión]],B137:I150,8,FALSE))/VLOOKUP(Inversiones[[#This Row],[Nombre Inversión]],B138:I151,8,FALSE),"-")</f>
        <v>1.0976174883478807E-3</v>
      </c>
    </row>
    <row r="136" spans="1:11" hidden="1" x14ac:dyDescent="0.35">
      <c r="A136" s="1">
        <v>43418</v>
      </c>
      <c r="B136" t="s">
        <v>78</v>
      </c>
      <c r="C136" t="s">
        <v>76</v>
      </c>
      <c r="D136" s="6">
        <f>Inversiones[[#This Row],[Cant. Cuotapartes]]*Inversiones[[#This Row],[Valor Cuotaparte]]</f>
        <v>5000.0145389999998</v>
      </c>
      <c r="E136" s="25">
        <v>1276.5999999999999</v>
      </c>
      <c r="F136" s="46">
        <f>IF(Inversiones[[#This Row],[Total Cuotapartes]]=0,0,_xlfn.IFNA(VLOOKUP(Inversiones[[#This Row],[Nombre Inversión]],B137:F145,5,FALSE),0)+Inversiones[[#This Row],[Monto]])</f>
        <v>14999.877035809999</v>
      </c>
      <c r="G136" s="6">
        <f>Inversiones[[#This Row],[Total Cuotapartes]]*Inversiones[[#This Row],[Valor Cuotaparte]]</f>
        <v>18077.171474249997</v>
      </c>
      <c r="H136" s="25">
        <f>_xlfn.IFNA(VLOOKUP(Inversiones[[#This Row],[Nombre Inversión]],B137:H144,7,FALSE),0)+Inversiones[[#This Row],[Cant. Cuotapartes]]</f>
        <v>4615.4499999999989</v>
      </c>
      <c r="I136" s="31">
        <v>3.9166650000000001</v>
      </c>
      <c r="J136" s="7" t="str">
        <f>IF(ABS(Inversiones[[#This Row],[Saldo Valorizado]]-Inversiones[[#This Row],[Monto Invertido]]-G137+F137)&gt;500,"-",Inversiones[[#This Row],[Saldo Valorizado]]-Inversiones[[#This Row],[Monto Invertido]]-G137+F137)</f>
        <v>-</v>
      </c>
    </row>
    <row r="137" spans="1:11" hidden="1" x14ac:dyDescent="0.35">
      <c r="A137" s="1">
        <v>43417</v>
      </c>
      <c r="B137" t="s">
        <v>100</v>
      </c>
      <c r="C137" t="s">
        <v>82</v>
      </c>
      <c r="D137" s="6">
        <v>0</v>
      </c>
      <c r="E137" s="13">
        <v>0</v>
      </c>
      <c r="F137" s="46">
        <f>IF(Inversiones[[#This Row],[Total Cuotapartes]]=0,0,_xlfn.IFNA(VLOOKUP(Inversiones[[#This Row],[Nombre Inversión]],B138:F146,5,FALSE),0)+Inversiones[[#This Row],[Monto]])</f>
        <v>5000.1536452799992</v>
      </c>
      <c r="G137" s="6">
        <f>Inversiones[[#This Row],[Total Cuotapartes]]*Inversiones[[#This Row],[Valor Cuotaparte]]</f>
        <v>4336.5850790399991</v>
      </c>
      <c r="H137" s="25">
        <f>_xlfn.IFNA(VLOOKUP(Inversiones[[#This Row],[Nombre Inversión]],B138:H145,7,FALSE),0)+Inversiones[[#This Row],[Cant. Cuotapartes]]</f>
        <v>105.96</v>
      </c>
      <c r="I137" s="31">
        <v>40.926623999999997</v>
      </c>
      <c r="J137" s="7">
        <f>IF(ABS(Inversiones[[#This Row],[Saldo Valorizado]]-Inversiones[[#This Row],[Monto Invertido]]-G139+F139)&gt;500,"-",Inversiones[[#This Row],[Saldo Valorizado]]-Inversiones[[#This Row],[Monto Invertido]]-G139+F139)</f>
        <v>-139.54942596000092</v>
      </c>
      <c r="K137" s="36">
        <f>IFERROR((Inversiones[[#This Row],[Valor Cuotaparte]]-VLOOKUP(Inversiones[[#This Row],[Nombre Inversión]],B138:I150,8,FALSE))/VLOOKUP(Inversiones[[#This Row],[Nombre Inversión]],B139:I151,8,FALSE),"-")</f>
        <v>-3.1176325421883293E-2</v>
      </c>
    </row>
    <row r="138" spans="1:11" hidden="1" x14ac:dyDescent="0.35">
      <c r="A138" s="1">
        <v>43417</v>
      </c>
      <c r="B138" t="s">
        <v>78</v>
      </c>
      <c r="C138" t="s">
        <v>82</v>
      </c>
      <c r="D138" s="6">
        <v>0</v>
      </c>
      <c r="E138" s="13">
        <v>0</v>
      </c>
      <c r="F138" s="46">
        <f>IF(Inversiones[[#This Row],[Total Cuotapartes]]=0,0,_xlfn.IFNA(VLOOKUP(Inversiones[[#This Row],[Nombre Inversión]],B139:F147,5,FALSE),0)+Inversiones[[#This Row],[Monto]])</f>
        <v>9999.8624968099994</v>
      </c>
      <c r="G138" s="6">
        <f>Inversiones[[#This Row],[Total Cuotapartes]]*Inversiones[[#This Row],[Valor Cuotaparte]]</f>
        <v>13077.156935249997</v>
      </c>
      <c r="H138" s="25">
        <f>_xlfn.IFNA(VLOOKUP(Inversiones[[#This Row],[Nombre Inversión]],B139:H146,7,FALSE),0)+Inversiones[[#This Row],[Cant. Cuotapartes]]</f>
        <v>3338.8499999999995</v>
      </c>
      <c r="I138" s="31">
        <v>3.9166650000000001</v>
      </c>
      <c r="J138" s="7">
        <f>IF(ABS(Inversiones[[#This Row],[Saldo Valorizado]]-Inversiones[[#This Row],[Monto Invertido]]-G140+F140)&gt;500,"-",Inversiones[[#This Row],[Saldo Valorizado]]-Inversiones[[#This Row],[Monto Invertido]]-G140+F140)</f>
        <v>14.660890350000045</v>
      </c>
      <c r="K138" s="23">
        <f>IFERROR((Inversiones[[#This Row],[Valor Cuotaparte]]-VLOOKUP(Inversiones[[#This Row],[Nombre Inversión]],B139:I151,8,FALSE))/VLOOKUP(Inversiones[[#This Row],[Nombre Inversión]],B140:I152,8,FALSE),"-")</f>
        <v>1.1223651513160974E-3</v>
      </c>
    </row>
    <row r="139" spans="1:11" hidden="1" x14ac:dyDescent="0.35">
      <c r="A139" s="1">
        <v>43416</v>
      </c>
      <c r="B139" t="s">
        <v>100</v>
      </c>
      <c r="C139" t="s">
        <v>82</v>
      </c>
      <c r="D139" s="6">
        <v>0</v>
      </c>
      <c r="E139" s="13">
        <v>0</v>
      </c>
      <c r="F139" s="46">
        <f>IF(Inversiones[[#This Row],[Total Cuotapartes]]=0,0,_xlfn.IFNA(VLOOKUP(Inversiones[[#This Row],[Nombre Inversión]],B140:F148,5,FALSE),0)+Inversiones[[#This Row],[Monto]])</f>
        <v>5000.1536452799992</v>
      </c>
      <c r="G139" s="6">
        <f>Inversiones[[#This Row],[Total Cuotapartes]]*Inversiones[[#This Row],[Valor Cuotaparte]]</f>
        <v>4476.134505</v>
      </c>
      <c r="H139" s="25">
        <f>_xlfn.IFNA(VLOOKUP(Inversiones[[#This Row],[Nombre Inversión]],B140:H147,7,FALSE),0)+Inversiones[[#This Row],[Cant. Cuotapartes]]</f>
        <v>105.96</v>
      </c>
      <c r="I139" s="31">
        <v>42.243625000000002</v>
      </c>
      <c r="J139" s="7">
        <f>IF(ABS(Inversiones[[#This Row],[Saldo Valorizado]]-Inversiones[[#This Row],[Monto Invertido]]-G143+F143)&gt;500,"-",Inversiones[[#This Row],[Saldo Valorizado]]-Inversiones[[#This Row],[Monto Invertido]]-G143+F143)</f>
        <v>-72.958440119999977</v>
      </c>
      <c r="K139" s="36">
        <f>IFERROR((Inversiones[[#This Row],[Valor Cuotaparte]]-VLOOKUP(Inversiones[[#This Row],[Nombre Inversión]],B140:I154,8,FALSE))/VLOOKUP(Inversiones[[#This Row],[Nombre Inversión]],B143:I155,8,FALSE),"-")</f>
        <v>-1.6038019227166047E-2</v>
      </c>
    </row>
    <row r="140" spans="1:11" hidden="1" x14ac:dyDescent="0.35">
      <c r="A140" s="1">
        <v>43416</v>
      </c>
      <c r="B140" t="s">
        <v>78</v>
      </c>
      <c r="C140" t="s">
        <v>82</v>
      </c>
      <c r="D140" s="6">
        <v>0</v>
      </c>
      <c r="E140" s="13">
        <v>0</v>
      </c>
      <c r="F140" s="46">
        <f>IF(Inversiones[[#This Row],[Total Cuotapartes]]=0,0,_xlfn.IFNA(VLOOKUP(Inversiones[[#This Row],[Nombre Inversión]],B141:F149,5,FALSE),0)+Inversiones[[#This Row],[Monto]])</f>
        <v>9999.8624968099994</v>
      </c>
      <c r="G140" s="6">
        <f>Inversiones[[#This Row],[Total Cuotapartes]]*Inversiones[[#This Row],[Valor Cuotaparte]]</f>
        <v>13062.496044899997</v>
      </c>
      <c r="H140" s="25">
        <f>_xlfn.IFNA(VLOOKUP(Inversiones[[#This Row],[Nombre Inversión]],B141:H148,7,FALSE),0)+Inversiones[[#This Row],[Cant. Cuotapartes]]</f>
        <v>3338.8499999999995</v>
      </c>
      <c r="I140" s="31">
        <v>3.912274</v>
      </c>
      <c r="J140" s="7">
        <f>Inversiones[[#This Row],[Valor Cuotaparte]]*Inversiones[[#This Row],[Total Cuotapartes]]-I144*Inversiones[[#This Row],[Total Cuotapartes]]</f>
        <v>14.420493150000766</v>
      </c>
      <c r="K140" s="23">
        <f>IFERROR((Inversiones[[#This Row],[Valor Cuotaparte]]-VLOOKUP(Inversiones[[#This Row],[Nombre Inversión]],B143:I155,8,FALSE))/VLOOKUP(Inversiones[[#This Row],[Nombre Inversión]],B144:I156,8,FALSE),"-")</f>
        <v>1.1051816103307699E-3</v>
      </c>
    </row>
    <row r="141" spans="1:11" hidden="1" x14ac:dyDescent="0.35">
      <c r="A141" s="1">
        <v>43416</v>
      </c>
      <c r="B141" t="s">
        <v>78</v>
      </c>
      <c r="C141" t="s">
        <v>79</v>
      </c>
      <c r="D141" s="6">
        <f>Inversiones[[#This Row],[Cant. Cuotapartes]]*Inversiones[[#This Row],[Valor Cuotaparte]]</f>
        <v>-1000.0066049499999</v>
      </c>
      <c r="E141" s="13">
        <v>-255.89</v>
      </c>
      <c r="F141" s="46">
        <f>IF(Inversiones[[#This Row],[Total Cuotapartes]]=0,0,_xlfn.IFNA(VLOOKUP(Inversiones[[#This Row],[Nombre Inversión]],B142:F150,5,FALSE),0)+Inversiones[[#This Row],[Monto]])</f>
        <v>9999.8624968099994</v>
      </c>
      <c r="G141" s="6">
        <f>Inversiones[[#This Row],[Total Cuotapartes]]*Inversiones[[#This Row],[Valor Cuotaparte]]</f>
        <v>13048.075551749997</v>
      </c>
      <c r="H141" s="25">
        <f>_xlfn.IFNA(VLOOKUP(Inversiones[[#This Row],[Nombre Inversión]],B142:H149,7,FALSE),0)+Inversiones[[#This Row],[Cant. Cuotapartes]]</f>
        <v>3338.8499999999995</v>
      </c>
      <c r="I141" s="30">
        <v>3.9079549999999998</v>
      </c>
      <c r="J141" s="7">
        <f>IF(ABS(Inversiones[[#This Row],[Saldo Valorizado]]-Inversiones[[#This Row],[Monto Invertido]]-G142+F142)&gt;500,"-",Inversiones[[#This Row],[Saldo Valorizado]]-Inversiones[[#This Row],[Monto Invertido]]-G142+F142)</f>
        <v>0</v>
      </c>
      <c r="K141" s="23"/>
    </row>
    <row r="142" spans="1:11" hidden="1" x14ac:dyDescent="0.35">
      <c r="A142" s="1">
        <v>43416</v>
      </c>
      <c r="B142" t="s">
        <v>78</v>
      </c>
      <c r="C142" t="s">
        <v>79</v>
      </c>
      <c r="D142" s="6">
        <f>Inversiones[[#This Row],[Cant. Cuotapartes]]*Inversiones[[#This Row],[Valor Cuotaparte]]</f>
        <v>-10000.026969949999</v>
      </c>
      <c r="E142" s="13">
        <v>-2558.89</v>
      </c>
      <c r="F142" s="46">
        <f>IF(Inversiones[[#This Row],[Total Cuotapartes]]=0,0,_xlfn.IFNA(VLOOKUP(Inversiones[[#This Row],[Nombre Inversión]],B143:F151,5,FALSE),0)+Inversiones[[#This Row],[Monto]])</f>
        <v>10999.869101759999</v>
      </c>
      <c r="G142" s="6">
        <f>Inversiones[[#This Row],[Total Cuotapartes]]*Inversiones[[#This Row],[Valor Cuotaparte]]</f>
        <v>14048.082156699997</v>
      </c>
      <c r="H142" s="25">
        <f>_xlfn.IFNA(VLOOKUP(Inversiones[[#This Row],[Nombre Inversión]],B143:H150,7,FALSE),0)+Inversiones[[#This Row],[Cant. Cuotapartes]]</f>
        <v>3594.7399999999993</v>
      </c>
      <c r="I142" s="30">
        <v>3.9079549999999998</v>
      </c>
      <c r="J142" s="7" t="str">
        <f>IF(ABS(Inversiones[[#This Row],[Saldo Valorizado]]-Inversiones[[#This Row],[Monto Invertido]]-G143+F143)&gt;500,"-",Inversiones[[#This Row],[Saldo Valorizado]]-Inversiones[[#This Row],[Monto Invertido]]-G143+F143)</f>
        <v>-</v>
      </c>
    </row>
    <row r="143" spans="1:11" hidden="1" x14ac:dyDescent="0.35">
      <c r="A143" s="1">
        <v>43413</v>
      </c>
      <c r="B143" t="s">
        <v>100</v>
      </c>
      <c r="C143" t="s">
        <v>82</v>
      </c>
      <c r="D143" s="6">
        <v>0</v>
      </c>
      <c r="E143" s="13">
        <v>0</v>
      </c>
      <c r="F143" s="46">
        <f>IF(Inversiones[[#This Row],[Total Cuotapartes]]=0,0,_xlfn.IFNA(VLOOKUP(Inversiones[[#This Row],[Nombre Inversión]],B144:F152,5,FALSE),0)+Inversiones[[#This Row],[Monto]])</f>
        <v>5000.1536452799992</v>
      </c>
      <c r="G143" s="6">
        <f>Inversiones[[#This Row],[Total Cuotapartes]]*Inversiones[[#This Row],[Valor Cuotaparte]]</f>
        <v>4549.09294512</v>
      </c>
      <c r="H143" s="25">
        <f>_xlfn.IFNA(VLOOKUP(Inversiones[[#This Row],[Nombre Inversión]],B144:H151,7,FALSE),0)+Inversiones[[#This Row],[Cant. Cuotapartes]]</f>
        <v>105.96</v>
      </c>
      <c r="I143" s="31">
        <v>42.932172000000001</v>
      </c>
      <c r="J143" s="7">
        <f>IF(ABS(Inversiones[[#This Row],[Saldo Valorizado]]-Inversiones[[#This Row],[Monto Invertido]]-G146+F146)&gt;500,"-",Inversiones[[#This Row],[Saldo Valorizado]]-Inversiones[[#This Row],[Monto Invertido]]-G146+F146)</f>
        <v>-118.51488252000036</v>
      </c>
      <c r="K143" s="36">
        <f>IFERROR((Inversiones[[#This Row],[Valor Cuotaparte]]-VLOOKUP(Inversiones[[#This Row],[Nombre Inversión]],B144:I157,8,FALSE))/VLOOKUP(Inversiones[[#This Row],[Nombre Inversión]],B146:I158,8,FALSE),"-")</f>
        <v>-2.5390925479684689E-2</v>
      </c>
    </row>
    <row r="144" spans="1:11" hidden="1" x14ac:dyDescent="0.35">
      <c r="A144" s="1">
        <v>43413</v>
      </c>
      <c r="B144" t="s">
        <v>78</v>
      </c>
      <c r="C144" t="s">
        <v>82</v>
      </c>
      <c r="D144" s="6">
        <v>0</v>
      </c>
      <c r="E144" s="13">
        <v>0</v>
      </c>
      <c r="F144" s="46">
        <f>IF(Inversiones[[#This Row],[Total Cuotapartes]]=0,0,_xlfn.IFNA(VLOOKUP(Inversiones[[#This Row],[Nombre Inversión]],B145:F153,5,FALSE),0)+Inversiones[[#This Row],[Monto]])</f>
        <v>20999.896071709998</v>
      </c>
      <c r="G144" s="6">
        <f>Inversiones[[#This Row],[Total Cuotapartes]]*Inversiones[[#This Row],[Valor Cuotaparte]]</f>
        <v>24048.109126649997</v>
      </c>
      <c r="H144" s="25">
        <f>_xlfn.IFNA(VLOOKUP(Inversiones[[#This Row],[Nombre Inversión]],B145:H152,7,FALSE),0)+Inversiones[[#This Row],[Cant. Cuotapartes]]</f>
        <v>6153.6299999999992</v>
      </c>
      <c r="I144" s="30">
        <v>3.9079549999999998</v>
      </c>
      <c r="J144" s="7">
        <f>Inversiones[[#This Row],[Saldo Valorizado]]-G145</f>
        <v>81.301759559999482</v>
      </c>
      <c r="K144" s="23">
        <f>IFERROR((Inversiones[[#This Row],[Valor Cuotaparte]]-VLOOKUP(Inversiones[[#This Row],[Nombre Inversión]],B146:I158,8,FALSE))/VLOOKUP(Inversiones[[#This Row],[Nombre Inversión]],B147:I159,8,FALSE),"-")</f>
        <v>3.3922649068243473E-3</v>
      </c>
    </row>
    <row r="145" spans="1:16" hidden="1" x14ac:dyDescent="0.35">
      <c r="A145" s="1">
        <v>43413</v>
      </c>
      <c r="B145" t="s">
        <v>78</v>
      </c>
      <c r="C145" t="s">
        <v>79</v>
      </c>
      <c r="D145" s="6">
        <f>Inversiones[[#This Row],[Cant. Cuotapartes]]*Inversiones[[#This Row],[Valor Cuotaparte]]</f>
        <v>-1000.01421268</v>
      </c>
      <c r="E145" s="13">
        <v>-256.76</v>
      </c>
      <c r="F145" s="46">
        <f>IF(Inversiones[[#This Row],[Total Cuotapartes]]=0,0,_xlfn.IFNA(VLOOKUP(Inversiones[[#This Row],[Nombre Inversión]],B146:F154,5,FALSE),0)+Inversiones[[#This Row],[Monto]])</f>
        <v>20999.896071709998</v>
      </c>
      <c r="G145" s="6">
        <f>Inversiones[[#This Row],[Total Cuotapartes]]*Inversiones[[#This Row],[Valor Cuotaparte]]</f>
        <v>23966.807367089998</v>
      </c>
      <c r="H145" s="25">
        <f>_xlfn.IFNA(VLOOKUP(Inversiones[[#This Row],[Nombre Inversión]],B146:H153,7,FALSE),0)+Inversiones[[#This Row],[Cant. Cuotapartes]]</f>
        <v>6153.6299999999992</v>
      </c>
      <c r="I145" s="30">
        <v>3.8947430000000001</v>
      </c>
      <c r="J145" s="7" t="str">
        <f>IF(ABS(Inversiones[[#This Row],[Saldo Valorizado]]-Inversiones[[#This Row],[Monto Invertido]]-G146+F146)&gt;500,"-",Inversiones[[#This Row],[Saldo Valorizado]]-Inversiones[[#This Row],[Monto Invertido]]-G146+F146)</f>
        <v>-</v>
      </c>
      <c r="K145" s="23"/>
    </row>
    <row r="146" spans="1:16" hidden="1" x14ac:dyDescent="0.35">
      <c r="A146" s="1">
        <v>43412</v>
      </c>
      <c r="B146" t="s">
        <v>100</v>
      </c>
      <c r="C146" t="s">
        <v>82</v>
      </c>
      <c r="D146" s="6">
        <v>0</v>
      </c>
      <c r="E146" s="13">
        <v>0</v>
      </c>
      <c r="F146" s="46">
        <f>IF(Inversiones[[#This Row],[Total Cuotapartes]]=0,0,_xlfn.IFNA(VLOOKUP(Inversiones[[#This Row],[Nombre Inversión]],B147:F155,5,FALSE),0)+Inversiones[[#This Row],[Monto]])</f>
        <v>5000.1536452799992</v>
      </c>
      <c r="G146" s="6">
        <f>Inversiones[[#This Row],[Total Cuotapartes]]*Inversiones[[#This Row],[Valor Cuotaparte]]</f>
        <v>4667.6078276400003</v>
      </c>
      <c r="H146" s="25">
        <f>_xlfn.IFNA(VLOOKUP(Inversiones[[#This Row],[Nombre Inversión]],B147:H154,7,FALSE),0)+Inversiones[[#This Row],[Cant. Cuotapartes]]</f>
        <v>105.96</v>
      </c>
      <c r="I146" s="31">
        <v>44.050659000000003</v>
      </c>
      <c r="J146" s="7">
        <f>IF(ABS(Inversiones[[#This Row],[Saldo Valorizado]]-Inversiones[[#This Row],[Monto Invertido]]-G148+F148)&gt;500,"-",Inversiones[[#This Row],[Saldo Valorizado]]-Inversiones[[#This Row],[Monto Invertido]]-G148+F148)</f>
        <v>-81.418392479999056</v>
      </c>
      <c r="K146" s="36">
        <f>IFERROR((Inversiones[[#This Row],[Valor Cuotaparte]]-VLOOKUP(Inversiones[[#This Row],[Nombre Inversión]],B147:I159,8,FALSE))/VLOOKUP(Inversiones[[#This Row],[Nombre Inversión]],B148:I160,8,FALSE),"-")</f>
        <v>-1.7144228881082513E-2</v>
      </c>
    </row>
    <row r="147" spans="1:16" hidden="1" x14ac:dyDescent="0.35">
      <c r="A147" s="1">
        <v>43412</v>
      </c>
      <c r="B147" t="s">
        <v>78</v>
      </c>
      <c r="C147" t="s">
        <v>82</v>
      </c>
      <c r="D147" s="6">
        <v>0</v>
      </c>
      <c r="E147" s="13">
        <v>0</v>
      </c>
      <c r="F147" s="46">
        <f>IF(Inversiones[[#This Row],[Total Cuotapartes]]=0,0,_xlfn.IFNA(VLOOKUP(Inversiones[[#This Row],[Nombre Inversión]],B148:F156,5,FALSE),0)+Inversiones[[#This Row],[Monto]])</f>
        <v>21999.910284389996</v>
      </c>
      <c r="G147" s="6">
        <f>Inversiones[[#This Row],[Total Cuotapartes]]*Inversiones[[#This Row],[Valor Cuotaparte]]</f>
        <v>24966.82157977</v>
      </c>
      <c r="H147" s="25">
        <f>_xlfn.IFNA(VLOOKUP(Inversiones[[#This Row],[Nombre Inversión]],B148:H155,7,FALSE),0)+Inversiones[[#This Row],[Cant. Cuotapartes]]</f>
        <v>6410.3899999999994</v>
      </c>
      <c r="I147" s="30">
        <v>3.8947430000000001</v>
      </c>
      <c r="J147" s="7">
        <f>IF(ABS(Inversiones[[#This Row],[Saldo Valorizado]]-Inversiones[[#This Row],[Monto Invertido]]-G149+F149)&gt;500,"-",Inversiones[[#This Row],[Saldo Valorizado]]-Inversiones[[#This Row],[Monto Invertido]]-G149+F149)</f>
        <v>28.013404300003458</v>
      </c>
      <c r="K147" s="23">
        <f>IFERROR((Inversiones[[#This Row],[Valor Cuotaparte]]-VLOOKUP(Inversiones[[#This Row],[Nombre Inversión]],B148:I160,8,FALSE))/VLOOKUP(Inversiones[[#This Row],[Nombre Inversión]],B149:I161,8,FALSE),"-")</f>
        <v>1.1232856078325156E-3</v>
      </c>
    </row>
    <row r="148" spans="1:16" hidden="1" x14ac:dyDescent="0.35">
      <c r="A148" s="1">
        <v>43411</v>
      </c>
      <c r="B148" t="s">
        <v>100</v>
      </c>
      <c r="C148" t="s">
        <v>82</v>
      </c>
      <c r="D148" s="6">
        <v>0</v>
      </c>
      <c r="E148" s="13">
        <v>0</v>
      </c>
      <c r="F148" s="46">
        <f>IF(Inversiones[[#This Row],[Total Cuotapartes]]=0,0,_xlfn.IFNA(VLOOKUP(Inversiones[[#This Row],[Nombre Inversión]],B149:F157,5,FALSE),0)+Inversiones[[#This Row],[Monto]])</f>
        <v>5000.1536452799992</v>
      </c>
      <c r="G148" s="6">
        <f>Inversiones[[#This Row],[Total Cuotapartes]]*Inversiones[[#This Row],[Valor Cuotaparte]]</f>
        <v>4749.0262201199994</v>
      </c>
      <c r="H148" s="25">
        <f>_xlfn.IFNA(VLOOKUP(Inversiones[[#This Row],[Nombre Inversión]],B149:H156,7,FALSE),0)+Inversiones[[#This Row],[Cant. Cuotapartes]]</f>
        <v>105.96</v>
      </c>
      <c r="I148" s="31">
        <v>44.819046999999998</v>
      </c>
      <c r="J148" s="7">
        <f>IF(ABS(Inversiones[[#This Row],[Saldo Valorizado]]-Inversiones[[#This Row],[Monto Invertido]]-G151+F151)&gt;500,"-",Inversiones[[#This Row],[Saldo Valorizado]]-Inversiones[[#This Row],[Monto Invertido]]-G151+F151)</f>
        <v>-5.457469800000581</v>
      </c>
      <c r="K148" s="36">
        <f>IFERROR((Inversiones[[#This Row],[Valor Cuotaparte]]-VLOOKUP(Inversiones[[#This Row],[Nombre Inversión]],B149:I162,8,FALSE))/VLOOKUP(Inversiones[[#This Row],[Nombre Inversión]],B151:I163,8,FALSE),"-")</f>
        <v>-1.147857507971061E-3</v>
      </c>
    </row>
    <row r="149" spans="1:16" hidden="1" x14ac:dyDescent="0.35">
      <c r="A149" s="1">
        <v>43411</v>
      </c>
      <c r="B149" t="s">
        <v>78</v>
      </c>
      <c r="C149" t="s">
        <v>82</v>
      </c>
      <c r="D149" s="6">
        <v>0</v>
      </c>
      <c r="E149" s="13">
        <v>0</v>
      </c>
      <c r="F149" s="46">
        <f>IF(Inversiones[[#This Row],[Total Cuotapartes]]=0,0,_xlfn.IFNA(VLOOKUP(Inversiones[[#This Row],[Nombre Inversión]],B150:F158,5,FALSE),0)+Inversiones[[#This Row],[Monto]])</f>
        <v>21999.910284389996</v>
      </c>
      <c r="G149" s="6">
        <f>Inversiones[[#This Row],[Total Cuotapartes]]*Inversiones[[#This Row],[Valor Cuotaparte]]</f>
        <v>24938.808175469996</v>
      </c>
      <c r="H149" s="25">
        <f>_xlfn.IFNA(VLOOKUP(Inversiones[[#This Row],[Nombre Inversión]],B150:H157,7,FALSE),0)+Inversiones[[#This Row],[Cant. Cuotapartes]]</f>
        <v>6410.3899999999994</v>
      </c>
      <c r="I149" s="14">
        <v>3.8903729999999999</v>
      </c>
      <c r="J149" s="7">
        <f>Inversiones[[#This Row],[Saldo Valorizado]]-G150</f>
        <v>28.077508199996373</v>
      </c>
      <c r="K149" s="23">
        <f>IFERROR((Inversiones[[#This Row],[Valor Cuotaparte]]-VLOOKUP(Inversiones[[#This Row],[Nombre Inversión]],B151:I163,8,FALSE))/VLOOKUP(Inversiones[[#This Row],[Nombre Inversión]],B152:I164,8,FALSE),"-")</f>
        <v>1.1271250359946167E-3</v>
      </c>
    </row>
    <row r="150" spans="1:16" hidden="1" x14ac:dyDescent="0.35">
      <c r="A150" s="1">
        <v>43411</v>
      </c>
      <c r="B150" t="s">
        <v>78</v>
      </c>
      <c r="C150" t="s">
        <v>79</v>
      </c>
      <c r="D150" s="6">
        <f>Inversiones[[#This Row],[Cant. Cuotapartes]]*Inversiones[[#This Row],[Valor Cuotaparte]]</f>
        <v>-9000.0375078599991</v>
      </c>
      <c r="E150" s="13">
        <v>-2316.02</v>
      </c>
      <c r="F150" s="46">
        <f>IF(Inversiones[[#This Row],[Total Cuotapartes]]=0,0,_xlfn.IFNA(VLOOKUP(Inversiones[[#This Row],[Nombre Inversión]],B151:F159,5,FALSE),0)+Inversiones[[#This Row],[Monto]])</f>
        <v>21999.910284389996</v>
      </c>
      <c r="G150" s="6">
        <f>Inversiones[[#This Row],[Total Cuotapartes]]*Inversiones[[#This Row],[Valor Cuotaparte]]</f>
        <v>24910.73066727</v>
      </c>
      <c r="H150" s="25">
        <f>_xlfn.IFNA(VLOOKUP(Inversiones[[#This Row],[Nombre Inversión]],B151:H158,7,FALSE),0)+Inversiones[[#This Row],[Cant. Cuotapartes]]</f>
        <v>6410.3899999999994</v>
      </c>
      <c r="I150" s="14">
        <v>3.885993</v>
      </c>
      <c r="J150" s="7" t="str">
        <f>IF(ABS(Inversiones[[#This Row],[Saldo Valorizado]]-Inversiones[[#This Row],[Monto Invertido]]-G151+F151)&gt;500,"-",Inversiones[[#This Row],[Saldo Valorizado]]-Inversiones[[#This Row],[Monto Invertido]]-G151+F151)</f>
        <v>-</v>
      </c>
      <c r="K150" s="23"/>
    </row>
    <row r="151" spans="1:16" hidden="1" x14ac:dyDescent="0.35">
      <c r="A151" s="1">
        <v>43409</v>
      </c>
      <c r="B151" t="s">
        <v>100</v>
      </c>
      <c r="C151" t="s">
        <v>82</v>
      </c>
      <c r="D151" s="6">
        <v>0</v>
      </c>
      <c r="E151" s="13">
        <v>0</v>
      </c>
      <c r="F151" s="46">
        <f>IF(Inversiones[[#This Row],[Total Cuotapartes]]=0,0,_xlfn.IFNA(VLOOKUP(Inversiones[[#This Row],[Nombre Inversión]],B152:F160,5,FALSE),0)+Inversiones[[#This Row],[Monto]])</f>
        <v>5000.1536452799992</v>
      </c>
      <c r="G151" s="6">
        <f>Inversiones[[#This Row],[Total Cuotapartes]]*Inversiones[[#This Row],[Valor Cuotaparte]]</f>
        <v>4754.48368992</v>
      </c>
      <c r="H151" s="25">
        <f>_xlfn.IFNA(VLOOKUP(Inversiones[[#This Row],[Nombre Inversión]],B152:H159,7,FALSE),0)+Inversiones[[#This Row],[Cant. Cuotapartes]]</f>
        <v>105.96</v>
      </c>
      <c r="I151" s="31">
        <v>44.870552000000004</v>
      </c>
      <c r="J151" s="7">
        <f>IF(ABS(Inversiones[[#This Row],[Saldo Valorizado]]-Inversiones[[#This Row],[Monto Invertido]]-G154+F154)&gt;500,"-",Inversiones[[#This Row],[Saldo Valorizado]]-Inversiones[[#This Row],[Monto Invertido]]-G154+F154)</f>
        <v>1.1177720400000908</v>
      </c>
      <c r="K151" s="36">
        <f>IFERROR((Inversiones[[#This Row],[Valor Cuotaparte]]-VLOOKUP(Inversiones[[#This Row],[Nombre Inversión]],B152:I165,8,FALSE))/VLOOKUP(Inversiones[[#This Row],[Nombre Inversión]],B154:I166,8,FALSE),"-")</f>
        <v>2.3515379613337482E-4</v>
      </c>
    </row>
    <row r="152" spans="1:16" hidden="1" x14ac:dyDescent="0.35">
      <c r="A152" s="1">
        <v>43409</v>
      </c>
      <c r="B152" t="s">
        <v>78</v>
      </c>
      <c r="C152" t="s">
        <v>82</v>
      </c>
      <c r="D152" s="6">
        <v>0</v>
      </c>
      <c r="E152" s="13">
        <v>0</v>
      </c>
      <c r="F152" s="46">
        <f>IF(Inversiones[[#This Row],[Total Cuotapartes]]=0,0,_xlfn.IFNA(VLOOKUP(Inversiones[[#This Row],[Nombre Inversión]],B153:F161,5,FALSE),0)+Inversiones[[#This Row],[Monto]])</f>
        <v>30999.947792249997</v>
      </c>
      <c r="G152" s="6">
        <f>Inversiones[[#This Row],[Total Cuotapartes]]*Inversiones[[#This Row],[Valor Cuotaparte]]</f>
        <v>33910.768175129997</v>
      </c>
      <c r="H152" s="25">
        <f>_xlfn.IFNA(VLOOKUP(Inversiones[[#This Row],[Nombre Inversión]],B153:H160,7,FALSE),0)+Inversiones[[#This Row],[Cant. Cuotapartes]]</f>
        <v>8726.41</v>
      </c>
      <c r="I152" s="14">
        <v>3.885993</v>
      </c>
      <c r="J152" s="7">
        <f>Inversiones[[#This Row],[Saldo Valorizado]]-G153</f>
        <v>77.673775409995869</v>
      </c>
      <c r="K152" s="23">
        <f>IFERROR((Inversiones[[#This Row],[Valor Cuotaparte]]-VLOOKUP(Inversiones[[#This Row],[Nombre Inversión]],B154:I166,8,FALSE))/VLOOKUP(Inversiones[[#This Row],[Nombre Inversión]],B155:I167,8,FALSE),"-")</f>
        <v>2.2957928261696718E-3</v>
      </c>
    </row>
    <row r="153" spans="1:16" hidden="1" x14ac:dyDescent="0.35">
      <c r="A153" s="1">
        <v>43409</v>
      </c>
      <c r="B153" t="s">
        <v>78</v>
      </c>
      <c r="C153" t="s">
        <v>79</v>
      </c>
      <c r="D153" s="6">
        <f>Inversiones[[#This Row],[Cant. Cuotapartes]]*Inversiones[[#This Row],[Valor Cuotaparte]]</f>
        <v>-8000.0304037199994</v>
      </c>
      <c r="E153" s="13">
        <v>-2063.41</v>
      </c>
      <c r="F153" s="46">
        <f>IF(Inversiones[[#This Row],[Total Cuotapartes]]=0,0,_xlfn.IFNA(VLOOKUP(Inversiones[[#This Row],[Nombre Inversión]],B154:F162,5,FALSE),0)+Inversiones[[#This Row],[Monto]])</f>
        <v>30999.947792249997</v>
      </c>
      <c r="G153" s="6">
        <f>Inversiones[[#This Row],[Total Cuotapartes]]*Inversiones[[#This Row],[Valor Cuotaparte]]</f>
        <v>33833.094399720001</v>
      </c>
      <c r="H153" s="25">
        <f>_xlfn.IFNA(VLOOKUP(Inversiones[[#This Row],[Nombre Inversión]],B154:H161,7,FALSE),0)+Inversiones[[#This Row],[Cant. Cuotapartes]]</f>
        <v>8726.41</v>
      </c>
      <c r="I153" s="14">
        <v>3.8770920000000002</v>
      </c>
      <c r="J153" s="7" t="str">
        <f>IF(ABS(Inversiones[[#This Row],[Saldo Valorizado]]-Inversiones[[#This Row],[Monto Invertido]]-G154+F154)&gt;500,"-",Inversiones[[#This Row],[Saldo Valorizado]]-Inversiones[[#This Row],[Monto Invertido]]-G154+F154)</f>
        <v>-</v>
      </c>
      <c r="K153" s="23"/>
    </row>
    <row r="154" spans="1:16" hidden="1" x14ac:dyDescent="0.35">
      <c r="A154" s="1">
        <v>43406</v>
      </c>
      <c r="B154" t="s">
        <v>100</v>
      </c>
      <c r="C154" t="s">
        <v>82</v>
      </c>
      <c r="D154" s="6">
        <v>0</v>
      </c>
      <c r="E154" s="13">
        <v>0</v>
      </c>
      <c r="F154" s="46">
        <f>IF(Inversiones[[#This Row],[Total Cuotapartes]]=0,0,_xlfn.IFNA(VLOOKUP(Inversiones[[#This Row],[Nombre Inversión]],B155:F163,5,FALSE),0)+Inversiones[[#This Row],[Monto]])</f>
        <v>5000.1536452799992</v>
      </c>
      <c r="G154" s="6">
        <f>Inversiones[[#This Row],[Total Cuotapartes]]*Inversiones[[#This Row],[Valor Cuotaparte]]</f>
        <v>4753.3659178799999</v>
      </c>
      <c r="H154" s="25">
        <f>_xlfn.IFNA(VLOOKUP(Inversiones[[#This Row],[Nombre Inversión]],B155:H162,7,FALSE),0)+Inversiones[[#This Row],[Cant. Cuotapartes]]</f>
        <v>105.96</v>
      </c>
      <c r="I154" s="31">
        <v>44.860002999999999</v>
      </c>
      <c r="J154" s="7">
        <f>IF(ABS(Inversiones[[#This Row],[Saldo Valorizado]]-Inversiones[[#This Row],[Monto Invertido]]-G156+F156)&gt;500,"-",Inversiones[[#This Row],[Saldo Valorizado]]-Inversiones[[#This Row],[Monto Invertido]]-G156+F156)</f>
        <v>27.068223719999878</v>
      </c>
      <c r="K154" s="36">
        <f>IFERROR((Inversiones[[#This Row],[Valor Cuotaparte]]-VLOOKUP(Inversiones[[#This Row],[Nombre Inversión]],B155:I167,8,FALSE))/VLOOKUP(Inversiones[[#This Row],[Nombre Inversión]],B156:I168,8,FALSE),"-")</f>
        <v>5.7271516674555958E-3</v>
      </c>
      <c r="L154" s="28"/>
      <c r="M154" s="29">
        <f>K154+K156+K158+K161+K163</f>
        <v>7.0964086409370589E-2</v>
      </c>
      <c r="N154" s="7">
        <f>Inversiones[[#This Row],[Dif]]+J156+J158+J161+J163</f>
        <v>317.89207944000009</v>
      </c>
    </row>
    <row r="155" spans="1:16" hidden="1" x14ac:dyDescent="0.35">
      <c r="A155" s="1">
        <v>43406</v>
      </c>
      <c r="B155" t="s">
        <v>78</v>
      </c>
      <c r="C155" t="s">
        <v>82</v>
      </c>
      <c r="D155" s="6">
        <v>0</v>
      </c>
      <c r="E155" s="13">
        <v>0</v>
      </c>
      <c r="F155" s="46">
        <f>IF(Inversiones[[#This Row],[Total Cuotapartes]]=0,0,_xlfn.IFNA(VLOOKUP(Inversiones[[#This Row],[Nombre Inversión]],B156:F164,5,FALSE),0)+Inversiones[[#This Row],[Monto]])</f>
        <v>38999.978195969998</v>
      </c>
      <c r="G155" s="6">
        <f>Inversiones[[#This Row],[Total Cuotapartes]]*Inversiones[[#This Row],[Valor Cuotaparte]]</f>
        <v>41833.124803439998</v>
      </c>
      <c r="H155" s="25">
        <f>_xlfn.IFNA(VLOOKUP(Inversiones[[#This Row],[Nombre Inversión]],B156:H163,7,FALSE),0)+Inversiones[[#This Row],[Cant. Cuotapartes]]</f>
        <v>10789.82</v>
      </c>
      <c r="I155" s="14">
        <v>3.8770920000000002</v>
      </c>
      <c r="J155" s="7">
        <f>IF(ABS(Inversiones[[#This Row],[Saldo Valorizado]]-Inversiones[[#This Row],[Monto Invertido]]-G157+F157)&gt;500,"-",Inversiones[[#This Row],[Saldo Valorizado]]-Inversiones[[#This Row],[Monto Invertido]]-G157+F157)</f>
        <v>140.22450071999629</v>
      </c>
      <c r="K155" s="23">
        <f>IFERROR((Inversiones[[#This Row],[Valor Cuotaparte]]-VLOOKUP(Inversiones[[#This Row],[Nombre Inversión]],B156:I168,8,FALSE))/VLOOKUP(Inversiones[[#This Row],[Nombre Inversión]],B157:I169,8,FALSE),"-")</f>
        <v>3.3632704777521649E-3</v>
      </c>
      <c r="L155" s="28"/>
      <c r="M155" s="29">
        <f>K155+K157+K159+K162+K164</f>
        <v>7.8277113677085435E-3</v>
      </c>
      <c r="N155" s="7">
        <f>Inversiones[[#This Row],[Dif]]+J157+J159+J162+J164</f>
        <v>283.30327817999569</v>
      </c>
    </row>
    <row r="156" spans="1:16" hidden="1" x14ac:dyDescent="0.35">
      <c r="A156" s="1">
        <v>43405</v>
      </c>
      <c r="B156" t="s">
        <v>100</v>
      </c>
      <c r="C156" t="s">
        <v>82</v>
      </c>
      <c r="D156" s="6">
        <v>0</v>
      </c>
      <c r="E156" s="13">
        <v>0</v>
      </c>
      <c r="F156" s="46">
        <f>IF(Inversiones[[#This Row],[Total Cuotapartes]]=0,0,_xlfn.IFNA(VLOOKUP(Inversiones[[#This Row],[Nombre Inversión]],B157:F165,5,FALSE),0)+Inversiones[[#This Row],[Monto]])</f>
        <v>5000.1536452799992</v>
      </c>
      <c r="G156" s="6">
        <f>Inversiones[[#This Row],[Total Cuotapartes]]*Inversiones[[#This Row],[Valor Cuotaparte]]</f>
        <v>4726.29769416</v>
      </c>
      <c r="H156" s="25">
        <f>_xlfn.IFNA(VLOOKUP(Inversiones[[#This Row],[Nombre Inversión]],B157:H164,7,FALSE),0)+Inversiones[[#This Row],[Cant. Cuotapartes]]</f>
        <v>105.96</v>
      </c>
      <c r="I156" s="31">
        <v>44.604545999999999</v>
      </c>
      <c r="J156" s="7">
        <f>IF(ABS(Inversiones[[#This Row],[Saldo Valorizado]]-Inversiones[[#This Row],[Monto Invertido]]-G158+F158)&gt;500,"-",Inversiones[[#This Row],[Saldo Valorizado]]-Inversiones[[#This Row],[Monto Invertido]]-G158+F158)</f>
        <v>250.88318736000019</v>
      </c>
      <c r="K156" s="36">
        <f>IFERROR((Inversiones[[#This Row],[Valor Cuotaparte]]-VLOOKUP(Inversiones[[#This Row],[Nombre Inversión]],B157:I169,8,FALSE))/VLOOKUP(Inversiones[[#This Row],[Nombre Inversión]],B158:I170,8,FALSE),"-")</f>
        <v>5.6058089586742223E-2</v>
      </c>
      <c r="P156" s="7">
        <f>N155+N166+N177+N186</f>
        <v>837.43376725999042</v>
      </c>
    </row>
    <row r="157" spans="1:16" hidden="1" x14ac:dyDescent="0.35">
      <c r="A157" s="1">
        <v>43405</v>
      </c>
      <c r="B157" t="s">
        <v>78</v>
      </c>
      <c r="C157" t="s">
        <v>82</v>
      </c>
      <c r="D157" s="6">
        <v>0</v>
      </c>
      <c r="E157" s="13">
        <v>0</v>
      </c>
      <c r="F157" s="46">
        <f>IF(Inversiones[[#This Row],[Total Cuotapartes]]=0,0,_xlfn.IFNA(VLOOKUP(Inversiones[[#This Row],[Nombre Inversión]],B158:F166,5,FALSE),0)+Inversiones[[#This Row],[Monto]])</f>
        <v>38999.978195969998</v>
      </c>
      <c r="G157" s="6">
        <f>Inversiones[[#This Row],[Total Cuotapartes]]*Inversiones[[#This Row],[Valor Cuotaparte]]</f>
        <v>41692.900302720001</v>
      </c>
      <c r="H157" s="25">
        <f>_xlfn.IFNA(VLOOKUP(Inversiones[[#This Row],[Nombre Inversión]],B158:H165,7,FALSE),0)+Inversiones[[#This Row],[Cant. Cuotapartes]]</f>
        <v>10789.82</v>
      </c>
      <c r="I157" s="14">
        <v>3.864096</v>
      </c>
      <c r="J157" s="7">
        <f>IF(ABS(Inversiones[[#This Row],[Saldo Valorizado]]-Inversiones[[#This Row],[Monto Invertido]]-G159+F159)&gt;500,"-",Inversiones[[#This Row],[Saldo Valorizado]]-Inversiones[[#This Row],[Monto Invertido]]-G159+F159)</f>
        <v>46.061741580000671</v>
      </c>
      <c r="K157" s="23">
        <f>IFERROR((Inversiones[[#This Row],[Valor Cuotaparte]]-VLOOKUP(Inversiones[[#This Row],[Nombre Inversión]],B158:I170,8,FALSE))/VLOOKUP(Inversiones[[#This Row],[Nombre Inversión]],B159:I171,8,FALSE),"-")</f>
        <v>1.1060081190166959E-3</v>
      </c>
    </row>
    <row r="158" spans="1:16" hidden="1" x14ac:dyDescent="0.35">
      <c r="A158" s="1">
        <v>43404</v>
      </c>
      <c r="B158" t="s">
        <v>100</v>
      </c>
      <c r="C158" t="s">
        <v>82</v>
      </c>
      <c r="D158" s="6">
        <v>0</v>
      </c>
      <c r="E158" s="13">
        <v>0</v>
      </c>
      <c r="F158" s="46">
        <f>IF(Inversiones[[#This Row],[Total Cuotapartes]]=0,0,_xlfn.IFNA(VLOOKUP(Inversiones[[#This Row],[Nombre Inversión]],B159:F167,5,FALSE),0)+Inversiones[[#This Row],[Monto]])</f>
        <v>5000.1536452799992</v>
      </c>
      <c r="G158" s="6">
        <f>Inversiones[[#This Row],[Total Cuotapartes]]*Inversiones[[#This Row],[Valor Cuotaparte]]</f>
        <v>4475.4145067999998</v>
      </c>
      <c r="H158" s="25">
        <f>_xlfn.IFNA(VLOOKUP(Inversiones[[#This Row],[Nombre Inversión]],B159:H166,7,FALSE),0)+Inversiones[[#This Row],[Cant. Cuotapartes]]</f>
        <v>105.96</v>
      </c>
      <c r="I158" s="31">
        <v>42.236829999999998</v>
      </c>
      <c r="J158" s="7">
        <f>IF(ABS(Inversiones[[#This Row],[Saldo Valorizado]]-Inversiones[[#This Row],[Monto Invertido]]-G161+F161)&gt;500,"-",Inversiones[[#This Row],[Saldo Valorizado]]-Inversiones[[#This Row],[Monto Invertido]]-G161+F161)</f>
        <v>20.383949040000516</v>
      </c>
      <c r="K158" s="36">
        <f>IFERROR((Inversiones[[#This Row],[Valor Cuotaparte]]-VLOOKUP(Inversiones[[#This Row],[Nombre Inversión]],B159:I172,8,FALSE))/VLOOKUP(Inversiones[[#This Row],[Nombre Inversión]],B161:I173,8,FALSE),"-")</f>
        <v>4.5754902858060748E-3</v>
      </c>
    </row>
    <row r="159" spans="1:16" hidden="1" x14ac:dyDescent="0.35">
      <c r="A159" s="1">
        <v>43404</v>
      </c>
      <c r="B159" t="s">
        <v>78</v>
      </c>
      <c r="C159" t="s">
        <v>82</v>
      </c>
      <c r="D159" s="6">
        <v>0</v>
      </c>
      <c r="E159" s="13">
        <v>0</v>
      </c>
      <c r="F159" s="46">
        <f>IF(Inversiones[[#This Row],[Total Cuotapartes]]=0,0,_xlfn.IFNA(VLOOKUP(Inversiones[[#This Row],[Nombre Inversión]],B160:F168,5,FALSE),0)+Inversiones[[#This Row],[Monto]])</f>
        <v>38999.978195969998</v>
      </c>
      <c r="G159" s="6">
        <f>Inversiones[[#This Row],[Total Cuotapartes]]*Inversiones[[#This Row],[Valor Cuotaparte]]</f>
        <v>41646.838561140001</v>
      </c>
      <c r="H159" s="25">
        <f>_xlfn.IFNA(VLOOKUP(Inversiones[[#This Row],[Nombre Inversión]],B160:H167,7,FALSE),0)+Inversiones[[#This Row],[Cant. Cuotapartes]]</f>
        <v>10789.82</v>
      </c>
      <c r="I159" s="14">
        <v>3.8598270000000001</v>
      </c>
      <c r="J159" s="7">
        <f>Inversiones[[#This Row],[Saldo Valorizado]]-G160</f>
        <v>46.417805639997823</v>
      </c>
      <c r="K159" s="23">
        <f>IFERROR((Inversiones[[#This Row],[Valor Cuotaparte]]-VLOOKUP(Inversiones[[#This Row],[Nombre Inversión]],B161:I173,8,FALSE))/VLOOKUP(Inversiones[[#This Row],[Nombre Inversión]],B162:I174,8,FALSE),"-")</f>
        <v>1.1158013500107062E-3</v>
      </c>
    </row>
    <row r="160" spans="1:16" hidden="1" x14ac:dyDescent="0.35">
      <c r="A160" s="1">
        <v>43404</v>
      </c>
      <c r="B160" t="s">
        <v>78</v>
      </c>
      <c r="C160" t="s">
        <v>76</v>
      </c>
      <c r="D160" s="6">
        <f>Inversiones[[#This Row],[Cant. Cuotapartes]]*Inversiones[[#This Row],[Valor Cuotaparte]]</f>
        <v>19000.0272</v>
      </c>
      <c r="E160" s="25">
        <v>4928</v>
      </c>
      <c r="F160" s="46">
        <f>IF(Inversiones[[#This Row],[Total Cuotapartes]]=0,0,_xlfn.IFNA(VLOOKUP(Inversiones[[#This Row],[Nombre Inversión]],B161:F169,5,FALSE),0)+Inversiones[[#This Row],[Monto]])</f>
        <v>38999.978195969998</v>
      </c>
      <c r="G160" s="6">
        <f>Inversiones[[#This Row],[Total Cuotapartes]]*Inversiones[[#This Row],[Valor Cuotaparte]]</f>
        <v>41600.420755500003</v>
      </c>
      <c r="H160" s="25">
        <f>_xlfn.IFNA(VLOOKUP(Inversiones[[#This Row],[Nombre Inversión]],B161:H168,7,FALSE),0)+Inversiones[[#This Row],[Cant. Cuotapartes]]</f>
        <v>10789.82</v>
      </c>
      <c r="I160" s="14">
        <v>3.8555250000000001</v>
      </c>
      <c r="J160" s="7" t="str">
        <f>IF(ABS(Inversiones[[#This Row],[Saldo Valorizado]]-Inversiones[[#This Row],[Monto Invertido]]-G161+F161)&gt;500,"-",Inversiones[[#This Row],[Saldo Valorizado]]-Inversiones[[#This Row],[Monto Invertido]]-G161+F161)</f>
        <v>-</v>
      </c>
    </row>
    <row r="161" spans="1:15" hidden="1" x14ac:dyDescent="0.35">
      <c r="A161" s="1">
        <v>43403</v>
      </c>
      <c r="B161" t="s">
        <v>100</v>
      </c>
      <c r="C161" t="s">
        <v>82</v>
      </c>
      <c r="D161" s="6">
        <v>0</v>
      </c>
      <c r="E161" s="13">
        <v>0</v>
      </c>
      <c r="F161" s="46">
        <f>IF(Inversiones[[#This Row],[Total Cuotapartes]]=0,0,_xlfn.IFNA(VLOOKUP(Inversiones[[#This Row],[Nombre Inversión]],B162:F170,5,FALSE),0)+Inversiones[[#This Row],[Monto]])</f>
        <v>5000.1536452799992</v>
      </c>
      <c r="G161" s="6">
        <f>Inversiones[[#This Row],[Total Cuotapartes]]*Inversiones[[#This Row],[Valor Cuotaparte]]</f>
        <v>4455.0305577599993</v>
      </c>
      <c r="H161" s="25">
        <f>_xlfn.IFNA(VLOOKUP(Inversiones[[#This Row],[Nombre Inversión]],B162:H169,7,FALSE),0)+Inversiones[[#This Row],[Cant. Cuotapartes]]</f>
        <v>105.96</v>
      </c>
      <c r="I161" s="31">
        <v>42.044455999999997</v>
      </c>
      <c r="J161" s="7">
        <f>IF(ABS(Inversiones[[#This Row],[Saldo Valorizado]]-Inversiones[[#This Row],[Monto Invertido]]-G163+F163)&gt;500,"-",Inversiones[[#This Row],[Saldo Valorizado]]-Inversiones[[#This Row],[Monto Invertido]]-G163+F163)</f>
        <v>71.994945839999673</v>
      </c>
      <c r="K161" s="36">
        <f>IFERROR((Inversiones[[#This Row],[Valor Cuotaparte]]-VLOOKUP(Inversiones[[#This Row],[Nombre Inversión]],B162:I174,8,FALSE))/VLOOKUP(Inversiones[[#This Row],[Nombre Inversión]],B163:I175,8,FALSE),"-")</f>
        <v>1.6425818134857093E-2</v>
      </c>
    </row>
    <row r="162" spans="1:15" hidden="1" x14ac:dyDescent="0.35">
      <c r="A162" s="1">
        <v>43403</v>
      </c>
      <c r="B162" t="s">
        <v>78</v>
      </c>
      <c r="C162" t="s">
        <v>82</v>
      </c>
      <c r="D162" s="6">
        <v>0</v>
      </c>
      <c r="E162" s="13">
        <v>0</v>
      </c>
      <c r="F162" s="46">
        <f>IF(Inversiones[[#This Row],[Total Cuotapartes]]=0,0,_xlfn.IFNA(VLOOKUP(Inversiones[[#This Row],[Nombre Inversión]],B163:F171,5,FALSE),0)+Inversiones[[#This Row],[Monto]])</f>
        <v>19999.950995969997</v>
      </c>
      <c r="G162" s="6">
        <f>Inversiones[[#This Row],[Total Cuotapartes]]*Inversiones[[#This Row],[Valor Cuotaparte]]</f>
        <v>22600.393555499999</v>
      </c>
      <c r="H162" s="25">
        <f>_xlfn.IFNA(VLOOKUP(Inversiones[[#This Row],[Nombre Inversión]],B163:H170,7,FALSE),0)+Inversiones[[#This Row],[Cant. Cuotapartes]]</f>
        <v>5861.82</v>
      </c>
      <c r="I162" s="14">
        <v>3.8555250000000001</v>
      </c>
      <c r="J162" s="7">
        <f>IF(ABS(Inversiones[[#This Row],[Saldo Valorizado]]-Inversiones[[#This Row],[Monto Invertido]]-G164+F164)&gt;500,"-",Inversiones[[#This Row],[Saldo Valorizado]]-Inversiones[[#This Row],[Monto Invertido]]-G164+F164)</f>
        <v>25.299615120002272</v>
      </c>
      <c r="K162" s="23">
        <f>IFERROR((Inversiones[[#This Row],[Valor Cuotaparte]]-VLOOKUP(Inversiones[[#This Row],[Nombre Inversión]],B163:I175,8,FALSE))/VLOOKUP(Inversiones[[#This Row],[Nombre Inversión]],B164:I176,8,FALSE),"-")</f>
        <v>1.120687036200894E-3</v>
      </c>
    </row>
    <row r="163" spans="1:15" hidden="1" x14ac:dyDescent="0.35">
      <c r="A163" s="1">
        <v>43402</v>
      </c>
      <c r="B163" t="s">
        <v>100</v>
      </c>
      <c r="C163" t="s">
        <v>82</v>
      </c>
      <c r="D163" s="6">
        <v>0</v>
      </c>
      <c r="E163" s="13">
        <v>0</v>
      </c>
      <c r="F163" s="46">
        <f>IF(Inversiones[[#This Row],[Total Cuotapartes]]=0,0,_xlfn.IFNA(VLOOKUP(Inversiones[[#This Row],[Nombre Inversión]],B164:F172,5,FALSE),0)+Inversiones[[#This Row],[Monto]])</f>
        <v>5000.1536452799992</v>
      </c>
      <c r="G163" s="6">
        <f>Inversiones[[#This Row],[Total Cuotapartes]]*Inversiones[[#This Row],[Valor Cuotaparte]]</f>
        <v>4383.0356119199996</v>
      </c>
      <c r="H163" s="25">
        <f>_xlfn.IFNA(VLOOKUP(Inversiones[[#This Row],[Nombre Inversión]],B164:H171,7,FALSE),0)+Inversiones[[#This Row],[Cant. Cuotapartes]]</f>
        <v>105.96</v>
      </c>
      <c r="I163" s="31">
        <v>41.365001999999997</v>
      </c>
      <c r="J163" s="7">
        <f>IF(ABS(Inversiones[[#This Row],[Saldo Valorizado]]-Inversiones[[#This Row],[Monto Invertido]]-G165+F165)&gt;500,"-",Inversiones[[#This Row],[Saldo Valorizado]]-Inversiones[[#This Row],[Monto Invertido]]-G165+F165)</f>
        <v>-52.438226520000171</v>
      </c>
      <c r="K163" s="36">
        <f>IFERROR((Inversiones[[#This Row],[Valor Cuotaparte]]-VLOOKUP(Inversiones[[#This Row],[Nombre Inversión]],B164:I176,8,FALSE))/VLOOKUP(Inversiones[[#This Row],[Nombre Inversión]],B165:I177,8,FALSE),"-")</f>
        <v>-1.1822463265490399E-2</v>
      </c>
    </row>
    <row r="164" spans="1:15" hidden="1" x14ac:dyDescent="0.35">
      <c r="A164" s="1">
        <v>43402</v>
      </c>
      <c r="B164" t="s">
        <v>78</v>
      </c>
      <c r="C164" t="s">
        <v>82</v>
      </c>
      <c r="D164" s="6">
        <v>0</v>
      </c>
      <c r="E164" s="13">
        <v>0</v>
      </c>
      <c r="F164" s="46">
        <f>IF(Inversiones[[#This Row],[Total Cuotapartes]]=0,0,_xlfn.IFNA(VLOOKUP(Inversiones[[#This Row],[Nombre Inversión]],B165:F173,5,FALSE),0)+Inversiones[[#This Row],[Monto]])</f>
        <v>19999.950995969997</v>
      </c>
      <c r="G164" s="6">
        <f>Inversiones[[#This Row],[Total Cuotapartes]]*Inversiones[[#This Row],[Valor Cuotaparte]]</f>
        <v>22575.093940379997</v>
      </c>
      <c r="H164" s="25">
        <f>_xlfn.IFNA(VLOOKUP(Inversiones[[#This Row],[Nombre Inversión]],B165:H172,7,FALSE),0)+Inversiones[[#This Row],[Cant. Cuotapartes]]</f>
        <v>5861.82</v>
      </c>
      <c r="I164" s="14">
        <v>3.8512089999999999</v>
      </c>
      <c r="J164" s="7">
        <f>IF(ABS(Inversiones[[#This Row],[Saldo Valorizado]]-Inversiones[[#This Row],[Monto Invertido]]-G166+F166)&gt;500,"-",Inversiones[[#This Row],[Saldo Valorizado]]-Inversiones[[#This Row],[Monto Invertido]]-G166+F166)</f>
        <v>25.299615119998634</v>
      </c>
      <c r="K164" s="23">
        <f>IFERROR((Inversiones[[#This Row],[Valor Cuotaparte]]-VLOOKUP(Inversiones[[#This Row],[Nombre Inversión]],B165:I177,8,FALSE))/VLOOKUP(Inversiones[[#This Row],[Nombre Inversión]],B166:I178,8,FALSE),"-")</f>
        <v>1.1219443847280816E-3</v>
      </c>
    </row>
    <row r="165" spans="1:15" hidden="1" x14ac:dyDescent="0.35">
      <c r="A165" s="1">
        <v>43399</v>
      </c>
      <c r="B165" t="s">
        <v>100</v>
      </c>
      <c r="C165" t="s">
        <v>82</v>
      </c>
      <c r="D165" s="6">
        <v>0</v>
      </c>
      <c r="E165" s="13">
        <v>0</v>
      </c>
      <c r="F165" s="46">
        <f>IF(Inversiones[[#This Row],[Total Cuotapartes]]=0,0,_xlfn.IFNA(VLOOKUP(Inversiones[[#This Row],[Nombre Inversión]],B166:F174,5,FALSE),0)+Inversiones[[#This Row],[Monto]])</f>
        <v>5000.1536452799992</v>
      </c>
      <c r="G165" s="6">
        <f>Inversiones[[#This Row],[Total Cuotapartes]]*Inversiones[[#This Row],[Valor Cuotaparte]]</f>
        <v>4435.4738384399998</v>
      </c>
      <c r="H165" s="25">
        <f>_xlfn.IFNA(VLOOKUP(Inversiones[[#This Row],[Nombre Inversión]],B166:H173,7,FALSE),0)+Inversiones[[#This Row],[Cant. Cuotapartes]]</f>
        <v>105.96</v>
      </c>
      <c r="I165" s="31">
        <v>41.859889000000003</v>
      </c>
      <c r="J165" s="7">
        <f>IF(ABS(Inversiones[[#This Row],[Saldo Valorizado]]-Inversiones[[#This Row],[Monto Invertido]]-G168+F168)&gt;500,"-",Inversiones[[#This Row],[Saldo Valorizado]]-Inversiones[[#This Row],[Monto Invertido]]-G168+F168)</f>
        <v>5.2630332000007911</v>
      </c>
      <c r="K165" s="36">
        <f>IFERROR((Inversiones[[#This Row],[Valor Cuotaparte]]-VLOOKUP(Inversiones[[#This Row],[Nombre Inversión]],B166:I179,8,FALSE))/VLOOKUP(Inversiones[[#This Row],[Nombre Inversión]],B168:I180,8,FALSE),"-")</f>
        <v>1.1879870803835327E-3</v>
      </c>
      <c r="L165" s="28"/>
      <c r="M165" s="29">
        <f>K165+K168+K170+K172+K174</f>
        <v>1.6288206413059642E-2</v>
      </c>
      <c r="N165" s="7">
        <f>Inversiones[[#This Row],[Dif]]+J168+J170+J172+J174</f>
        <v>68.297789520000151</v>
      </c>
      <c r="O165" s="23">
        <f>(SUM(I165:I166)-SUM(I176:I177))/SUM(I176:I177)</f>
        <v>1.497726488492567E-2</v>
      </c>
    </row>
    <row r="166" spans="1:15" hidden="1" x14ac:dyDescent="0.35">
      <c r="A166" s="1">
        <v>43399</v>
      </c>
      <c r="B166" t="s">
        <v>78</v>
      </c>
      <c r="C166" t="s">
        <v>82</v>
      </c>
      <c r="D166" s="6">
        <v>0</v>
      </c>
      <c r="E166" s="13">
        <v>0</v>
      </c>
      <c r="F166" s="46">
        <f>IF(Inversiones[[#This Row],[Total Cuotapartes]]=0,0,_xlfn.IFNA(VLOOKUP(Inversiones[[#This Row],[Nombre Inversión]],B167:F175,5,FALSE),0)+Inversiones[[#This Row],[Monto]])</f>
        <v>19999.950995969997</v>
      </c>
      <c r="G166" s="6">
        <f>Inversiones[[#This Row],[Total Cuotapartes]]*Inversiones[[#This Row],[Valor Cuotaparte]]</f>
        <v>22549.794325259998</v>
      </c>
      <c r="H166" s="25">
        <f>_xlfn.IFNA(VLOOKUP(Inversiones[[#This Row],[Nombre Inversión]],B167:H174,7,FALSE),0)+Inversiones[[#This Row],[Cant. Cuotapartes]]</f>
        <v>5861.82</v>
      </c>
      <c r="I166" s="14">
        <v>3.8468930000000001</v>
      </c>
      <c r="J166" s="7">
        <f>Inversiones[[#This Row],[Saldo Valorizado]]-G167</f>
        <v>75.681958019999001</v>
      </c>
      <c r="K166" s="23">
        <f>IFERROR((Inversiones[[#This Row],[Valor Cuotaparte]]-VLOOKUP(Inversiones[[#This Row],[Nombre Inversión]],B168:I180,8,FALSE))/VLOOKUP(Inversiones[[#This Row],[Nombre Inversión]],B169:I181,8,FALSE),"-")</f>
        <v>3.3675171140606138E-3</v>
      </c>
      <c r="L166" s="28"/>
      <c r="M166" s="29">
        <f>K166+K169+K171+K173+K175</f>
        <v>7.8107309943370971E-3</v>
      </c>
      <c r="N166" s="7">
        <f>Inversiones[[#This Row],[Dif]]+J169+J171+J173+J175</f>
        <v>179.69353621999471</v>
      </c>
    </row>
    <row r="167" spans="1:15" hidden="1" x14ac:dyDescent="0.35">
      <c r="A167" s="1">
        <v>43399</v>
      </c>
      <c r="B167" t="s">
        <v>78</v>
      </c>
      <c r="C167" t="s">
        <v>79</v>
      </c>
      <c r="D167" s="6">
        <f>Inversiones[[#This Row],[Cant. Cuotapartes]]*Inversiones[[#This Row],[Valor Cuotaparte]]</f>
        <v>-1000.0175250599999</v>
      </c>
      <c r="E167" s="13">
        <v>-260.83</v>
      </c>
      <c r="F167" s="46">
        <f>IF(Inversiones[[#This Row],[Total Cuotapartes]]=0,0,_xlfn.IFNA(VLOOKUP(Inversiones[[#This Row],[Nombre Inversión]],B168:F176,5,FALSE),0)+Inversiones[[#This Row],[Monto]])</f>
        <v>19999.950995969997</v>
      </c>
      <c r="G167" s="6">
        <f>Inversiones[[#This Row],[Total Cuotapartes]]*Inversiones[[#This Row],[Valor Cuotaparte]]</f>
        <v>22474.112367239999</v>
      </c>
      <c r="H167" s="25">
        <f>_xlfn.IFNA(VLOOKUP(Inversiones[[#This Row],[Nombre Inversión]],B168:H175,7,FALSE),0)+Inversiones[[#This Row],[Cant. Cuotapartes]]</f>
        <v>5861.82</v>
      </c>
      <c r="I167" s="14">
        <v>3.8339819999999998</v>
      </c>
      <c r="J167" s="7" t="str">
        <f>IF(ABS(Inversiones[[#This Row],[Saldo Valorizado]]-Inversiones[[#This Row],[Monto Invertido]]-G168+F168)&gt;500,"-",Inversiones[[#This Row],[Saldo Valorizado]]-Inversiones[[#This Row],[Monto Invertido]]-G168+F168)</f>
        <v>-</v>
      </c>
      <c r="K167" s="23"/>
    </row>
    <row r="168" spans="1:15" hidden="1" x14ac:dyDescent="0.35">
      <c r="A168" s="1">
        <v>43398</v>
      </c>
      <c r="B168" t="s">
        <v>100</v>
      </c>
      <c r="C168" t="s">
        <v>82</v>
      </c>
      <c r="D168" s="6">
        <v>0</v>
      </c>
      <c r="E168" s="13">
        <v>0</v>
      </c>
      <c r="F168" s="46">
        <f>IF(Inversiones[[#This Row],[Total Cuotapartes]]=0,0,_xlfn.IFNA(VLOOKUP(Inversiones[[#This Row],[Nombre Inversión]],B169:F177,5,FALSE),0)+Inversiones[[#This Row],[Monto]])</f>
        <v>5000.1536452799992</v>
      </c>
      <c r="G168" s="6">
        <f>Inversiones[[#This Row],[Total Cuotapartes]]*Inversiones[[#This Row],[Valor Cuotaparte]]</f>
        <v>4430.210805239999</v>
      </c>
      <c r="H168" s="25">
        <f>_xlfn.IFNA(VLOOKUP(Inversiones[[#This Row],[Nombre Inversión]],B169:H176,7,FALSE),0)+Inversiones[[#This Row],[Cant. Cuotapartes]]</f>
        <v>105.96</v>
      </c>
      <c r="I168" s="31">
        <v>41.810218999999996</v>
      </c>
      <c r="J168" s="7">
        <f>IF(ABS(Inversiones[[#This Row],[Saldo Valorizado]]-Inversiones[[#This Row],[Monto Invertido]]-G170+F170)&gt;500,"-",Inversiones[[#This Row],[Saldo Valorizado]]-Inversiones[[#This Row],[Monto Invertido]]-G170+F170)</f>
        <v>158.60813327999949</v>
      </c>
      <c r="K168" s="36">
        <f>IFERROR((Inversiones[[#This Row],[Valor Cuotaparte]]-VLOOKUP(Inversiones[[#This Row],[Nombre Inversión]],B169:I181,8,FALSE))/VLOOKUP(Inversiones[[#This Row],[Nombre Inversión]],B170:I182,8,FALSE),"-")</f>
        <v>3.7130825467721583E-2</v>
      </c>
    </row>
    <row r="169" spans="1:15" hidden="1" x14ac:dyDescent="0.35">
      <c r="A169" s="1">
        <v>43398</v>
      </c>
      <c r="B169" t="s">
        <v>78</v>
      </c>
      <c r="C169" t="s">
        <v>82</v>
      </c>
      <c r="D169" s="6">
        <v>0</v>
      </c>
      <c r="E169" s="13">
        <v>0</v>
      </c>
      <c r="F169" s="46">
        <f>IF(Inversiones[[#This Row],[Total Cuotapartes]]=0,0,_xlfn.IFNA(VLOOKUP(Inversiones[[#This Row],[Nombre Inversión]],B170:F178,5,FALSE),0)+Inversiones[[#This Row],[Monto]])</f>
        <v>20999.968521029998</v>
      </c>
      <c r="G169" s="6">
        <f>Inversiones[[#This Row],[Total Cuotapartes]]*Inversiones[[#This Row],[Valor Cuotaparte]]</f>
        <v>23474.129892299996</v>
      </c>
      <c r="H169" s="25">
        <f>_xlfn.IFNA(VLOOKUP(Inversiones[[#This Row],[Nombre Inversión]],B170:H177,7,FALSE),0)+Inversiones[[#This Row],[Cant. Cuotapartes]]</f>
        <v>6122.65</v>
      </c>
      <c r="I169" s="14">
        <v>3.8339819999999998</v>
      </c>
      <c r="J169" s="7">
        <f>IF(ABS(Inversiones[[#This Row],[Saldo Valorizado]]-Inversiones[[#This Row],[Monto Invertido]]-G171+F171)&gt;500,"-",Inversiones[[#This Row],[Saldo Valorizado]]-Inversiones[[#This Row],[Monto Invertido]]-G171+F171)</f>
        <v>26.10697959999743</v>
      </c>
      <c r="K169" s="23">
        <f>IFERROR((Inversiones[[#This Row],[Valor Cuotaparte]]-VLOOKUP(Inversiones[[#This Row],[Nombre Inversión]],B170:I182,8,FALSE))/VLOOKUP(Inversiones[[#This Row],[Nombre Inversión]],B171:I183,8,FALSE),"-")</f>
        <v>1.1133979055375882E-3</v>
      </c>
    </row>
    <row r="170" spans="1:15" hidden="1" x14ac:dyDescent="0.35">
      <c r="A170" s="1">
        <v>43397</v>
      </c>
      <c r="B170" t="s">
        <v>100</v>
      </c>
      <c r="C170" t="s">
        <v>82</v>
      </c>
      <c r="D170" s="6">
        <v>0</v>
      </c>
      <c r="E170" s="13">
        <v>0</v>
      </c>
      <c r="F170" s="46">
        <f>IF(Inversiones[[#This Row],[Total Cuotapartes]]=0,0,_xlfn.IFNA(VLOOKUP(Inversiones[[#This Row],[Nombre Inversión]],B171:F179,5,FALSE),0)+Inversiones[[#This Row],[Monto]])</f>
        <v>5000.1536452799992</v>
      </c>
      <c r="G170" s="6">
        <f>Inversiones[[#This Row],[Total Cuotapartes]]*Inversiones[[#This Row],[Valor Cuotaparte]]</f>
        <v>4271.6026719599995</v>
      </c>
      <c r="H170" s="25">
        <f>_xlfn.IFNA(VLOOKUP(Inversiones[[#This Row],[Nombre Inversión]],B171:H178,7,FALSE),0)+Inversiones[[#This Row],[Cant. Cuotapartes]]</f>
        <v>105.96</v>
      </c>
      <c r="I170" s="31">
        <v>40.313350999999997</v>
      </c>
      <c r="J170" s="7">
        <f>IF(ABS(Inversiones[[#This Row],[Saldo Valorizado]]-Inversiones[[#This Row],[Monto Invertido]]-G172+F172)&gt;500,"-",Inversiones[[#This Row],[Saldo Valorizado]]-Inversiones[[#This Row],[Monto Invertido]]-G172+F172)</f>
        <v>-37.657654200000252</v>
      </c>
      <c r="K170" s="36">
        <f>IFERROR((Inversiones[[#This Row],[Valor Cuotaparte]]-VLOOKUP(Inversiones[[#This Row],[Nombre Inversión]],B171:I183,8,FALSE))/VLOOKUP(Inversiones[[#This Row],[Nombre Inversión]],B172:I184,8,FALSE),"-")</f>
        <v>-8.7387744879077779E-3</v>
      </c>
    </row>
    <row r="171" spans="1:15" hidden="1" x14ac:dyDescent="0.35">
      <c r="A171" s="1">
        <v>43397</v>
      </c>
      <c r="B171" t="s">
        <v>78</v>
      </c>
      <c r="C171" t="s">
        <v>82</v>
      </c>
      <c r="D171" s="6">
        <v>0</v>
      </c>
      <c r="E171" s="13">
        <v>0</v>
      </c>
      <c r="F171" s="46">
        <f>IF(Inversiones[[#This Row],[Total Cuotapartes]]=0,0,_xlfn.IFNA(VLOOKUP(Inversiones[[#This Row],[Nombre Inversión]],B172:F180,5,FALSE),0)+Inversiones[[#This Row],[Monto]])</f>
        <v>20999.968521029998</v>
      </c>
      <c r="G171" s="6">
        <f>Inversiones[[#This Row],[Total Cuotapartes]]*Inversiones[[#This Row],[Valor Cuotaparte]]</f>
        <v>23448.022912699998</v>
      </c>
      <c r="H171" s="25">
        <f>_xlfn.IFNA(VLOOKUP(Inversiones[[#This Row],[Nombre Inversión]],B172:H179,7,FALSE),0)+Inversiones[[#This Row],[Cant. Cuotapartes]]</f>
        <v>6122.65</v>
      </c>
      <c r="I171" s="14">
        <v>3.8297180000000002</v>
      </c>
      <c r="J171" s="7">
        <f>IF(ABS(Inversiones[[#This Row],[Saldo Valorizado]]-Inversiones[[#This Row],[Monto Invertido]]-G173+F173)&gt;500,"-",Inversiones[[#This Row],[Saldo Valorizado]]-Inversiones[[#This Row],[Monto Invertido]]-G173+F173)</f>
        <v>26.015139849998377</v>
      </c>
      <c r="K171" s="23">
        <f>IFERROR((Inversiones[[#This Row],[Valor Cuotaparte]]-VLOOKUP(Inversiones[[#This Row],[Nombre Inversión]],B172:I184,8,FALSE))/VLOOKUP(Inversiones[[#This Row],[Nombre Inversión]],B173:I185,8,FALSE),"-")</f>
        <v>1.1107134837585063E-3</v>
      </c>
    </row>
    <row r="172" spans="1:15" hidden="1" x14ac:dyDescent="0.35">
      <c r="A172" s="1">
        <v>43396</v>
      </c>
      <c r="B172" t="s">
        <v>100</v>
      </c>
      <c r="C172" t="s">
        <v>82</v>
      </c>
      <c r="D172" s="6">
        <v>0</v>
      </c>
      <c r="E172" s="13">
        <v>0</v>
      </c>
      <c r="F172" s="46">
        <f>IF(Inversiones[[#This Row],[Total Cuotapartes]]=0,0,_xlfn.IFNA(VLOOKUP(Inversiones[[#This Row],[Nombre Inversión]],B173:F181,5,FALSE),0)+Inversiones[[#This Row],[Monto]])</f>
        <v>5000.1536452799992</v>
      </c>
      <c r="G172" s="6">
        <f>Inversiones[[#This Row],[Total Cuotapartes]]*Inversiones[[#This Row],[Valor Cuotaparte]]</f>
        <v>4309.2603261599997</v>
      </c>
      <c r="H172" s="25">
        <f>_xlfn.IFNA(VLOOKUP(Inversiones[[#This Row],[Nombre Inversión]],B173:H180,7,FALSE),0)+Inversiones[[#This Row],[Cant. Cuotapartes]]</f>
        <v>105.96</v>
      </c>
      <c r="I172" s="31">
        <v>40.668745999999999</v>
      </c>
      <c r="J172" s="7">
        <f>IF(ABS(Inversiones[[#This Row],[Saldo Valorizado]]-Inversiones[[#This Row],[Monto Invertido]]-G174+F174)&gt;500,"-",Inversiones[[#This Row],[Saldo Valorizado]]-Inversiones[[#This Row],[Monto Invertido]]-G174+F174)</f>
        <v>-45.19268172000011</v>
      </c>
      <c r="K172" s="36">
        <f>IFERROR((Inversiones[[#This Row],[Valor Cuotaparte]]-VLOOKUP(Inversiones[[#This Row],[Nombre Inversión]],B173:I185,8,FALSE))/VLOOKUP(Inversiones[[#This Row],[Nombre Inversión]],B174:I186,8,FALSE),"-")</f>
        <v>-1.0378497973963096E-2</v>
      </c>
    </row>
    <row r="173" spans="1:15" hidden="1" x14ac:dyDescent="0.35">
      <c r="A173" s="1">
        <v>43396</v>
      </c>
      <c r="B173" t="s">
        <v>78</v>
      </c>
      <c r="C173" t="s">
        <v>82</v>
      </c>
      <c r="D173" s="6">
        <v>0</v>
      </c>
      <c r="E173" s="13">
        <v>0</v>
      </c>
      <c r="F173" s="46">
        <f>IF(Inversiones[[#This Row],[Total Cuotapartes]]=0,0,_xlfn.IFNA(VLOOKUP(Inversiones[[#This Row],[Nombre Inversión]],B174:F182,5,FALSE),0)+Inversiones[[#This Row],[Monto]])</f>
        <v>20999.968521029998</v>
      </c>
      <c r="G173" s="6">
        <f>Inversiones[[#This Row],[Total Cuotapartes]]*Inversiones[[#This Row],[Valor Cuotaparte]]</f>
        <v>23422.00777285</v>
      </c>
      <c r="H173" s="25">
        <f>_xlfn.IFNA(VLOOKUP(Inversiones[[#This Row],[Nombre Inversión]],B174:H181,7,FALSE),0)+Inversiones[[#This Row],[Cant. Cuotapartes]]</f>
        <v>6122.65</v>
      </c>
      <c r="I173" s="14">
        <v>3.825469</v>
      </c>
      <c r="J173" s="7">
        <f>IF(ABS(Inversiones[[#This Row],[Saldo Valorizado]]-Inversiones[[#This Row],[Monto Invertido]]-G175+F175)&gt;500,"-",Inversiones[[#This Row],[Saldo Valorizado]]-Inversiones[[#This Row],[Monto Invertido]]-G175+F175)</f>
        <v>25.996771900001477</v>
      </c>
      <c r="K173" s="23">
        <f>IFERROR((Inversiones[[#This Row],[Valor Cuotaparte]]-VLOOKUP(Inversiones[[#This Row],[Nombre Inversión]],B174:I186,8,FALSE))/VLOOKUP(Inversiones[[#This Row],[Nombre Inversión]],B175:I187,8,FALSE),"-")</f>
        <v>1.1111625780542498E-3</v>
      </c>
    </row>
    <row r="174" spans="1:15" hidden="1" x14ac:dyDescent="0.35">
      <c r="A174" s="1">
        <v>43395</v>
      </c>
      <c r="B174" t="s">
        <v>100</v>
      </c>
      <c r="C174" t="s">
        <v>82</v>
      </c>
      <c r="D174" s="6">
        <v>0</v>
      </c>
      <c r="E174" s="13">
        <v>0</v>
      </c>
      <c r="F174" s="46">
        <f>IF(Inversiones[[#This Row],[Total Cuotapartes]]=0,0,_xlfn.IFNA(VLOOKUP(Inversiones[[#This Row],[Nombre Inversión]],B175:F183,5,FALSE),0)+Inversiones[[#This Row],[Monto]])</f>
        <v>5000.1536452799992</v>
      </c>
      <c r="G174" s="6">
        <f>Inversiones[[#This Row],[Total Cuotapartes]]*Inversiones[[#This Row],[Valor Cuotaparte]]</f>
        <v>4354.4530078799999</v>
      </c>
      <c r="H174" s="25">
        <f>_xlfn.IFNA(VLOOKUP(Inversiones[[#This Row],[Nombre Inversión]],B175:H182,7,FALSE),0)+Inversiones[[#This Row],[Cant. Cuotapartes]]</f>
        <v>105.96</v>
      </c>
      <c r="I174" s="31">
        <v>41.095253</v>
      </c>
      <c r="J174" s="7">
        <f>IF(ABS(Inversiones[[#This Row],[Saldo Valorizado]]-Inversiones[[#This Row],[Monto Invertido]]-G176+F176)&gt;500,"-",Inversiones[[#This Row],[Saldo Valorizado]]-Inversiones[[#This Row],[Monto Invertido]]-G176+F176)</f>
        <v>-12.723041039999771</v>
      </c>
      <c r="K174" s="36">
        <f>IFERROR((Inversiones[[#This Row],[Valor Cuotaparte]]-VLOOKUP(Inversiones[[#This Row],[Nombre Inversión]],B175:I187,8,FALSE))/VLOOKUP(Inversiones[[#This Row],[Nombre Inversión]],B176:I188,8,FALSE),"-")</f>
        <v>-2.9133336731746043E-3</v>
      </c>
    </row>
    <row r="175" spans="1:15" hidden="1" x14ac:dyDescent="0.35">
      <c r="A175" s="1">
        <v>43395</v>
      </c>
      <c r="B175" t="s">
        <v>78</v>
      </c>
      <c r="C175" t="s">
        <v>82</v>
      </c>
      <c r="D175" s="6">
        <v>0</v>
      </c>
      <c r="E175" s="13">
        <v>0</v>
      </c>
      <c r="F175" s="46">
        <f>IF(Inversiones[[#This Row],[Total Cuotapartes]]=0,0,_xlfn.IFNA(VLOOKUP(Inversiones[[#This Row],[Nombre Inversión]],B176:F184,5,FALSE),0)+Inversiones[[#This Row],[Monto]])</f>
        <v>20999.968521029998</v>
      </c>
      <c r="G175" s="6">
        <f>Inversiones[[#This Row],[Total Cuotapartes]]*Inversiones[[#This Row],[Valor Cuotaparte]]</f>
        <v>23396.011000949999</v>
      </c>
      <c r="H175" s="25">
        <f>_xlfn.IFNA(VLOOKUP(Inversiones[[#This Row],[Nombre Inversión]],B176:H183,7,FALSE),0)+Inversiones[[#This Row],[Cant. Cuotapartes]]</f>
        <v>6122.65</v>
      </c>
      <c r="I175" s="14">
        <v>3.8212229999999998</v>
      </c>
      <c r="J175" s="7">
        <f>IF(ABS(Inversiones[[#This Row],[Saldo Valorizado]]-Inversiones[[#This Row],[Monto Invertido]]-G177+F177)&gt;500,"-",Inversiones[[#This Row],[Saldo Valorizado]]-Inversiones[[#This Row],[Monto Invertido]]-G177+F177)</f>
        <v>25.892686849998427</v>
      </c>
      <c r="K175" s="23">
        <f>IFERROR((Inversiones[[#This Row],[Valor Cuotaparte]]-VLOOKUP(Inversiones[[#This Row],[Nombre Inversión]],B176:I188,8,FALSE))/VLOOKUP(Inversiones[[#This Row],[Nombre Inversión]],B177:I189,8,FALSE),"-")</f>
        <v>1.1079399129261388E-3</v>
      </c>
    </row>
    <row r="176" spans="1:15" hidden="1" x14ac:dyDescent="0.35">
      <c r="A176" s="1">
        <v>43392</v>
      </c>
      <c r="B176" t="s">
        <v>100</v>
      </c>
      <c r="C176" t="s">
        <v>82</v>
      </c>
      <c r="D176" s="6">
        <v>0</v>
      </c>
      <c r="E176" s="13">
        <v>0</v>
      </c>
      <c r="F176" s="46">
        <f>IF(Inversiones[[#This Row],[Total Cuotapartes]]=0,0,_xlfn.IFNA(VLOOKUP(Inversiones[[#This Row],[Nombre Inversión]],B177:F185,5,FALSE),0)+Inversiones[[#This Row],[Monto]])</f>
        <v>5000.1536452799992</v>
      </c>
      <c r="G176" s="6">
        <f>Inversiones[[#This Row],[Total Cuotapartes]]*Inversiones[[#This Row],[Valor Cuotaparte]]</f>
        <v>4367.1760489199996</v>
      </c>
      <c r="H176" s="25">
        <f>_xlfn.IFNA(VLOOKUP(Inversiones[[#This Row],[Nombre Inversión]],B177:H184,7,FALSE),0)+Inversiones[[#This Row],[Cant. Cuotapartes]]</f>
        <v>105.96</v>
      </c>
      <c r="I176" s="31">
        <v>41.215327000000002</v>
      </c>
      <c r="J176" s="7">
        <f>IF(ABS(Inversiones[[#This Row],[Saldo Valorizado]]-Inversiones[[#This Row],[Monto Invertido]]-G178+F178)&gt;500,"-",Inversiones[[#This Row],[Saldo Valorizado]]-Inversiones[[#This Row],[Monto Invertido]]-G178+F178)</f>
        <v>36.86592107999968</v>
      </c>
      <c r="K176" s="36">
        <f>IFERROR((Inversiones[[#This Row],[Valor Cuotaparte]]-VLOOKUP(Inversiones[[#This Row],[Nombre Inversión]],B177:I189,8,FALSE))/VLOOKUP(Inversiones[[#This Row],[Nombre Inversión]],B178:I190,8,FALSE),"-")</f>
        <v>8.5134597734664412E-3</v>
      </c>
      <c r="L176" s="28"/>
      <c r="M176" s="29">
        <f>K176+K178+K180+K183</f>
        <v>-2.5525798163786594E-2</v>
      </c>
      <c r="N176" s="7">
        <f>Inversiones[[#This Row],[Dif]]+J178+J180+J183</f>
        <v>-114.44993903999966</v>
      </c>
      <c r="O176" s="23">
        <f>(SUM(I176:I177)-SUM(I185:I186))/SUM(I185:I186)</f>
        <v>-2.2890755964105787E-2</v>
      </c>
    </row>
    <row r="177" spans="1:15" hidden="1" x14ac:dyDescent="0.35">
      <c r="A177" s="1">
        <v>43392</v>
      </c>
      <c r="B177" t="s">
        <v>78</v>
      </c>
      <c r="C177" t="s">
        <v>82</v>
      </c>
      <c r="D177" s="6">
        <v>0</v>
      </c>
      <c r="E177" s="13">
        <v>0</v>
      </c>
      <c r="F177" s="46">
        <f>IF(Inversiones[[#This Row],[Total Cuotapartes]]=0,0,_xlfn.IFNA(VLOOKUP(Inversiones[[#This Row],[Nombre Inversión]],B178:F186,5,FALSE),0)+Inversiones[[#This Row],[Monto]])</f>
        <v>20999.968521029998</v>
      </c>
      <c r="G177" s="6">
        <f>Inversiones[[#This Row],[Total Cuotapartes]]*Inversiones[[#This Row],[Valor Cuotaparte]]</f>
        <v>23370.1183141</v>
      </c>
      <c r="H177" s="25">
        <f>_xlfn.IFNA(VLOOKUP(Inversiones[[#This Row],[Nombre Inversión]],B178:H185,7,FALSE),0)+Inversiones[[#This Row],[Cant. Cuotapartes]]</f>
        <v>6122.65</v>
      </c>
      <c r="I177" s="14">
        <v>3.8169940000000002</v>
      </c>
      <c r="J177" s="7">
        <f>IF(ABS(Inversiones[[#This Row],[Saldo Valorizado]]-Inversiones[[#This Row],[Monto Invertido]]-G179+F179)&gt;500,"-",Inversiones[[#This Row],[Saldo Valorizado]]-Inversiones[[#This Row],[Monto Invertido]]-G179+F179)</f>
        <v>77.494381050000811</v>
      </c>
      <c r="K177" s="23">
        <f>IFERROR((Inversiones[[#This Row],[Valor Cuotaparte]]-VLOOKUP(Inversiones[[#This Row],[Nombre Inversión]],B178:I190,8,FALSE))/VLOOKUP(Inversiones[[#This Row],[Nombre Inversión]],B179:I191,8,FALSE),"-")</f>
        <v>3.3269923248125397E-3</v>
      </c>
      <c r="L177" s="28"/>
      <c r="M177" s="29">
        <f>K177+K179+K181+K184</f>
        <v>6.61834765410546E-3</v>
      </c>
      <c r="N177" s="7">
        <f>Inversiones[[#This Row],[Dif]]+J179+J181+J184</f>
        <v>156.17942966999908</v>
      </c>
    </row>
    <row r="178" spans="1:15" hidden="1" x14ac:dyDescent="0.35">
      <c r="A178" s="1">
        <v>43391</v>
      </c>
      <c r="B178" t="s">
        <v>100</v>
      </c>
      <c r="C178" t="s">
        <v>82</v>
      </c>
      <c r="D178" s="6">
        <v>0</v>
      </c>
      <c r="E178" s="13">
        <v>0</v>
      </c>
      <c r="F178" s="46">
        <f>IF(Inversiones[[#This Row],[Total Cuotapartes]]=0,0,_xlfn.IFNA(VLOOKUP(Inversiones[[#This Row],[Nombre Inversión]],B179:F187,5,FALSE),0)+Inversiones[[#This Row],[Monto]])</f>
        <v>5000.1536452799992</v>
      </c>
      <c r="G178" s="6">
        <f>Inversiones[[#This Row],[Total Cuotapartes]]*Inversiones[[#This Row],[Valor Cuotaparte]]</f>
        <v>4330.31012784</v>
      </c>
      <c r="H178" s="25">
        <f>_xlfn.IFNA(VLOOKUP(Inversiones[[#This Row],[Nombre Inversión]],B179:H186,7,FALSE),0)+Inversiones[[#This Row],[Cant. Cuotapartes]]</f>
        <v>105.96</v>
      </c>
      <c r="I178" s="31">
        <v>40.867404000000001</v>
      </c>
      <c r="J178" s="7">
        <f>IF(ABS(Inversiones[[#This Row],[Saldo Valorizado]]-Inversiones[[#This Row],[Monto Invertido]]-G180+F180)&gt;500,"-",Inversiones[[#This Row],[Saldo Valorizado]]-Inversiones[[#This Row],[Monto Invertido]]-G180+F180)</f>
        <v>-43.232633640000131</v>
      </c>
      <c r="K178" s="36">
        <f>IFERROR((Inversiones[[#This Row],[Valor Cuotaparte]]-VLOOKUP(Inversiones[[#This Row],[Nombre Inversión]],B179:I191,8,FALSE))/VLOOKUP(Inversiones[[#This Row],[Nombre Inversión]],B180:I192,8,FALSE),"-")</f>
        <v>-9.8850373707950502E-3</v>
      </c>
    </row>
    <row r="179" spans="1:15" hidden="1" x14ac:dyDescent="0.35">
      <c r="A179" s="1">
        <v>43391</v>
      </c>
      <c r="B179" t="s">
        <v>78</v>
      </c>
      <c r="C179" t="s">
        <v>82</v>
      </c>
      <c r="D179" s="6">
        <v>0</v>
      </c>
      <c r="E179" s="13">
        <v>0</v>
      </c>
      <c r="F179" s="46">
        <f>IF(Inversiones[[#This Row],[Total Cuotapartes]]=0,0,_xlfn.IFNA(VLOOKUP(Inversiones[[#This Row],[Nombre Inversión]],B180:F188,5,FALSE),0)+Inversiones[[#This Row],[Monto]])</f>
        <v>20999.968521029998</v>
      </c>
      <c r="G179" s="6">
        <f>Inversiones[[#This Row],[Total Cuotapartes]]*Inversiones[[#This Row],[Valor Cuotaparte]]</f>
        <v>23292.623933049999</v>
      </c>
      <c r="H179" s="25">
        <f>_xlfn.IFNA(VLOOKUP(Inversiones[[#This Row],[Nombre Inversión]],B180:H187,7,FALSE),0)+Inversiones[[#This Row],[Cant. Cuotapartes]]</f>
        <v>6122.65</v>
      </c>
      <c r="I179" s="14">
        <v>3.8043369999999999</v>
      </c>
      <c r="J179" s="7">
        <f>IF(ABS(Inversiones[[#This Row],[Saldo Valorizado]]-Inversiones[[#This Row],[Monto Invertido]]-G181+F181)&gt;500,"-",Inversiones[[#This Row],[Saldo Valorizado]]-Inversiones[[#This Row],[Monto Invertido]]-G181+F181)</f>
        <v>25.617167600001267</v>
      </c>
      <c r="K179" s="23">
        <f>IFERROR((Inversiones[[#This Row],[Valor Cuotaparte]]-VLOOKUP(Inversiones[[#This Row],[Nombre Inversión]],B180:I192,8,FALSE))/VLOOKUP(Inversiones[[#This Row],[Nombre Inversión]],B181:I193,8,FALSE),"-")</f>
        <v>1.1010083015078513E-3</v>
      </c>
    </row>
    <row r="180" spans="1:15" hidden="1" x14ac:dyDescent="0.35">
      <c r="A180" s="1">
        <v>43390</v>
      </c>
      <c r="B180" t="s">
        <v>100</v>
      </c>
      <c r="C180" t="s">
        <v>82</v>
      </c>
      <c r="D180" s="6">
        <v>0</v>
      </c>
      <c r="E180" s="13">
        <v>0</v>
      </c>
      <c r="F180" s="46">
        <f>IF(Inversiones[[#This Row],[Total Cuotapartes]]=0,0,_xlfn.IFNA(VLOOKUP(Inversiones[[#This Row],[Nombre Inversión]],B181:F189,5,FALSE),0)+Inversiones[[#This Row],[Monto]])</f>
        <v>5000.1536452799992</v>
      </c>
      <c r="G180" s="6">
        <f>Inversiones[[#This Row],[Total Cuotapartes]]*Inversiones[[#This Row],[Valor Cuotaparte]]</f>
        <v>4373.5427614800001</v>
      </c>
      <c r="H180" s="25">
        <f>_xlfn.IFNA(VLOOKUP(Inversiones[[#This Row],[Nombre Inversión]],B181:H188,7,FALSE),0)+Inversiones[[#This Row],[Cant. Cuotapartes]]</f>
        <v>105.96</v>
      </c>
      <c r="I180" s="31">
        <v>41.275413</v>
      </c>
      <c r="J180" s="7">
        <f>IF(ABS(Inversiones[[#This Row],[Saldo Valorizado]]-Inversiones[[#This Row],[Monto Invertido]]-G183+F183)&gt;500,"-",Inversiones[[#This Row],[Saldo Valorizado]]-Inversiones[[#This Row],[Monto Invertido]]-G183+F183)</f>
        <v>-100.66242383999997</v>
      </c>
      <c r="K180" s="36">
        <f>IFERROR((Inversiones[[#This Row],[Valor Cuotaparte]]-VLOOKUP(Inversiones[[#This Row],[Nombre Inversión]],B181:I193,8,FALSE))/VLOOKUP(Inversiones[[#This Row],[Nombre Inversión]],B182:I194,8,FALSE),"-")</f>
        <v>-2.2498392378220915E-2</v>
      </c>
    </row>
    <row r="181" spans="1:15" hidden="1" x14ac:dyDescent="0.35">
      <c r="A181" s="1">
        <v>43390</v>
      </c>
      <c r="B181" t="s">
        <v>78</v>
      </c>
      <c r="C181" t="s">
        <v>82</v>
      </c>
      <c r="D181" s="6">
        <v>0</v>
      </c>
      <c r="E181" s="13">
        <v>0</v>
      </c>
      <c r="F181" s="46">
        <f>IF(Inversiones[[#This Row],[Total Cuotapartes]]=0,0,_xlfn.IFNA(VLOOKUP(Inversiones[[#This Row],[Nombre Inversión]],B182:F190,5,FALSE),0)+Inversiones[[#This Row],[Monto]])</f>
        <v>20999.968521029998</v>
      </c>
      <c r="G181" s="6">
        <f>Inversiones[[#This Row],[Total Cuotapartes]]*Inversiones[[#This Row],[Valor Cuotaparte]]</f>
        <v>23267.006765449998</v>
      </c>
      <c r="H181" s="25">
        <f>_xlfn.IFNA(VLOOKUP(Inversiones[[#This Row],[Nombre Inversión]],B182:H189,7,FALSE),0)+Inversiones[[#This Row],[Cant. Cuotapartes]]</f>
        <v>6122.65</v>
      </c>
      <c r="I181" s="14">
        <v>3.8001529999999999</v>
      </c>
      <c r="J181" s="7">
        <f>IF(ABS(Inversiones[[#This Row],[Saldo Valorizado]]-Inversiones[[#This Row],[Monto Invertido]]-G184+F184)&gt;500,"-",Inversiones[[#This Row],[Saldo Valorizado]]-Inversiones[[#This Row],[Monto Invertido]]-G184+F184)</f>
        <v>25.445733399999881</v>
      </c>
      <c r="K181" s="23">
        <f>IFERROR((Inversiones[[#This Row],[Valor Cuotaparte]]-VLOOKUP(Inversiones[[#This Row],[Nombre Inversión]],B182:I194,8,FALSE))/VLOOKUP(Inversiones[[#This Row],[Nombre Inversión]],B183:I195,8,FALSE),"-")</f>
        <v>1.0948375354353675E-3</v>
      </c>
    </row>
    <row r="182" spans="1:15" hidden="1" x14ac:dyDescent="0.35">
      <c r="A182" s="1">
        <v>43390</v>
      </c>
      <c r="B182" t="s">
        <v>78</v>
      </c>
      <c r="C182" t="s">
        <v>79</v>
      </c>
      <c r="D182" s="6">
        <f>Inversiones[[#This Row],[Cant. Cuotapartes]]*Inversiones[[#This Row],[Valor Cuotaparte]]</f>
        <v>-2000.0348993599998</v>
      </c>
      <c r="E182" s="13">
        <v>-526.88</v>
      </c>
      <c r="F182" s="46">
        <f>IF(Inversiones[[#This Row],[Total Cuotapartes]]=0,0,_xlfn.IFNA(VLOOKUP(Inversiones[[#This Row],[Nombre Inversión]],B183:F191,5,FALSE),0)+Inversiones[[#This Row],[Monto]])</f>
        <v>20999.968521029998</v>
      </c>
      <c r="G182" s="6">
        <f>Inversiones[[#This Row],[Total Cuotapartes]]*Inversiones[[#This Row],[Valor Cuotaparte]]</f>
        <v>23241.561032049998</v>
      </c>
      <c r="H182" s="25">
        <f>_xlfn.IFNA(VLOOKUP(Inversiones[[#This Row],[Nombre Inversión]],B183:H190,7,FALSE),0)+Inversiones[[#This Row],[Cant. Cuotapartes]]</f>
        <v>6122.65</v>
      </c>
      <c r="I182" s="14">
        <v>3.7959969999999998</v>
      </c>
      <c r="J182" s="7" t="str">
        <f>IF(ABS(Inversiones[[#This Row],[Saldo Valorizado]]-Inversiones[[#This Row],[Monto Invertido]]-G183+F183)&gt;500,"-",Inversiones[[#This Row],[Saldo Valorizado]]-Inversiones[[#This Row],[Monto Invertido]]-G183+F183)</f>
        <v>-</v>
      </c>
    </row>
    <row r="183" spans="1:15" hidden="1" x14ac:dyDescent="0.35">
      <c r="A183" s="1">
        <v>43389</v>
      </c>
      <c r="B183" t="s">
        <v>100</v>
      </c>
      <c r="C183" t="s">
        <v>82</v>
      </c>
      <c r="D183" s="6">
        <v>0</v>
      </c>
      <c r="E183" s="13">
        <v>0</v>
      </c>
      <c r="F183" s="46">
        <f>IF(Inversiones[[#This Row],[Total Cuotapartes]]=0,0,_xlfn.IFNA(VLOOKUP(Inversiones[[#This Row],[Nombre Inversión]],B184:F192,5,FALSE),0)+Inversiones[[#This Row],[Monto]])</f>
        <v>5000.1536452799992</v>
      </c>
      <c r="G183" s="6">
        <f>Inversiones[[#This Row],[Total Cuotapartes]]*Inversiones[[#This Row],[Valor Cuotaparte]]</f>
        <v>4474.2051853200001</v>
      </c>
      <c r="H183" s="25">
        <f>_xlfn.IFNA(VLOOKUP(Inversiones[[#This Row],[Nombre Inversión]],B184:H191,7,FALSE),0)+Inversiones[[#This Row],[Cant. Cuotapartes]]</f>
        <v>105.96</v>
      </c>
      <c r="I183" s="31">
        <v>42.225417</v>
      </c>
      <c r="J183" s="7">
        <f>IF(ABS(Inversiones[[#This Row],[Saldo Valorizado]]-Inversiones[[#This Row],[Monto Invertido]]-G185+F185)&gt;500,"-",Inversiones[[#This Row],[Saldo Valorizado]]-Inversiones[[#This Row],[Monto Invertido]]-G185+F185)</f>
        <v>-7.4208026399992377</v>
      </c>
      <c r="K183" s="36">
        <f>IFERROR((Inversiones[[#This Row],[Valor Cuotaparte]]-VLOOKUP(Inversiones[[#This Row],[Nombre Inversión]],B184:I196,8,FALSE))/VLOOKUP(Inversiones[[#This Row],[Nombre Inversión]],B185:I197,8,FALSE),"-")</f>
        <v>-1.6558281882370685E-3</v>
      </c>
    </row>
    <row r="184" spans="1:15" hidden="1" x14ac:dyDescent="0.35">
      <c r="A184" s="1">
        <v>43389</v>
      </c>
      <c r="B184" t="s">
        <v>78</v>
      </c>
      <c r="C184" t="s">
        <v>82</v>
      </c>
      <c r="D184" s="6">
        <v>0</v>
      </c>
      <c r="E184" s="13">
        <v>0</v>
      </c>
      <c r="F184" s="46">
        <f>IF(Inversiones[[#This Row],[Total Cuotapartes]]=0,0,_xlfn.IFNA(VLOOKUP(Inversiones[[#This Row],[Nombre Inversión]],B185:F193,5,FALSE),0)+Inversiones[[#This Row],[Monto]])</f>
        <v>23000.003420389996</v>
      </c>
      <c r="G184" s="6">
        <f>Inversiones[[#This Row],[Total Cuotapartes]]*Inversiones[[#This Row],[Valor Cuotaparte]]</f>
        <v>25241.595931409996</v>
      </c>
      <c r="H184" s="25">
        <f>_xlfn.IFNA(VLOOKUP(Inversiones[[#This Row],[Nombre Inversión]],B185:H192,7,FALSE),0)+Inversiones[[#This Row],[Cant. Cuotapartes]]</f>
        <v>6649.53</v>
      </c>
      <c r="I184" s="14">
        <v>3.7959969999999998</v>
      </c>
      <c r="J184" s="7">
        <f>IF(ABS(Inversiones[[#This Row],[Saldo Valorizado]]-Inversiones[[#This Row],[Monto Invertido]]-G186+F186)&gt;500,"-",Inversiones[[#This Row],[Saldo Valorizado]]-Inversiones[[#This Row],[Monto Invertido]]-G186+F186)</f>
        <v>27.622147619997122</v>
      </c>
      <c r="K184" s="23">
        <f>IFERROR((Inversiones[[#This Row],[Valor Cuotaparte]]-VLOOKUP(Inversiones[[#This Row],[Nombre Inversión]],B185:I197,8,FALSE))/VLOOKUP(Inversiones[[#This Row],[Nombre Inversión]],B186:I198,8,FALSE),"-")</f>
        <v>1.0955094923497015E-3</v>
      </c>
    </row>
    <row r="185" spans="1:15" hidden="1" x14ac:dyDescent="0.35">
      <c r="A185" s="1">
        <v>43385</v>
      </c>
      <c r="B185" t="s">
        <v>100</v>
      </c>
      <c r="C185" t="s">
        <v>82</v>
      </c>
      <c r="D185" s="6">
        <v>0</v>
      </c>
      <c r="E185" s="13">
        <v>0</v>
      </c>
      <c r="F185" s="46">
        <f>IF(Inversiones[[#This Row],[Total Cuotapartes]]=0,0,_xlfn.IFNA(VLOOKUP(Inversiones[[#This Row],[Nombre Inversión]],B186:F194,5,FALSE),0)+Inversiones[[#This Row],[Monto]])</f>
        <v>5000.1536452799992</v>
      </c>
      <c r="G185" s="6">
        <f>Inversiones[[#This Row],[Total Cuotapartes]]*Inversiones[[#This Row],[Valor Cuotaparte]]</f>
        <v>4481.6259879599993</v>
      </c>
      <c r="H185" s="25">
        <f>_xlfn.IFNA(VLOOKUP(Inversiones[[#This Row],[Nombre Inversión]],B186:H193,7,FALSE),0)+Inversiones[[#This Row],[Cant. Cuotapartes]]</f>
        <v>105.96</v>
      </c>
      <c r="I185" s="31">
        <v>42.295451</v>
      </c>
      <c r="J185" s="7">
        <f>IF(ABS(Inversiones[[#This Row],[Saldo Valorizado]]-Inversiones[[#This Row],[Monto Invertido]]-G187+F187)&gt;500,"-",Inversiones[[#This Row],[Saldo Valorizado]]-Inversiones[[#This Row],[Monto Invertido]]-G187+F187)</f>
        <v>282.65328011999918</v>
      </c>
      <c r="K185" s="36">
        <f>IFERROR((Inversiones[[#This Row],[Valor Cuotaparte]]-VLOOKUP(Inversiones[[#This Row],[Nombre Inversión]],B186:I198,8,FALSE))/VLOOKUP(Inversiones[[#This Row],[Nombre Inversión]],B187:I199,8,FALSE),"-")</f>
        <v>6.7314864798299678E-2</v>
      </c>
      <c r="L185" s="28"/>
      <c r="M185" s="29">
        <f>K193+K191+K189+K187+K185</f>
        <v>-1.7872626754414422E-2</v>
      </c>
      <c r="N185" s="7">
        <f>J193+J191+J189+J187+Inversiones[[#This Row],[Dif]]</f>
        <v>-98.626084559999981</v>
      </c>
      <c r="O185" s="23">
        <f>(SUM(G185:G186)-SUM(G195:G196))/SUM(G195:G196)</f>
        <v>4.0448866215492055E-3</v>
      </c>
    </row>
    <row r="186" spans="1:15" hidden="1" x14ac:dyDescent="0.35">
      <c r="A186" s="1">
        <v>43385</v>
      </c>
      <c r="B186" t="s">
        <v>78</v>
      </c>
      <c r="C186" t="s">
        <v>82</v>
      </c>
      <c r="D186" s="6">
        <v>0</v>
      </c>
      <c r="E186" s="13">
        <v>0</v>
      </c>
      <c r="F186" s="46">
        <f>IF(Inversiones[[#This Row],[Total Cuotapartes]]=0,0,_xlfn.IFNA(VLOOKUP(Inversiones[[#This Row],[Nombre Inversión]],B187:F195,5,FALSE),0)+Inversiones[[#This Row],[Monto]])</f>
        <v>23000.003420389996</v>
      </c>
      <c r="G186" s="6">
        <f>Inversiones[[#This Row],[Total Cuotapartes]]*Inversiones[[#This Row],[Valor Cuotaparte]]</f>
        <v>25213.973783789999</v>
      </c>
      <c r="H186" s="25">
        <f>_xlfn.IFNA(VLOOKUP(Inversiones[[#This Row],[Nombre Inversión]],B187:H194,7,FALSE),0)+Inversiones[[#This Row],[Cant. Cuotapartes]]</f>
        <v>6649.53</v>
      </c>
      <c r="I186" s="14">
        <v>3.7918430000000001</v>
      </c>
      <c r="J186" s="7">
        <f>IF(ABS(Inversiones[[#This Row],[Saldo Valorizado]]-Inversiones[[#This Row],[Monto Invertido]]-G188+F188)&gt;500,"-",Inversiones[[#This Row],[Saldo Valorizado]]-Inversiones[[#This Row],[Monto Invertido]]-G188+F188)</f>
        <v>109.99652526000136</v>
      </c>
      <c r="K186" s="23">
        <f>IFERROR((Inversiones[[#This Row],[Valor Cuotaparte]]-VLOOKUP(Inversiones[[#This Row],[Nombre Inversión]],B187:I199,8,FALSE))/VLOOKUP(Inversiones[[#This Row],[Nombre Inversión]],B188:I200,8,FALSE),"-")</f>
        <v>4.3816373846748326E-3</v>
      </c>
      <c r="L186" s="28"/>
      <c r="M186" s="29">
        <f>K194+K192+K190+K188+K186</f>
        <v>8.705802628563802E-3</v>
      </c>
      <c r="N186" s="7">
        <f>J194+J192+J190+J188+Inversiones[[#This Row],[Dif]]</f>
        <v>218.25752319000094</v>
      </c>
    </row>
    <row r="187" spans="1:15" hidden="1" x14ac:dyDescent="0.35">
      <c r="A187" s="1">
        <v>43384</v>
      </c>
      <c r="B187" t="s">
        <v>100</v>
      </c>
      <c r="C187" t="s">
        <v>82</v>
      </c>
      <c r="D187" s="6">
        <v>0</v>
      </c>
      <c r="E187" s="13">
        <v>0</v>
      </c>
      <c r="F187" s="46">
        <f>IF(Inversiones[[#This Row],[Total Cuotapartes]]=0,0,_xlfn.IFNA(VLOOKUP(Inversiones[[#This Row],[Nombre Inversión]],B188:F196,5,FALSE),0)+Inversiones[[#This Row],[Monto]])</f>
        <v>5000.1536452799992</v>
      </c>
      <c r="G187" s="6">
        <f>Inversiones[[#This Row],[Total Cuotapartes]]*Inversiones[[#This Row],[Valor Cuotaparte]]</f>
        <v>4198.9727078400001</v>
      </c>
      <c r="H187" s="25">
        <f>_xlfn.IFNA(VLOOKUP(Inversiones[[#This Row],[Nombre Inversión]],B188:H195,7,FALSE),0)+Inversiones[[#This Row],[Cant. Cuotapartes]]</f>
        <v>105.96</v>
      </c>
      <c r="I187" s="31">
        <v>39.627904000000001</v>
      </c>
      <c r="J187" s="7">
        <f>IF(ABS(Inversiones[[#This Row],[Saldo Valorizado]]-Inversiones[[#This Row],[Monto Invertido]]-G189+F189)&gt;500,"-",Inversiones[[#This Row],[Saldo Valorizado]]-Inversiones[[#This Row],[Monto Invertido]]-G189+F189)</f>
        <v>-151.21382063999954</v>
      </c>
      <c r="K187" s="36">
        <f>IFERROR((Inversiones[[#This Row],[Valor Cuotaparte]]-VLOOKUP(Inversiones[[#This Row],[Nombre Inversión]],B188:I200,8,FALSE))/VLOOKUP(Inversiones[[#This Row],[Nombre Inversión]],B189:I201,8,FALSE),"-")</f>
        <v>-3.4760307322462269E-2</v>
      </c>
    </row>
    <row r="188" spans="1:15" hidden="1" x14ac:dyDescent="0.35">
      <c r="A188" s="1">
        <v>43384</v>
      </c>
      <c r="B188" t="s">
        <v>78</v>
      </c>
      <c r="C188" t="s">
        <v>82</v>
      </c>
      <c r="D188" s="6">
        <v>0</v>
      </c>
      <c r="E188" s="13">
        <v>0</v>
      </c>
      <c r="F188" s="46">
        <f>IF(Inversiones[[#This Row],[Total Cuotapartes]]=0,0,_xlfn.IFNA(VLOOKUP(Inversiones[[#This Row],[Nombre Inversión]],B189:F197,5,FALSE),0)+Inversiones[[#This Row],[Monto]])</f>
        <v>23000.003420389996</v>
      </c>
      <c r="G188" s="6">
        <f>Inversiones[[#This Row],[Total Cuotapartes]]*Inversiones[[#This Row],[Valor Cuotaparte]]</f>
        <v>25103.977258529998</v>
      </c>
      <c r="H188" s="25">
        <f>_xlfn.IFNA(VLOOKUP(Inversiones[[#This Row],[Nombre Inversión]],B189:H196,7,FALSE),0)+Inversiones[[#This Row],[Cant. Cuotapartes]]</f>
        <v>6649.53</v>
      </c>
      <c r="I188" s="14">
        <v>3.7753009999999998</v>
      </c>
      <c r="J188" s="7">
        <f>IF(ABS(Inversiones[[#This Row],[Saldo Valorizado]]-Inversiones[[#This Row],[Monto Invertido]]-G190+F190)&gt;500,"-",Inversiones[[#This Row],[Saldo Valorizado]]-Inversiones[[#This Row],[Monto Invertido]]-G190+F190)</f>
        <v>27.435960779999732</v>
      </c>
      <c r="K188" s="23">
        <f>IFERROR((Inversiones[[#This Row],[Valor Cuotaparte]]-VLOOKUP(Inversiones[[#This Row],[Nombre Inversión]],B189:I201,8,FALSE))/VLOOKUP(Inversiones[[#This Row],[Nombre Inversión]],B190:I202,8,FALSE),"-")</f>
        <v>1.0940887124039197E-3</v>
      </c>
    </row>
    <row r="189" spans="1:15" hidden="1" x14ac:dyDescent="0.35">
      <c r="A189" s="1">
        <v>43383</v>
      </c>
      <c r="B189" t="s">
        <v>100</v>
      </c>
      <c r="C189" t="s">
        <v>82</v>
      </c>
      <c r="D189" s="6">
        <v>0</v>
      </c>
      <c r="E189" s="13">
        <v>0</v>
      </c>
      <c r="F189" s="46">
        <f>IF(Inversiones[[#This Row],[Total Cuotapartes]]=0,0,_xlfn.IFNA(VLOOKUP(Inversiones[[#This Row],[Nombre Inversión]],B190:F198,5,FALSE),0)+Inversiones[[#This Row],[Monto]])</f>
        <v>5000.1536452799992</v>
      </c>
      <c r="G189" s="6">
        <f>Inversiones[[#This Row],[Total Cuotapartes]]*Inversiones[[#This Row],[Valor Cuotaparte]]</f>
        <v>4350.1865284799997</v>
      </c>
      <c r="H189" s="25">
        <f>_xlfn.IFNA(VLOOKUP(Inversiones[[#This Row],[Nombre Inversión]],B190:H197,7,FALSE),0)+Inversiones[[#This Row],[Cant. Cuotapartes]]</f>
        <v>105.96</v>
      </c>
      <c r="I189" s="31">
        <v>41.054988000000002</v>
      </c>
      <c r="J189" s="7">
        <f>IF(ABS(Inversiones[[#This Row],[Saldo Valorizado]]-Inversiones[[#This Row],[Monto Invertido]]-G191+F191)&gt;500,"-",Inversiones[[#This Row],[Saldo Valorizado]]-Inversiones[[#This Row],[Monto Invertido]]-G191+F191)</f>
        <v>-159.28998588000013</v>
      </c>
      <c r="K189" s="36">
        <f>IFERROR((Inversiones[[#This Row],[Valor Cuotaparte]]-VLOOKUP(Inversiones[[#This Row],[Nombre Inversión]],B190:I202,8,FALSE))/VLOOKUP(Inversiones[[#This Row],[Nombre Inversión]],B191:I203,8,FALSE),"-")</f>
        <v>-3.5323387398239169E-2</v>
      </c>
    </row>
    <row r="190" spans="1:15" hidden="1" x14ac:dyDescent="0.35">
      <c r="A190" s="1">
        <v>43383</v>
      </c>
      <c r="B190" t="s">
        <v>78</v>
      </c>
      <c r="C190" t="s">
        <v>82</v>
      </c>
      <c r="D190" s="6">
        <v>0</v>
      </c>
      <c r="E190" s="13">
        <v>0</v>
      </c>
      <c r="F190" s="46">
        <f>IF(Inversiones[[#This Row],[Total Cuotapartes]]=0,0,_xlfn.IFNA(VLOOKUP(Inversiones[[#This Row],[Nombre Inversión]],B191:F199,5,FALSE),0)+Inversiones[[#This Row],[Monto]])</f>
        <v>23000.003420389996</v>
      </c>
      <c r="G190" s="6">
        <f>Inversiones[[#This Row],[Total Cuotapartes]]*Inversiones[[#This Row],[Valor Cuotaparte]]</f>
        <v>25076.541297749998</v>
      </c>
      <c r="H190" s="25">
        <f>_xlfn.IFNA(VLOOKUP(Inversiones[[#This Row],[Nombre Inversión]],B191:H198,7,FALSE),0)+Inversiones[[#This Row],[Cant. Cuotapartes]]</f>
        <v>6649.53</v>
      </c>
      <c r="I190" s="14">
        <v>3.7711749999999999</v>
      </c>
      <c r="J190" s="7">
        <f>IF(ABS(Inversiones[[#This Row],[Saldo Valorizado]]-Inversiones[[#This Row],[Monto Invertido]]-G192+F192)&gt;500,"-",Inversiones[[#This Row],[Saldo Valorizado]]-Inversiones[[#This Row],[Monto Invertido]]-G192+F192)</f>
        <v>27.110133810001571</v>
      </c>
      <c r="K190" s="23">
        <f>IFERROR((Inversiones[[#This Row],[Valor Cuotaparte]]-VLOOKUP(Inversiones[[#This Row],[Nombre Inversión]],B191:I203,8,FALSE))/VLOOKUP(Inversiones[[#This Row],[Nombre Inversión]],B192:I204,8,FALSE),"-")</f>
        <v>1.0822654467709915E-3</v>
      </c>
    </row>
    <row r="191" spans="1:15" hidden="1" x14ac:dyDescent="0.35">
      <c r="A191" s="1">
        <v>43382</v>
      </c>
      <c r="B191" t="s">
        <v>100</v>
      </c>
      <c r="C191" t="s">
        <v>82</v>
      </c>
      <c r="D191" s="6">
        <v>0</v>
      </c>
      <c r="E191" s="13">
        <v>0</v>
      </c>
      <c r="F191" s="46">
        <f>IF(Inversiones[[#This Row],[Total Cuotapartes]]=0,0,_xlfn.IFNA(VLOOKUP(Inversiones[[#This Row],[Nombre Inversión]],B192:F200,5,FALSE),0)+Inversiones[[#This Row],[Monto]])</f>
        <v>5000.1536452799992</v>
      </c>
      <c r="G191" s="6">
        <f>Inversiones[[#This Row],[Total Cuotapartes]]*Inversiones[[#This Row],[Valor Cuotaparte]]</f>
        <v>4509.4765143599998</v>
      </c>
      <c r="H191" s="25">
        <f>_xlfn.IFNA(VLOOKUP(Inversiones[[#This Row],[Nombre Inversión]],B192:H199,7,FALSE),0)+Inversiones[[#This Row],[Cant. Cuotapartes]]</f>
        <v>105.96</v>
      </c>
      <c r="I191" s="31">
        <v>42.558290999999997</v>
      </c>
      <c r="J191" s="7">
        <f>IF(ABS(Inversiones[[#This Row],[Saldo Valorizado]]-Inversiones[[#This Row],[Monto Invertido]]-G193+F193)&gt;500,"-",Inversiones[[#This Row],[Saldo Valorizado]]-Inversiones[[#This Row],[Monto Invertido]]-G193+F193)</f>
        <v>-128.42574515999968</v>
      </c>
      <c r="K191" s="36">
        <f>IFERROR((Inversiones[[#This Row],[Valor Cuotaparte]]-VLOOKUP(Inversiones[[#This Row],[Nombre Inversión]],B192:I204,8,FALSE))/VLOOKUP(Inversiones[[#This Row],[Nombre Inversión]],B193:I205,8,FALSE),"-")</f>
        <v>-2.7690481164493415E-2</v>
      </c>
    </row>
    <row r="192" spans="1:15" hidden="1" x14ac:dyDescent="0.35">
      <c r="A192" s="1">
        <v>43382</v>
      </c>
      <c r="B192" t="s">
        <v>78</v>
      </c>
      <c r="C192" t="s">
        <v>82</v>
      </c>
      <c r="D192" s="6">
        <v>0</v>
      </c>
      <c r="E192" s="13">
        <v>0</v>
      </c>
      <c r="F192" s="46">
        <f>IF(Inversiones[[#This Row],[Total Cuotapartes]]=0,0,_xlfn.IFNA(VLOOKUP(Inversiones[[#This Row],[Nombre Inversión]],B193:F201,5,FALSE),0)+Inversiones[[#This Row],[Monto]])</f>
        <v>23000.003420389996</v>
      </c>
      <c r="G192" s="6">
        <f>Inversiones[[#This Row],[Total Cuotapartes]]*Inversiones[[#This Row],[Valor Cuotaparte]]</f>
        <v>25049.431163939997</v>
      </c>
      <c r="H192" s="25">
        <f>_xlfn.IFNA(VLOOKUP(Inversiones[[#This Row],[Nombre Inversión]],B193:H200,7,FALSE),0)+Inversiones[[#This Row],[Cant. Cuotapartes]]</f>
        <v>6649.53</v>
      </c>
      <c r="I192" s="14">
        <v>3.7670979999999998</v>
      </c>
      <c r="J192" s="7">
        <f>IF(ABS(Inversiones[[#This Row],[Saldo Valorizado]]-Inversiones[[#This Row],[Monto Invertido]]-G194+F194)&gt;500,"-",Inversiones[[#This Row],[Saldo Valorizado]]-Inversiones[[#This Row],[Monto Invertido]]-G194+F194)</f>
        <v>26.864101199997094</v>
      </c>
      <c r="K192" s="23">
        <f>IFERROR((Inversiones[[#This Row],[Valor Cuotaparte]]-VLOOKUP(Inversiones[[#This Row],[Nombre Inversión]],B193:I205,8,FALSE))/VLOOKUP(Inversiones[[#This Row],[Nombre Inversión]],B194:I206,8,FALSE),"-")</f>
        <v>1.0735949326318706E-3</v>
      </c>
    </row>
    <row r="193" spans="1:15" hidden="1" x14ac:dyDescent="0.35">
      <c r="A193" s="1">
        <v>43381</v>
      </c>
      <c r="B193" t="s">
        <v>100</v>
      </c>
      <c r="C193" t="s">
        <v>82</v>
      </c>
      <c r="D193" s="6">
        <v>0</v>
      </c>
      <c r="E193" s="13">
        <v>0</v>
      </c>
      <c r="F193" s="46">
        <f>IF(Inversiones[[#This Row],[Total Cuotapartes]]=0,0,_xlfn.IFNA(VLOOKUP(Inversiones[[#This Row],[Nombre Inversión]],B194:F202,5,FALSE),0)+Inversiones[[#This Row],[Monto]])</f>
        <v>5000.1536452799992</v>
      </c>
      <c r="G193" s="6">
        <f>Inversiones[[#This Row],[Total Cuotapartes]]*Inversiones[[#This Row],[Valor Cuotaparte]]</f>
        <v>4637.9022595199995</v>
      </c>
      <c r="H193" s="25">
        <f>_xlfn.IFNA(VLOOKUP(Inversiones[[#This Row],[Nombre Inversión]],B194:H201,7,FALSE),0)+Inversiones[[#This Row],[Cant. Cuotapartes]]</f>
        <v>105.96</v>
      </c>
      <c r="I193" s="31">
        <v>43.770311999999997</v>
      </c>
      <c r="J193" s="7">
        <f>IF(ABS(Inversiones[[#This Row],[Saldo Valorizado]]-Inversiones[[#This Row],[Monto Invertido]]-G195+F195)&gt;500,"-",Inversiones[[#This Row],[Saldo Valorizado]]-Inversiones[[#This Row],[Monto Invertido]]-G195+F195)</f>
        <v>57.650187000000187</v>
      </c>
      <c r="K193" s="36">
        <f>IFERROR((Inversiones[[#This Row],[Valor Cuotaparte]]-VLOOKUP(Inversiones[[#This Row],[Nombre Inversión]],B194:I206,8,FALSE))/VLOOKUP(Inversiones[[#This Row],[Nombre Inversión]],B195:I207,8,FALSE),"-")</f>
        <v>1.2586684332480745E-2</v>
      </c>
    </row>
    <row r="194" spans="1:15" hidden="1" x14ac:dyDescent="0.35">
      <c r="A194" s="1">
        <v>43381</v>
      </c>
      <c r="B194" t="s">
        <v>78</v>
      </c>
      <c r="C194" t="s">
        <v>82</v>
      </c>
      <c r="D194" s="6">
        <v>0</v>
      </c>
      <c r="E194" s="13">
        <v>0</v>
      </c>
      <c r="F194" s="46">
        <f>IF(Inversiones[[#This Row],[Total Cuotapartes]]=0,0,_xlfn.IFNA(VLOOKUP(Inversiones[[#This Row],[Nombre Inversión]],B195:F203,5,FALSE),0)+Inversiones[[#This Row],[Monto]])</f>
        <v>23000.003420389996</v>
      </c>
      <c r="G194" s="6">
        <f>Inversiones[[#This Row],[Total Cuotapartes]]*Inversiones[[#This Row],[Valor Cuotaparte]]</f>
        <v>25022.56706274</v>
      </c>
      <c r="H194" s="25">
        <f>_xlfn.IFNA(VLOOKUP(Inversiones[[#This Row],[Nombre Inversión]],B195:H202,7,FALSE),0)+Inversiones[[#This Row],[Cant. Cuotapartes]]</f>
        <v>6649.53</v>
      </c>
      <c r="I194" s="14">
        <v>3.763058</v>
      </c>
      <c r="J194" s="7">
        <f>IF(ABS(Inversiones[[#This Row],[Saldo Valorizado]]-Inversiones[[#This Row],[Monto Invertido]]-G196+F196)&gt;500,"-",Inversiones[[#This Row],[Saldo Valorizado]]-Inversiones[[#This Row],[Monto Invertido]]-G196+F196)</f>
        <v>26.850802140001178</v>
      </c>
      <c r="K194" s="23">
        <f>IFERROR((Inversiones[[#This Row],[Valor Cuotaparte]]-VLOOKUP(Inversiones[[#This Row],[Nombre Inversión]],B195:I207,8,FALSE))/VLOOKUP(Inversiones[[#This Row],[Nombre Inversión]],B196:I208,8,FALSE),"-")</f>
        <v>1.074216152082188E-3</v>
      </c>
    </row>
    <row r="195" spans="1:15" hidden="1" x14ac:dyDescent="0.35">
      <c r="A195" s="1">
        <v>43378</v>
      </c>
      <c r="B195" t="s">
        <v>100</v>
      </c>
      <c r="C195" t="s">
        <v>82</v>
      </c>
      <c r="D195" s="6">
        <v>0</v>
      </c>
      <c r="E195" s="13">
        <v>0</v>
      </c>
      <c r="F195" s="46">
        <f>IF(Inversiones[[#This Row],[Total Cuotapartes]]=0,0,_xlfn.IFNA(VLOOKUP(Inversiones[[#This Row],[Nombre Inversión]],B196:F204,5,FALSE),0)+Inversiones[[#This Row],[Monto]])</f>
        <v>5000.1536452799992</v>
      </c>
      <c r="G195" s="6">
        <f>Inversiones[[#This Row],[Total Cuotapartes]]*Inversiones[[#This Row],[Valor Cuotaparte]]</f>
        <v>4580.2520725199993</v>
      </c>
      <c r="H195" s="25">
        <f>_xlfn.IFNA(VLOOKUP(Inversiones[[#This Row],[Nombre Inversión]],B196:H203,7,FALSE),0)+Inversiones[[#This Row],[Cant. Cuotapartes]]</f>
        <v>105.96</v>
      </c>
      <c r="I195" s="31">
        <v>43.226236999999998</v>
      </c>
      <c r="J195" s="7">
        <f>IF(ABS(Inversiones[[#This Row],[Saldo Valorizado]]-Inversiones[[#This Row],[Monto Invertido]]-G197+F197)&gt;500,"-",Inversiones[[#This Row],[Saldo Valorizado]]-Inversiones[[#This Row],[Monto Invertido]]-G197+F197)</f>
        <v>-116.54805300000044</v>
      </c>
      <c r="K195" s="36">
        <f>IFERROR((Inversiones[[#This Row],[Valor Cuotaparte]]-VLOOKUP(Inversiones[[#This Row],[Nombre Inversión]],B196:I208,8,FALSE))/VLOOKUP(Inversiones[[#This Row],[Nombre Inversión]],B197:I209,8,FALSE),"-")</f>
        <v>-2.4814352300566854E-2</v>
      </c>
      <c r="L195" s="28"/>
      <c r="M195" s="29">
        <f>K203+K201+K199+K197+K195</f>
        <v>-0.10135033074411409</v>
      </c>
      <c r="N195" s="7">
        <f>J203+J201+J199+J197+Inversiones[[#This Row],[Dif]]</f>
        <v>-496.24310375999994</v>
      </c>
      <c r="O195" s="23">
        <f>(SUM(G195:G196)-SUM(G205:G206))/SUM(G205:G206)</f>
        <v>-1.0400605357001694E-2</v>
      </c>
    </row>
    <row r="196" spans="1:15" hidden="1" x14ac:dyDescent="0.35">
      <c r="A196" s="1">
        <v>43378</v>
      </c>
      <c r="B196" t="s">
        <v>78</v>
      </c>
      <c r="C196" t="s">
        <v>82</v>
      </c>
      <c r="D196" s="6">
        <v>0</v>
      </c>
      <c r="E196" s="13">
        <v>0</v>
      </c>
      <c r="F196" s="46">
        <f>IF(Inversiones[[#This Row],[Total Cuotapartes]]=0,0,_xlfn.IFNA(VLOOKUP(Inversiones[[#This Row],[Nombre Inversión]],B197:F205,5,FALSE),0)+Inversiones[[#This Row],[Monto]])</f>
        <v>23000.003420389996</v>
      </c>
      <c r="G196" s="6">
        <f>Inversiones[[#This Row],[Total Cuotapartes]]*Inversiones[[#This Row],[Valor Cuotaparte]]</f>
        <v>24995.716260599998</v>
      </c>
      <c r="H196" s="25">
        <f>_xlfn.IFNA(VLOOKUP(Inversiones[[#This Row],[Nombre Inversión]],B197:H204,7,FALSE),0)+Inversiones[[#This Row],[Cant. Cuotapartes]]</f>
        <v>6649.53</v>
      </c>
      <c r="I196" s="14">
        <v>3.75902</v>
      </c>
      <c r="J196" s="7">
        <f>IF(ABS(Inversiones[[#This Row],[Saldo Valorizado]]-Inversiones[[#This Row],[Monto Invertido]]-G198+F198)&gt;500,"-",Inversiones[[#This Row],[Saldo Valorizado]]-Inversiones[[#This Row],[Monto Invertido]]-G198+F198)</f>
        <v>80.891532449997612</v>
      </c>
      <c r="K196" s="23">
        <f>IFERROR((Inversiones[[#This Row],[Valor Cuotaparte]]-VLOOKUP(Inversiones[[#This Row],[Nombre Inversión]],B197:I209,8,FALSE))/VLOOKUP(Inversiones[[#This Row],[Nombre Inversión]],B198:I210,8,FALSE),"-")</f>
        <v>3.2467229182874652E-3</v>
      </c>
      <c r="L196" s="28"/>
      <c r="M196" s="29">
        <f>K204+K202+K200+K198+K196</f>
        <v>7.452473002469118E-3</v>
      </c>
      <c r="N196" s="7">
        <f>J204+J202+J200+J198+Inversiones[[#This Row],[Dif]]</f>
        <v>185.40219545999935</v>
      </c>
    </row>
    <row r="197" spans="1:15" hidden="1" x14ac:dyDescent="0.35">
      <c r="A197" s="1">
        <v>43377</v>
      </c>
      <c r="B197" t="s">
        <v>100</v>
      </c>
      <c r="C197" t="s">
        <v>82</v>
      </c>
      <c r="D197" s="6">
        <v>0</v>
      </c>
      <c r="E197" s="13">
        <v>0</v>
      </c>
      <c r="F197" s="46">
        <f>IF(Inversiones[[#This Row],[Total Cuotapartes]]=0,0,_xlfn.IFNA(VLOOKUP(Inversiones[[#This Row],[Nombre Inversión]],B198:F206,5,FALSE),0)+Inversiones[[#This Row],[Monto]])</f>
        <v>5000.1536452799992</v>
      </c>
      <c r="G197" s="6">
        <f>Inversiones[[#This Row],[Total Cuotapartes]]*Inversiones[[#This Row],[Valor Cuotaparte]]</f>
        <v>4696.8001255199997</v>
      </c>
      <c r="H197" s="25">
        <f>_xlfn.IFNA(VLOOKUP(Inversiones[[#This Row],[Nombre Inversión]],B198:H205,7,FALSE),0)+Inversiones[[#This Row],[Cant. Cuotapartes]]</f>
        <v>105.96</v>
      </c>
      <c r="I197" s="31">
        <v>44.326161999999997</v>
      </c>
      <c r="J197" s="7">
        <f>IF(ABS(Inversiones[[#This Row],[Saldo Valorizado]]-Inversiones[[#This Row],[Monto Invertido]]-G199+F199)&gt;500,"-",Inversiones[[#This Row],[Saldo Valorizado]]-Inversiones[[#This Row],[Monto Invertido]]-G199+F199)</f>
        <v>-188.84371331999955</v>
      </c>
      <c r="K197" s="36">
        <f>IFERROR((Inversiones[[#This Row],[Valor Cuotaparte]]-VLOOKUP(Inversiones[[#This Row],[Nombre Inversión]],B198:I210,8,FALSE))/VLOOKUP(Inversiones[[#This Row],[Nombre Inversión]],B199:I211,8,FALSE),"-")</f>
        <v>-3.8652779357088281E-2</v>
      </c>
    </row>
    <row r="198" spans="1:15" hidden="1" x14ac:dyDescent="0.35">
      <c r="A198" s="1">
        <v>43377</v>
      </c>
      <c r="B198" t="s">
        <v>78</v>
      </c>
      <c r="C198" t="s">
        <v>82</v>
      </c>
      <c r="D198" s="6">
        <v>0</v>
      </c>
      <c r="E198" s="13">
        <v>0</v>
      </c>
      <c r="F198" s="46">
        <f>IF(Inversiones[[#This Row],[Total Cuotapartes]]=0,0,_xlfn.IFNA(VLOOKUP(Inversiones[[#This Row],[Nombre Inversión]],B199:F207,5,FALSE),0)+Inversiones[[#This Row],[Monto]])</f>
        <v>23000.003420389996</v>
      </c>
      <c r="G198" s="6">
        <f>Inversiones[[#This Row],[Total Cuotapartes]]*Inversiones[[#This Row],[Valor Cuotaparte]]</f>
        <v>24914.824728150001</v>
      </c>
      <c r="H198" s="25">
        <f>_xlfn.IFNA(VLOOKUP(Inversiones[[#This Row],[Nombre Inversión]],B199:H206,7,FALSE),0)+Inversiones[[#This Row],[Cant. Cuotapartes]]</f>
        <v>6649.53</v>
      </c>
      <c r="I198" s="14">
        <v>3.746855</v>
      </c>
      <c r="J198" s="7">
        <f>IF(ABS(Inversiones[[#This Row],[Saldo Valorizado]]-Inversiones[[#This Row],[Monto Invertido]]-G200+F200)&gt;500,"-",Inversiones[[#This Row],[Saldo Valorizado]]-Inversiones[[#This Row],[Monto Invertido]]-G200+F200)</f>
        <v>26.338788330001989</v>
      </c>
      <c r="K198" s="23">
        <f>IFERROR((Inversiones[[#This Row],[Valor Cuotaparte]]-VLOOKUP(Inversiones[[#This Row],[Nombre Inversión]],B199:I211,8,FALSE))/VLOOKUP(Inversiones[[#This Row],[Nombre Inversión]],B200:I212,8,FALSE),"-")</f>
        <v>1.0582720215960915E-3</v>
      </c>
    </row>
    <row r="199" spans="1:15" hidden="1" x14ac:dyDescent="0.35">
      <c r="A199" s="1">
        <v>43376</v>
      </c>
      <c r="B199" t="s">
        <v>100</v>
      </c>
      <c r="C199" t="s">
        <v>82</v>
      </c>
      <c r="D199" s="6">
        <v>0</v>
      </c>
      <c r="E199" s="13">
        <v>0</v>
      </c>
      <c r="F199" s="46">
        <f>IF(Inversiones[[#This Row],[Total Cuotapartes]]=0,0,_xlfn.IFNA(VLOOKUP(Inversiones[[#This Row],[Nombre Inversión]],B200:F208,5,FALSE),0)+Inversiones[[#This Row],[Monto]])</f>
        <v>5000.1536452799992</v>
      </c>
      <c r="G199" s="6">
        <f>Inversiones[[#This Row],[Total Cuotapartes]]*Inversiones[[#This Row],[Valor Cuotaparte]]</f>
        <v>4885.6438388399993</v>
      </c>
      <c r="H199" s="25">
        <f>_xlfn.IFNA(VLOOKUP(Inversiones[[#This Row],[Nombre Inversión]],B200:H207,7,FALSE),0)+Inversiones[[#This Row],[Cant. Cuotapartes]]</f>
        <v>105.96</v>
      </c>
      <c r="I199" s="31">
        <v>46.108378999999999</v>
      </c>
      <c r="J199" s="7">
        <f>IF(ABS(Inversiones[[#This Row],[Saldo Valorizado]]-Inversiones[[#This Row],[Monto Invertido]]-G201+F201)&gt;500,"-",Inversiones[[#This Row],[Saldo Valorizado]]-Inversiones[[#This Row],[Monto Invertido]]-G201+F201)</f>
        <v>-72.551553720000811</v>
      </c>
      <c r="K199" s="36">
        <f>IFERROR((Inversiones[[#This Row],[Valor Cuotaparte]]-VLOOKUP(Inversiones[[#This Row],[Nombre Inversión]],B200:I212,8,FALSE))/VLOOKUP(Inversiones[[#This Row],[Nombre Inversión]],B201:I213,8,FALSE),"-")</f>
        <v>-1.4632653208638623E-2</v>
      </c>
    </row>
    <row r="200" spans="1:15" hidden="1" x14ac:dyDescent="0.35">
      <c r="A200" s="1">
        <v>43376</v>
      </c>
      <c r="B200" t="s">
        <v>78</v>
      </c>
      <c r="C200" t="s">
        <v>82</v>
      </c>
      <c r="D200" s="6">
        <v>0</v>
      </c>
      <c r="E200" s="13">
        <v>0</v>
      </c>
      <c r="F200" s="46">
        <f>IF(Inversiones[[#This Row],[Total Cuotapartes]]=0,0,_xlfn.IFNA(VLOOKUP(Inversiones[[#This Row],[Nombre Inversión]],B201:F209,5,FALSE),0)+Inversiones[[#This Row],[Monto]])</f>
        <v>23000.003420389996</v>
      </c>
      <c r="G200" s="6">
        <f>Inversiones[[#This Row],[Total Cuotapartes]]*Inversiones[[#This Row],[Valor Cuotaparte]]</f>
        <v>24888.485939819999</v>
      </c>
      <c r="H200" s="25">
        <f>_xlfn.IFNA(VLOOKUP(Inversiones[[#This Row],[Nombre Inversión]],B201:H208,7,FALSE),0)+Inversiones[[#This Row],[Cant. Cuotapartes]]</f>
        <v>6649.53</v>
      </c>
      <c r="I200" s="14">
        <v>3.7428940000000002</v>
      </c>
      <c r="J200" s="7">
        <f>IF(ABS(Inversiones[[#This Row],[Saldo Valorizado]]-Inversiones[[#This Row],[Monto Invertido]]-G202+F202)&gt;500,"-",Inversiones[[#This Row],[Saldo Valorizado]]-Inversiones[[#This Row],[Monto Invertido]]-G202+F202)</f>
        <v>26.305540679997648</v>
      </c>
      <c r="K200" s="23">
        <f>IFERROR((Inversiones[[#This Row],[Valor Cuotaparte]]-VLOOKUP(Inversiones[[#This Row],[Nombre Inversión]],B201:I213,8,FALSE))/VLOOKUP(Inversiones[[#This Row],[Nombre Inversión]],B202:I214,8,FALSE),"-")</f>
        <v>1.0580544528954667E-3</v>
      </c>
    </row>
    <row r="201" spans="1:15" hidden="1" x14ac:dyDescent="0.35">
      <c r="A201" s="1">
        <v>43375</v>
      </c>
      <c r="B201" t="s">
        <v>100</v>
      </c>
      <c r="C201" t="s">
        <v>82</v>
      </c>
      <c r="D201" s="6">
        <v>0</v>
      </c>
      <c r="E201" s="13">
        <v>0</v>
      </c>
      <c r="F201" s="46">
        <f>IF(Inversiones[[#This Row],[Total Cuotapartes]]=0,0,_xlfn.IFNA(VLOOKUP(Inversiones[[#This Row],[Nombre Inversión]],B202:F210,5,FALSE),0)+Inversiones[[#This Row],[Monto]])</f>
        <v>5000.1536452799992</v>
      </c>
      <c r="G201" s="6">
        <f>Inversiones[[#This Row],[Total Cuotapartes]]*Inversiones[[#This Row],[Valor Cuotaparte]]</f>
        <v>4958.1953925600001</v>
      </c>
      <c r="H201" s="25">
        <f>_xlfn.IFNA(VLOOKUP(Inversiones[[#This Row],[Nombre Inversión]],B202:H209,7,FALSE),0)+Inversiones[[#This Row],[Cant. Cuotapartes]]</f>
        <v>105.96</v>
      </c>
      <c r="I201" s="31">
        <v>46.793086000000002</v>
      </c>
      <c r="J201" s="7">
        <f>IF(ABS(Inversiones[[#This Row],[Saldo Valorizado]]-Inversiones[[#This Row],[Monto Invertido]]-G203+F203)&gt;500,"-",Inversiones[[#This Row],[Saldo Valorizado]]-Inversiones[[#This Row],[Monto Invertido]]-G203+F203)</f>
        <v>10.328239080000458</v>
      </c>
      <c r="K201" s="36">
        <f>IFERROR((Inversiones[[#This Row],[Valor Cuotaparte]]-VLOOKUP(Inversiones[[#This Row],[Nombre Inversión]],B202:I214,8,FALSE))/VLOOKUP(Inversiones[[#This Row],[Nombre Inversión]],B203:I215,8,FALSE),"-")</f>
        <v>2.0874123656969834E-3</v>
      </c>
    </row>
    <row r="202" spans="1:15" hidden="1" x14ac:dyDescent="0.35">
      <c r="A202" s="1">
        <v>43375</v>
      </c>
      <c r="B202" t="s">
        <v>78</v>
      </c>
      <c r="C202" t="s">
        <v>82</v>
      </c>
      <c r="D202" s="6">
        <v>0</v>
      </c>
      <c r="E202" s="13">
        <v>0</v>
      </c>
      <c r="F202" s="46">
        <f>IF(Inversiones[[#This Row],[Total Cuotapartes]]=0,0,_xlfn.IFNA(VLOOKUP(Inversiones[[#This Row],[Nombre Inversión]],B203:F211,5,FALSE),0)+Inversiones[[#This Row],[Monto]])</f>
        <v>23000.003420389996</v>
      </c>
      <c r="G202" s="6">
        <f>Inversiones[[#This Row],[Total Cuotapartes]]*Inversiones[[#This Row],[Valor Cuotaparte]]</f>
        <v>24862.180399140001</v>
      </c>
      <c r="H202" s="25">
        <f>_xlfn.IFNA(VLOOKUP(Inversiones[[#This Row],[Nombre Inversión]],B203:H210,7,FALSE),0)+Inversiones[[#This Row],[Cant. Cuotapartes]]</f>
        <v>6649.53</v>
      </c>
      <c r="I202" s="14">
        <v>3.7389380000000001</v>
      </c>
      <c r="J202" s="7">
        <f>IF(ABS(Inversiones[[#This Row],[Saldo Valorizado]]-Inversiones[[#This Row],[Monto Invertido]]-G204+F204)&gt;500,"-",Inversiones[[#This Row],[Saldo Valorizado]]-Inversiones[[#This Row],[Monto Invertido]]-G204+F204)</f>
        <v>26.059508070004085</v>
      </c>
      <c r="K202" s="23">
        <f>IFERROR((Inversiones[[#This Row],[Valor Cuotaparte]]-VLOOKUP(Inversiones[[#This Row],[Nombre Inversión]],B203:I215,8,FALSE))/VLOOKUP(Inversiones[[#This Row],[Nombre Inversión]],B204:I216,8,FALSE),"-")</f>
        <v>1.0492583839600892E-3</v>
      </c>
    </row>
    <row r="203" spans="1:15" hidden="1" x14ac:dyDescent="0.35">
      <c r="A203" s="1">
        <v>43374</v>
      </c>
      <c r="B203" t="s">
        <v>100</v>
      </c>
      <c r="C203" t="s">
        <v>82</v>
      </c>
      <c r="D203" s="6">
        <v>0</v>
      </c>
      <c r="E203" s="13">
        <v>0</v>
      </c>
      <c r="F203" s="46">
        <f>IF(Inversiones[[#This Row],[Total Cuotapartes]]=0,0,_xlfn.IFNA(VLOOKUP(Inversiones[[#This Row],[Nombre Inversión]],B204:F212,5,FALSE),0)+Inversiones[[#This Row],[Monto]])</f>
        <v>5000.1536452799992</v>
      </c>
      <c r="G203" s="6">
        <f>Inversiones[[#This Row],[Total Cuotapartes]]*Inversiones[[#This Row],[Valor Cuotaparte]]</f>
        <v>4947.8671534799996</v>
      </c>
      <c r="H203" s="25">
        <f>_xlfn.IFNA(VLOOKUP(Inversiones[[#This Row],[Nombre Inversión]],B204:H211,7,FALSE),0)+Inversiones[[#This Row],[Cant. Cuotapartes]]</f>
        <v>105.96</v>
      </c>
      <c r="I203" s="31">
        <v>46.695613000000002</v>
      </c>
      <c r="J203" s="7">
        <f>IF(ABS(Inversiones[[#This Row],[Saldo Valorizado]]-Inversiones[[#This Row],[Monto Invertido]]-G205+F205)&gt;500,"-",Inversiones[[#This Row],[Saldo Valorizado]]-Inversiones[[#This Row],[Monto Invertido]]-G205+F205)</f>
        <v>-128.6280227999996</v>
      </c>
      <c r="K203" s="36">
        <f>IFERROR((Inversiones[[#This Row],[Valor Cuotaparte]]-VLOOKUP(Inversiones[[#This Row],[Nombre Inversión]],B204:I216,8,FALSE))/VLOOKUP(Inversiones[[#This Row],[Nombre Inversión]],B205:I217,8,FALSE),"-")</f>
        <v>-2.5337958243517325E-2</v>
      </c>
    </row>
    <row r="204" spans="1:15" hidden="1" x14ac:dyDescent="0.35">
      <c r="A204" s="1">
        <v>43374</v>
      </c>
      <c r="B204" t="s">
        <v>78</v>
      </c>
      <c r="C204" t="s">
        <v>82</v>
      </c>
      <c r="D204" s="6">
        <v>0</v>
      </c>
      <c r="E204" s="13">
        <v>0</v>
      </c>
      <c r="F204" s="46">
        <f>IF(Inversiones[[#This Row],[Total Cuotapartes]]=0,0,_xlfn.IFNA(VLOOKUP(Inversiones[[#This Row],[Nombre Inversión]],B205:F213,5,FALSE),0)+Inversiones[[#This Row],[Monto]])</f>
        <v>23000.003420389996</v>
      </c>
      <c r="G204" s="6">
        <f>Inversiones[[#This Row],[Total Cuotapartes]]*Inversiones[[#This Row],[Valor Cuotaparte]]</f>
        <v>24836.120891069997</v>
      </c>
      <c r="H204" s="25">
        <f>_xlfn.IFNA(VLOOKUP(Inversiones[[#This Row],[Nombre Inversión]],B205:H212,7,FALSE),0)+Inversiones[[#This Row],[Cant. Cuotapartes]]</f>
        <v>6649.53</v>
      </c>
      <c r="I204" s="14">
        <v>3.7350189999999999</v>
      </c>
      <c r="J204" s="7">
        <f>IF(ABS(Inversiones[[#This Row],[Saldo Valorizado]]-Inversiones[[#This Row],[Monto Invertido]]-G206+F206)&gt;500,"-",Inversiones[[#This Row],[Saldo Valorizado]]-Inversiones[[#This Row],[Monto Invertido]]-G206+F206)</f>
        <v>25.806825929998013</v>
      </c>
      <c r="K204" s="23">
        <f>IFERROR((Inversiones[[#This Row],[Valor Cuotaparte]]-VLOOKUP(Inversiones[[#This Row],[Nombre Inversión]],B205:I217,8,FALSE))/VLOOKUP(Inversiones[[#This Row],[Nombre Inversión]],B206:I218,8,FALSE),"-")</f>
        <v>1.0401652257300054E-3</v>
      </c>
    </row>
    <row r="205" spans="1:15" hidden="1" x14ac:dyDescent="0.35">
      <c r="A205" s="1">
        <v>43371</v>
      </c>
      <c r="B205" t="s">
        <v>100</v>
      </c>
      <c r="C205" t="s">
        <v>82</v>
      </c>
      <c r="D205" s="6">
        <v>0</v>
      </c>
      <c r="E205" s="13">
        <v>0</v>
      </c>
      <c r="F205" s="46">
        <f>IF(Inversiones[[#This Row],[Total Cuotapartes]]=0,0,_xlfn.IFNA(VLOOKUP(Inversiones[[#This Row],[Nombre Inversión]],B206:F214,5,FALSE),0)+Inversiones[[#This Row],[Monto]])</f>
        <v>5000.1536452799992</v>
      </c>
      <c r="G205" s="6">
        <f>Inversiones[[#This Row],[Total Cuotapartes]]*Inversiones[[#This Row],[Valor Cuotaparte]]</f>
        <v>5076.4951762799992</v>
      </c>
      <c r="H205" s="25">
        <f>_xlfn.IFNA(VLOOKUP(Inversiones[[#This Row],[Nombre Inversión]],B206:H213,7,FALSE),0)+Inversiones[[#This Row],[Cant. Cuotapartes]]</f>
        <v>105.96</v>
      </c>
      <c r="I205" s="31">
        <v>47.909542999999999</v>
      </c>
      <c r="J205" s="7">
        <f>IF(ABS(Inversiones[[#This Row],[Saldo Valorizado]]-Inversiones[[#This Row],[Monto Invertido]]-G207+F207)&gt;500,"-",Inversiones[[#This Row],[Saldo Valorizado]]-Inversiones[[#This Row],[Monto Invertido]]-G207+F207)</f>
        <v>-37.468515600000501</v>
      </c>
      <c r="K205" s="36">
        <f>IFERROR((Inversiones[[#This Row],[Valor Cuotaparte]]-VLOOKUP(Inversiones[[#This Row],[Nombre Inversión]],B206:I218,8,FALSE))/VLOOKUP(Inversiones[[#This Row],[Nombre Inversión]],B207:I219,8,FALSE),"-")</f>
        <v>-7.3267073951841337E-3</v>
      </c>
      <c r="L205" s="28"/>
      <c r="M205" s="29">
        <f>SUM(K205,K207,K209,K211,K213)</f>
        <v>-2.2704546256918007E-2</v>
      </c>
      <c r="N205" s="7">
        <f>J213+J211+J209+J207+Inversiones[[#This Row],[Dif]]</f>
        <v>-121.4213653200004</v>
      </c>
      <c r="O205" s="23">
        <f>(SUM(G205:G206)-SUM(G215:G216))/SUM(G215:G216)</f>
        <v>1.6437554430523956E-3</v>
      </c>
    </row>
    <row r="206" spans="1:15" hidden="1" x14ac:dyDescent="0.35">
      <c r="A206" s="1">
        <v>43371</v>
      </c>
      <c r="B206" t="s">
        <v>78</v>
      </c>
      <c r="C206" t="s">
        <v>82</v>
      </c>
      <c r="D206" s="6">
        <v>0</v>
      </c>
      <c r="E206" s="13">
        <v>0</v>
      </c>
      <c r="F206" s="46">
        <f>IF(Inversiones[[#This Row],[Total Cuotapartes]]=0,0,_xlfn.IFNA(VLOOKUP(Inversiones[[#This Row],[Nombre Inversión]],B207:F215,5,FALSE),0)+Inversiones[[#This Row],[Monto]])</f>
        <v>23000.003420389996</v>
      </c>
      <c r="G206" s="6">
        <f>Inversiones[[#This Row],[Total Cuotapartes]]*Inversiones[[#This Row],[Valor Cuotaparte]]</f>
        <v>24810.314065139999</v>
      </c>
      <c r="H206" s="25">
        <f>_xlfn.IFNA(VLOOKUP(Inversiones[[#This Row],[Nombre Inversión]],B207:H214,7,FALSE),0)+Inversiones[[#This Row],[Cant. Cuotapartes]]</f>
        <v>6649.53</v>
      </c>
      <c r="I206" s="14">
        <v>3.7311380000000001</v>
      </c>
      <c r="J206" s="7">
        <f>IF(ABS(Inversiones[[#This Row],[Saldo Valorizado]]-Inversiones[[#This Row],[Monto Invertido]]-G208+F208)&gt;500,"-",Inversiones[[#This Row],[Saldo Valorizado]]-Inversiones[[#This Row],[Monto Invertido]]-G208+F208)</f>
        <v>73.922825009998633</v>
      </c>
      <c r="K206" s="23">
        <f>IFERROR((Inversiones[[#This Row],[Valor Cuotaparte]]-VLOOKUP(Inversiones[[#This Row],[Nombre Inversión]],B207:I219,8,FALSE))/VLOOKUP(Inversiones[[#This Row],[Nombre Inversión]],B208:I220,8,FALSE),"-")</f>
        <v>2.9884239900796377E-3</v>
      </c>
      <c r="L206" s="28"/>
      <c r="M206" s="29">
        <f>SUM(K206,K208,K210,K212,K214)</f>
        <v>6.9009074937977791E-3</v>
      </c>
      <c r="N206" s="7">
        <f>J214+J212+J210+J208+Inversiones[[#This Row],[Dif]]</f>
        <v>170.46735107999848</v>
      </c>
    </row>
    <row r="207" spans="1:15" hidden="1" x14ac:dyDescent="0.35">
      <c r="A207" s="1">
        <v>43370</v>
      </c>
      <c r="B207" t="s">
        <v>100</v>
      </c>
      <c r="C207" t="s">
        <v>82</v>
      </c>
      <c r="D207" s="6">
        <v>0</v>
      </c>
      <c r="E207" s="13">
        <v>0</v>
      </c>
      <c r="F207" s="46">
        <f>IF(Inversiones[[#This Row],[Total Cuotapartes]]=0,0,_xlfn.IFNA(VLOOKUP(Inversiones[[#This Row],[Nombre Inversión]],B208:F216,5,FALSE),0)+Inversiones[[#This Row],[Monto]])</f>
        <v>5000.1536452799992</v>
      </c>
      <c r="G207" s="6">
        <f>Inversiones[[#This Row],[Total Cuotapartes]]*Inversiones[[#This Row],[Valor Cuotaparte]]</f>
        <v>5113.9636918799997</v>
      </c>
      <c r="H207" s="25">
        <f>_xlfn.IFNA(VLOOKUP(Inversiones[[#This Row],[Nombre Inversión]],B208:H215,7,FALSE),0)+Inversiones[[#This Row],[Cant. Cuotapartes]]</f>
        <v>105.96</v>
      </c>
      <c r="I207" s="31">
        <v>48.263153000000003</v>
      </c>
      <c r="J207" s="7">
        <f>IF(ABS(Inversiones[[#This Row],[Saldo Valorizado]]-Inversiones[[#This Row],[Monto Invertido]]-G209+F209)&gt;500,"-",Inversiones[[#This Row],[Saldo Valorizado]]-Inversiones[[#This Row],[Monto Invertido]]-G209+F209)</f>
        <v>-38.351480280000033</v>
      </c>
      <c r="K207" s="36">
        <f>IFERROR((Inversiones[[#This Row],[Valor Cuotaparte]]-VLOOKUP(Inversiones[[#This Row],[Nombre Inversión]],B208:I220,8,FALSE))/VLOOKUP(Inversiones[[#This Row],[Nombre Inversión]],B209:I221,8,FALSE),"-")</f>
        <v>-7.4435431448813304E-3</v>
      </c>
    </row>
    <row r="208" spans="1:15" hidden="1" x14ac:dyDescent="0.35">
      <c r="A208" s="1">
        <v>43370</v>
      </c>
      <c r="B208" t="s">
        <v>78</v>
      </c>
      <c r="C208" t="s">
        <v>82</v>
      </c>
      <c r="D208" s="6">
        <v>0</v>
      </c>
      <c r="E208" s="13">
        <v>0</v>
      </c>
      <c r="F208" s="46">
        <f>IF(Inversiones[[#This Row],[Total Cuotapartes]]=0,0,_xlfn.IFNA(VLOOKUP(Inversiones[[#This Row],[Nombre Inversión]],B209:F217,5,FALSE),0)+Inversiones[[#This Row],[Monto]])</f>
        <v>23000.003420389996</v>
      </c>
      <c r="G208" s="6">
        <f>Inversiones[[#This Row],[Total Cuotapartes]]*Inversiones[[#This Row],[Valor Cuotaparte]]</f>
        <v>24736.39124013</v>
      </c>
      <c r="H208" s="25">
        <f>_xlfn.IFNA(VLOOKUP(Inversiones[[#This Row],[Nombre Inversión]],B209:H216,7,FALSE),0)+Inversiones[[#This Row],[Cant. Cuotapartes]]</f>
        <v>6649.53</v>
      </c>
      <c r="I208" s="14">
        <v>3.720021</v>
      </c>
      <c r="J208" s="7">
        <f>IF(ABS(Inversiones[[#This Row],[Saldo Valorizado]]-Inversiones[[#This Row],[Monto Invertido]]-G210+F210)&gt;500,"-",Inversiones[[#This Row],[Saldo Valorizado]]-Inversiones[[#This Row],[Monto Invertido]]-G210+F210)</f>
        <v>24.257485440000892</v>
      </c>
      <c r="K208" s="23">
        <f>IFERROR((Inversiones[[#This Row],[Valor Cuotaparte]]-VLOOKUP(Inversiones[[#This Row],[Nombre Inversión]],B209:I221,8,FALSE))/VLOOKUP(Inversiones[[#This Row],[Nombre Inversión]],B210:I222,8,FALSE),"-")</f>
        <v>9.8160222345822007E-4</v>
      </c>
    </row>
    <row r="209" spans="1:19" hidden="1" x14ac:dyDescent="0.35">
      <c r="A209" s="1">
        <v>43369</v>
      </c>
      <c r="B209" t="s">
        <v>100</v>
      </c>
      <c r="C209" t="s">
        <v>82</v>
      </c>
      <c r="D209" s="6">
        <v>0</v>
      </c>
      <c r="E209" s="13">
        <v>0</v>
      </c>
      <c r="F209" s="46">
        <f>IF(Inversiones[[#This Row],[Total Cuotapartes]]=0,0,_xlfn.IFNA(VLOOKUP(Inversiones[[#This Row],[Nombre Inversión]],B210:F218,5,FALSE),0)+Inversiones[[#This Row],[Monto]])</f>
        <v>5000.1536452799992</v>
      </c>
      <c r="G209" s="6">
        <f>Inversiones[[#This Row],[Total Cuotapartes]]*Inversiones[[#This Row],[Valor Cuotaparte]]</f>
        <v>5152.3151721599997</v>
      </c>
      <c r="H209" s="25">
        <f>_xlfn.IFNA(VLOOKUP(Inversiones[[#This Row],[Nombre Inversión]],B210:H217,7,FALSE),0)+Inversiones[[#This Row],[Cant. Cuotapartes]]</f>
        <v>105.96</v>
      </c>
      <c r="I209" s="31">
        <v>48.625095999999999</v>
      </c>
      <c r="J209" s="7">
        <f>IF(ABS(Inversiones[[#This Row],[Saldo Valorizado]]-Inversiones[[#This Row],[Monto Invertido]]-G211+F211)&gt;500,"-",Inversiones[[#This Row],[Saldo Valorizado]]-Inversiones[[#This Row],[Monto Invertido]]-G211+F211)</f>
        <v>-11.479176599999846</v>
      </c>
      <c r="K209" s="36">
        <f>IFERROR((Inversiones[[#This Row],[Valor Cuotaparte]]-VLOOKUP(Inversiones[[#This Row],[Nombre Inversión]],B210:I222,8,FALSE))/VLOOKUP(Inversiones[[#This Row],[Nombre Inversión]],B211:I223,8,FALSE),"-")</f>
        <v>-2.2230119607216624E-3</v>
      </c>
    </row>
    <row r="210" spans="1:19" hidden="1" x14ac:dyDescent="0.35">
      <c r="A210" s="1">
        <v>43369</v>
      </c>
      <c r="B210" t="s">
        <v>78</v>
      </c>
      <c r="C210" t="s">
        <v>82</v>
      </c>
      <c r="D210" s="6">
        <v>0</v>
      </c>
      <c r="E210" s="13">
        <v>0</v>
      </c>
      <c r="F210" s="46">
        <f>IF(Inversiones[[#This Row],[Total Cuotapartes]]=0,0,_xlfn.IFNA(VLOOKUP(Inversiones[[#This Row],[Nombre Inversión]],B211:F219,5,FALSE),0)+Inversiones[[#This Row],[Monto]])</f>
        <v>23000.003420389996</v>
      </c>
      <c r="G210" s="6">
        <f>Inversiones[[#This Row],[Total Cuotapartes]]*Inversiones[[#This Row],[Valor Cuotaparte]]</f>
        <v>24712.133754689999</v>
      </c>
      <c r="H210" s="25">
        <f>_xlfn.IFNA(VLOOKUP(Inversiones[[#This Row],[Nombre Inversión]],B211:H218,7,FALSE),0)+Inversiones[[#This Row],[Cant. Cuotapartes]]</f>
        <v>6649.53</v>
      </c>
      <c r="I210" s="14">
        <v>3.7163729999999999</v>
      </c>
      <c r="J210" s="7">
        <f>IF(ABS(Inversiones[[#This Row],[Saldo Valorizado]]-Inversiones[[#This Row],[Monto Invertido]]-G212+F212)&gt;500,"-",Inversiones[[#This Row],[Saldo Valorizado]]-Inversiones[[#This Row],[Monto Invertido]]-G212+F212)</f>
        <v>24.224237790000188</v>
      </c>
      <c r="K210" s="23">
        <f>IFERROR((Inversiones[[#This Row],[Valor Cuotaparte]]-VLOOKUP(Inversiones[[#This Row],[Nombre Inversión]],B211:I223,8,FALSE))/VLOOKUP(Inversiones[[#This Row],[Nombre Inversión]],B212:I224,8,FALSE),"-")</f>
        <v>9.8121867197448805E-4</v>
      </c>
      <c r="Q210" s="23">
        <f>(O211-O212)/O212</f>
        <v>2.4645855396823825E-2</v>
      </c>
    </row>
    <row r="211" spans="1:19" hidden="1" x14ac:dyDescent="0.35">
      <c r="A211" s="1">
        <v>43368</v>
      </c>
      <c r="B211" t="s">
        <v>100</v>
      </c>
      <c r="C211" t="s">
        <v>82</v>
      </c>
      <c r="D211" s="6">
        <v>0</v>
      </c>
      <c r="E211" s="13">
        <v>0</v>
      </c>
      <c r="F211" s="46">
        <f>IF(Inversiones[[#This Row],[Total Cuotapartes]]=0,0,_xlfn.IFNA(VLOOKUP(Inversiones[[#This Row],[Nombre Inversión]],B212:F220,5,FALSE),0)+Inversiones[[#This Row],[Monto]])</f>
        <v>5000.1536452799992</v>
      </c>
      <c r="G211" s="6">
        <f>Inversiones[[#This Row],[Total Cuotapartes]]*Inversiones[[#This Row],[Valor Cuotaparte]]</f>
        <v>5163.7943487599996</v>
      </c>
      <c r="H211" s="25">
        <f>_xlfn.IFNA(VLOOKUP(Inversiones[[#This Row],[Nombre Inversión]],B212:H219,7,FALSE),0)+Inversiones[[#This Row],[Cant. Cuotapartes]]</f>
        <v>105.96</v>
      </c>
      <c r="I211" s="31">
        <v>48.733431000000003</v>
      </c>
      <c r="J211" s="7">
        <f>IF(ABS(Inversiones[[#This Row],[Saldo Valorizado]]-Inversiones[[#This Row],[Monto Invertido]]-G213+F213)&gt;500,"-",Inversiones[[#This Row],[Saldo Valorizado]]-Inversiones[[#This Row],[Monto Invertido]]-G213+F213)</f>
        <v>133.28348135999931</v>
      </c>
      <c r="K211" s="36">
        <f>IFERROR((Inversiones[[#This Row],[Valor Cuotaparte]]-VLOOKUP(Inversiones[[#This Row],[Nombre Inversión]],B212:I224,8,FALSE))/VLOOKUP(Inversiones[[#This Row],[Nombre Inversión]],B213:I225,8,FALSE),"-")</f>
        <v>2.649501906928332E-2</v>
      </c>
      <c r="O211" s="22">
        <f>SUM(I211:I212)</f>
        <v>52.446161000000004</v>
      </c>
    </row>
    <row r="212" spans="1:19" hidden="1" x14ac:dyDescent="0.35">
      <c r="A212" s="1">
        <v>43368</v>
      </c>
      <c r="B212" t="s">
        <v>78</v>
      </c>
      <c r="C212" t="s">
        <v>82</v>
      </c>
      <c r="D212" s="6">
        <v>0</v>
      </c>
      <c r="E212" s="13">
        <v>0</v>
      </c>
      <c r="F212" s="46">
        <f>IF(Inversiones[[#This Row],[Total Cuotapartes]]=0,0,_xlfn.IFNA(VLOOKUP(Inversiones[[#This Row],[Nombre Inversión]],B213:F221,5,FALSE),0)+Inversiones[[#This Row],[Monto]])</f>
        <v>23000.003420389996</v>
      </c>
      <c r="G212" s="6">
        <f>Inversiones[[#This Row],[Total Cuotapartes]]*Inversiones[[#This Row],[Valor Cuotaparte]]</f>
        <v>24687.909516899999</v>
      </c>
      <c r="H212" s="25">
        <f>_xlfn.IFNA(VLOOKUP(Inversiones[[#This Row],[Nombre Inversión]],B213:H220,7,FALSE),0)+Inversiones[[#This Row],[Cant. Cuotapartes]]</f>
        <v>6649.53</v>
      </c>
      <c r="I212" s="14">
        <v>3.7127300000000001</v>
      </c>
      <c r="J212" s="7">
        <f>IF(ABS(Inversiones[[#This Row],[Saldo Valorizado]]-Inversiones[[#This Row],[Monto Invertido]]-G214+F214)&gt;500,"-",Inversiones[[#This Row],[Saldo Valorizado]]-Inversiones[[#This Row],[Monto Invertido]]-G214+F214)</f>
        <v>24.097896720002609</v>
      </c>
      <c r="K212" s="23">
        <f>IFERROR((Inversiones[[#This Row],[Valor Cuotaparte]]-VLOOKUP(Inversiones[[#This Row],[Nombre Inversión]],B213:I225,8,FALSE))/VLOOKUP(Inversiones[[#This Row],[Nombre Inversión]],B214:I226,8,FALSE),"-")</f>
        <v>9.770548482573142E-4</v>
      </c>
      <c r="O212" s="22">
        <f>SUM(I213:I214)</f>
        <v>51.184671000000002</v>
      </c>
    </row>
    <row r="213" spans="1:19" hidden="1" x14ac:dyDescent="0.35">
      <c r="A213" s="1">
        <v>43367</v>
      </c>
      <c r="B213" t="s">
        <v>100</v>
      </c>
      <c r="C213" t="s">
        <v>82</v>
      </c>
      <c r="D213" s="6">
        <v>0</v>
      </c>
      <c r="E213" s="13">
        <v>0</v>
      </c>
      <c r="F213" s="46">
        <f>IF(Inversiones[[#This Row],[Total Cuotapartes]]=0,0,_xlfn.IFNA(VLOOKUP(Inversiones[[#This Row],[Nombre Inversión]],B214:F222,5,FALSE),0)+Inversiones[[#This Row],[Monto]])</f>
        <v>5000.1536452799992</v>
      </c>
      <c r="G213" s="6">
        <f>Inversiones[[#This Row],[Total Cuotapartes]]*Inversiones[[#This Row],[Valor Cuotaparte]]</f>
        <v>5030.5108674000003</v>
      </c>
      <c r="H213" s="25">
        <f>_xlfn.IFNA(VLOOKUP(Inversiones[[#This Row],[Nombre Inversión]],B214:H221,7,FALSE),0)+Inversiones[[#This Row],[Cant. Cuotapartes]]</f>
        <v>105.96</v>
      </c>
      <c r="I213" s="31">
        <v>47.475565000000003</v>
      </c>
      <c r="J213" s="7">
        <f>IF(ABS(Inversiones[[#This Row],[Saldo Valorizado]]-Inversiones[[#This Row],[Monto Invertido]]-G216+F216)&gt;500,"-",Inversiones[[#This Row],[Saldo Valorizado]]-Inversiones[[#This Row],[Monto Invertido]]-G216+F216)</f>
        <v>-167.40567419999934</v>
      </c>
      <c r="K213" s="36">
        <f>IFERROR((Inversiones[[#This Row],[Valor Cuotaparte]]-VLOOKUP(Inversiones[[#This Row],[Nombre Inversión]],B214:I226,8,FALSE))/VLOOKUP(Inversiones[[#This Row],[Nombre Inversión]],B215:I227,8,FALSE),"-")</f>
        <v>-3.2206302825414201E-2</v>
      </c>
    </row>
    <row r="214" spans="1:19" hidden="1" x14ac:dyDescent="0.35">
      <c r="A214" s="1">
        <v>43367</v>
      </c>
      <c r="B214" t="s">
        <v>78</v>
      </c>
      <c r="C214" t="s">
        <v>82</v>
      </c>
      <c r="D214" s="6">
        <v>0</v>
      </c>
      <c r="E214" s="13">
        <v>0</v>
      </c>
      <c r="F214" s="46">
        <f>IF(Inversiones[[#This Row],[Total Cuotapartes]]=0,0,_xlfn.IFNA(VLOOKUP(Inversiones[[#This Row],[Nombre Inversión]],B215:F223,5,FALSE),0)+Inversiones[[#This Row],[Monto]])</f>
        <v>23000.003420389996</v>
      </c>
      <c r="G214" s="6">
        <f>Inversiones[[#This Row],[Total Cuotapartes]]*Inversiones[[#This Row],[Valor Cuotaparte]]</f>
        <v>24663.811620179997</v>
      </c>
      <c r="H214" s="25">
        <f>_xlfn.IFNA(VLOOKUP(Inversiones[[#This Row],[Nombre Inversión]],B215:H222,7,FALSE),0)+Inversiones[[#This Row],[Cant. Cuotapartes]]</f>
        <v>6649.53</v>
      </c>
      <c r="I214" s="14">
        <v>3.7091059999999998</v>
      </c>
      <c r="J214" s="7">
        <f>IF(ABS(Inversiones[[#This Row],[Saldo Valorizado]]-Inversiones[[#This Row],[Monto Invertido]]-G215+F215)&gt;500,"-",Inversiones[[#This Row],[Saldo Valorizado]]-Inversiones[[#This Row],[Monto Invertido]]-G215+F215)</f>
        <v>23.964906119996158</v>
      </c>
      <c r="K214" s="23">
        <f>IFERROR((Inversiones[[#This Row],[Valor Cuotaparte]]-VLOOKUP(Inversiones[[#This Row],[Nombre Inversión]],B215:I227,8,FALSE))/VLOOKUP(Inversiones[[#This Row],[Nombre Inversión]],B216:I228,8,FALSE),"-")</f>
        <v>9.7260776002811998E-4</v>
      </c>
    </row>
    <row r="215" spans="1:19" hidden="1" x14ac:dyDescent="0.35">
      <c r="A215" s="1">
        <v>43367</v>
      </c>
      <c r="B215" t="s">
        <v>78</v>
      </c>
      <c r="C215" t="s">
        <v>79</v>
      </c>
      <c r="D215" s="6">
        <f>Inversiones[[#This Row],[Cant. Cuotapartes]]*Inversiones[[#This Row],[Valor Cuotaparte]]</f>
        <v>-2000.0076494800001</v>
      </c>
      <c r="E215" s="13">
        <v>-539.74</v>
      </c>
      <c r="F215" s="46">
        <f>IF(Inversiones[[#This Row],[Total Cuotapartes]]=0,0,_xlfn.IFNA(VLOOKUP(Inversiones[[#This Row],[Nombre Inversión]],B216:F224,5,FALSE),0)+Inversiones[[#This Row],[Monto]])</f>
        <v>23000.003420389996</v>
      </c>
      <c r="G215" s="6">
        <f>Inversiones[[#This Row],[Total Cuotapartes]]*Inversiones[[#This Row],[Valor Cuotaparte]]</f>
        <v>24639.846714060001</v>
      </c>
      <c r="H215" s="25">
        <f>_xlfn.IFNA(VLOOKUP(Inversiones[[#This Row],[Nombre Inversión]],B216:H223,7,FALSE),0)+Inversiones[[#This Row],[Cant. Cuotapartes]]</f>
        <v>6649.53</v>
      </c>
      <c r="I215" s="14">
        <v>3.7055020000000001</v>
      </c>
      <c r="J215" s="7" t="str">
        <f>IF(ABS(Inversiones[[#This Row],[Saldo Valorizado]]-Inversiones[[#This Row],[Monto Invertido]]-G216+F216)&gt;500,"-",Inversiones[[#This Row],[Saldo Valorizado]]-Inversiones[[#This Row],[Monto Invertido]]-G216+F216)</f>
        <v>-</v>
      </c>
      <c r="K215" s="23">
        <f>IFERROR((Inversiones[[#This Row],[Valor Cuotaparte]]-VLOOKUP(Inversiones[[#This Row],[Nombre Inversión]],B216:I228,8,FALSE))/VLOOKUP(Inversiones[[#This Row],[Nombre Inversión]],B217:I229,8,FALSE),"-")</f>
        <v>0</v>
      </c>
    </row>
    <row r="216" spans="1:19" hidden="1" x14ac:dyDescent="0.35">
      <c r="A216" s="1">
        <v>43364</v>
      </c>
      <c r="B216" t="s">
        <v>100</v>
      </c>
      <c r="C216" t="s">
        <v>82</v>
      </c>
      <c r="D216" s="6">
        <v>0</v>
      </c>
      <c r="E216" s="13">
        <v>0</v>
      </c>
      <c r="F216" s="46">
        <f>IF(Inversiones[[#This Row],[Total Cuotapartes]]=0,0,_xlfn.IFNA(VLOOKUP(Inversiones[[#This Row],[Nombre Inversión]],B217:F225,5,FALSE),0)+Inversiones[[#This Row],[Monto]])</f>
        <v>5000.1536452799992</v>
      </c>
      <c r="G216" s="6">
        <f>Inversiones[[#This Row],[Total Cuotapartes]]*Inversiones[[#This Row],[Valor Cuotaparte]]</f>
        <v>5197.9165415999996</v>
      </c>
      <c r="H216" s="25">
        <f>_xlfn.IFNA(VLOOKUP(Inversiones[[#This Row],[Nombre Inversión]],B217:H224,7,FALSE),0)+Inversiones[[#This Row],[Cant. Cuotapartes]]</f>
        <v>105.96</v>
      </c>
      <c r="I216" s="31">
        <v>49.055459999999997</v>
      </c>
      <c r="J216" s="7">
        <f>IF(ABS(Inversiones[[#This Row],[Saldo Valorizado]]-Inversiones[[#This Row],[Monto Invertido]]-G218+F218)&gt;500,"-",Inversiones[[#This Row],[Saldo Valorizado]]-Inversiones[[#This Row],[Monto Invertido]]-G218+F218)</f>
        <v>-42.336212039999737</v>
      </c>
      <c r="K216" s="36">
        <f>IFERROR((Inversiones[[#This Row],[Valor Cuotaparte]]-VLOOKUP(Inversiones[[#This Row],[Nombre Inversión]],B217:I229,8,FALSE))/VLOOKUP(Inversiones[[#This Row],[Nombre Inversión]],B218:I230,8,FALSE),"-")</f>
        <v>-8.0790400826739397E-3</v>
      </c>
      <c r="L216" s="28"/>
      <c r="M216" s="29">
        <f>K218+K216</f>
        <v>3.9939306030879265E-2</v>
      </c>
      <c r="Q216">
        <v>33648.566655402887</v>
      </c>
    </row>
    <row r="217" spans="1:19" hidden="1" x14ac:dyDescent="0.35">
      <c r="A217" s="1">
        <v>43364</v>
      </c>
      <c r="B217" t="s">
        <v>78</v>
      </c>
      <c r="C217" t="s">
        <v>82</v>
      </c>
      <c r="D217" s="6">
        <v>0</v>
      </c>
      <c r="E217" s="13">
        <v>0</v>
      </c>
      <c r="F217" s="46">
        <f>IF(Inversiones[[#This Row],[Total Cuotapartes]]=0,0,_xlfn.IFNA(VLOOKUP(Inversiones[[#This Row],[Nombre Inversión]],B218:F226,5,FALSE),0)+Inversiones[[#This Row],[Monto]])</f>
        <v>25000.011069869997</v>
      </c>
      <c r="G217" s="6">
        <f>Inversiones[[#This Row],[Total Cuotapartes]]*Inversiones[[#This Row],[Valor Cuotaparte]]</f>
        <v>26639.854363539998</v>
      </c>
      <c r="H217" s="25">
        <f>_xlfn.IFNA(VLOOKUP(Inversiones[[#This Row],[Nombre Inversión]],B218:H225,7,FALSE),0)+Inversiones[[#This Row],[Cant. Cuotapartes]]</f>
        <v>7189.2699999999995</v>
      </c>
      <c r="I217" s="14">
        <v>3.7055020000000001</v>
      </c>
      <c r="J217" s="7">
        <f>IF(ABS(Inversiones[[#This Row],[Saldo Valorizado]]-Inversiones[[#This Row],[Monto Invertido]]-G219+F219)&gt;500,"-",Inversiones[[#This Row],[Saldo Valorizado]]-Inversiones[[#This Row],[Monto Invertido]]-G219+F219)</f>
        <v>75.861177040002076</v>
      </c>
      <c r="K217" s="23">
        <f>IFERROR((Inversiones[[#This Row],[Valor Cuotaparte]]-VLOOKUP(Inversiones[[#This Row],[Nombre Inversión]],B218:I230,8,FALSE))/VLOOKUP(Inversiones[[#This Row],[Nombre Inversión]],B219:I231,8,FALSE),"-")</f>
        <v>2.8557896588587441E-3</v>
      </c>
      <c r="L217" s="28"/>
      <c r="M217" s="29">
        <f>K217+K219+K221+K223+K224</f>
        <v>6.8050113207766688E-3</v>
      </c>
      <c r="O217" t="s">
        <v>102</v>
      </c>
      <c r="P217">
        <v>33648.566655402887</v>
      </c>
      <c r="S217">
        <f>50000*(1.05^20)</f>
        <v>132664.88525722103</v>
      </c>
    </row>
    <row r="218" spans="1:19" hidden="1" x14ac:dyDescent="0.35">
      <c r="A218" s="1">
        <v>43363</v>
      </c>
      <c r="B218" t="s">
        <v>100</v>
      </c>
      <c r="C218" t="s">
        <v>82</v>
      </c>
      <c r="D218" s="6">
        <v>0</v>
      </c>
      <c r="E218" s="13">
        <v>0</v>
      </c>
      <c r="F218" s="46">
        <f>IF(Inversiones[[#This Row],[Total Cuotapartes]]=0,0,_xlfn.IFNA(VLOOKUP(Inversiones[[#This Row],[Nombre Inversión]],B219:F227,5,FALSE),0)+Inversiones[[#This Row],[Monto]])</f>
        <v>5000.1536452799992</v>
      </c>
      <c r="G218" s="6">
        <f>Inversiones[[#This Row],[Total Cuotapartes]]*Inversiones[[#This Row],[Valor Cuotaparte]]</f>
        <v>5240.2527536399994</v>
      </c>
      <c r="H218" s="25">
        <f>_xlfn.IFNA(VLOOKUP(Inversiones[[#This Row],[Nombre Inversión]],B219:H226,7,FALSE),0)+Inversiones[[#This Row],[Cant. Cuotapartes]]</f>
        <v>105.96</v>
      </c>
      <c r="I218" s="31">
        <v>49.455008999999997</v>
      </c>
      <c r="J218" s="7">
        <f>IF(ABS(Inversiones[[#This Row],[Saldo Valorizado]]-Inversiones[[#This Row],[Monto Invertido]]-G220+F220)&gt;500,"-",Inversiones[[#This Row],[Saldo Valorizado]]-Inversiones[[#This Row],[Monto Invertido]]-G220+F220)</f>
        <v>240.09910836000017</v>
      </c>
      <c r="K218" s="36">
        <f>IFERROR((Inversiones[[#This Row],[Valor Cuotaparte]]-VLOOKUP(Inversiones[[#This Row],[Nombre Inversión]],B219:I231,8,FALSE))/VLOOKUP(Inversiones[[#This Row],[Nombre Inversión]],B220:I232,8,FALSE),"-")</f>
        <v>4.8018346113553205E-2</v>
      </c>
      <c r="O218" t="s">
        <v>88</v>
      </c>
      <c r="P218">
        <v>0.05</v>
      </c>
    </row>
    <row r="219" spans="1:19" hidden="1" x14ac:dyDescent="0.35">
      <c r="A219" s="1">
        <v>43363</v>
      </c>
      <c r="B219" t="s">
        <v>78</v>
      </c>
      <c r="C219" t="s">
        <v>82</v>
      </c>
      <c r="D219" s="6">
        <v>0</v>
      </c>
      <c r="E219" s="13">
        <v>0</v>
      </c>
      <c r="F219" s="46">
        <f>IF(Inversiones[[#This Row],[Total Cuotapartes]]=0,0,_xlfn.IFNA(VLOOKUP(Inversiones[[#This Row],[Nombre Inversión]],B220:F228,5,FALSE),0)+Inversiones[[#This Row],[Monto]])</f>
        <v>25000.011069869997</v>
      </c>
      <c r="G219" s="6">
        <f>Inversiones[[#This Row],[Total Cuotapartes]]*Inversiones[[#This Row],[Valor Cuotaparte]]</f>
        <v>26563.993186499996</v>
      </c>
      <c r="H219" s="25">
        <f>_xlfn.IFNA(VLOOKUP(Inversiones[[#This Row],[Nombre Inversión]],B220:H227,7,FALSE),0)+Inversiones[[#This Row],[Cant. Cuotapartes]]</f>
        <v>7189.2699999999995</v>
      </c>
      <c r="I219" s="31">
        <v>3.69495</v>
      </c>
      <c r="J219" s="7">
        <f>IF(ABS(Inversiones[[#This Row],[Saldo Valorizado]]-Inversiones[[#This Row],[Monto Invertido]]-G221+F221)&gt;500,"-",Inversiones[[#This Row],[Saldo Valorizado]]-Inversiones[[#This Row],[Monto Invertido]]-G221+F221)</f>
        <v>25.176823539997713</v>
      </c>
      <c r="K219" s="23">
        <f>IFERROR((Inversiones[[#This Row],[Valor Cuotaparte]]-VLOOKUP(Inversiones[[#This Row],[Nombre Inversión]],B220:I232,8,FALSE))/VLOOKUP(Inversiones[[#This Row],[Nombre Inversión]],B221:I233,8,FALSE),"-")</f>
        <v>9.4867921747783426E-4</v>
      </c>
      <c r="O219" t="s">
        <v>101</v>
      </c>
      <c r="P219">
        <v>20</v>
      </c>
    </row>
    <row r="220" spans="1:19" hidden="1" x14ac:dyDescent="0.35">
      <c r="A220" s="1">
        <v>43362</v>
      </c>
      <c r="B220" t="s">
        <v>100</v>
      </c>
      <c r="C220" t="s">
        <v>76</v>
      </c>
      <c r="D220" s="6">
        <f>Inversiones[[#This Row],[Cant. Cuotapartes]]*Inversiones[[#This Row],[Valor Cuotaparte]]</f>
        <v>5000.1536452799992</v>
      </c>
      <c r="E220" s="13">
        <v>105.96</v>
      </c>
      <c r="F220" s="46">
        <f>IF(Inversiones[[#This Row],[Total Cuotapartes]]=0,0,_xlfn.IFNA(VLOOKUP(Inversiones[[#This Row],[Nombre Inversión]],B221:F229,5,FALSE),0)+Inversiones[[#This Row],[Monto]])</f>
        <v>5000.1536452799992</v>
      </c>
      <c r="G220" s="6">
        <f>Inversiones[[#This Row],[Total Cuotapartes]]*Inversiones[[#This Row],[Valor Cuotaparte]]</f>
        <v>5000.1536452799992</v>
      </c>
      <c r="H220" s="25">
        <f>_xlfn.IFNA(VLOOKUP(Inversiones[[#This Row],[Nombre Inversión]],B221:H228,7,FALSE),0)+Inversiones[[#This Row],[Cant. Cuotapartes]]</f>
        <v>105.96</v>
      </c>
      <c r="I220" s="30">
        <v>47.189067999999999</v>
      </c>
      <c r="J220" s="7" t="str">
        <f>IF(ABS(Inversiones[[#This Row],[Saldo Valorizado]]-Inversiones[[#This Row],[Monto Invertido]]-G221+F221)&gt;500,"-",Inversiones[[#This Row],[Saldo Valorizado]]-Inversiones[[#This Row],[Monto Invertido]]-G221+F221)</f>
        <v>-</v>
      </c>
      <c r="K220" s="36" t="str">
        <f>IFERROR((Inversiones[[#This Row],[Valor Cuotaparte]]-VLOOKUP(Inversiones[[#This Row],[Nombre Inversión]],B221:I233,8,FALSE))/VLOOKUP(Inversiones[[#This Row],[Nombre Inversión]],B222:I234,8,FALSE),"-")</f>
        <v>-</v>
      </c>
      <c r="Q220">
        <f>P217/(1-P218)^P219</f>
        <v>93863.007030596564</v>
      </c>
    </row>
    <row r="221" spans="1:19" hidden="1" x14ac:dyDescent="0.35">
      <c r="A221" s="1">
        <v>43362</v>
      </c>
      <c r="B221" t="s">
        <v>78</v>
      </c>
      <c r="C221" t="s">
        <v>82</v>
      </c>
      <c r="D221" s="6">
        <v>0</v>
      </c>
      <c r="E221" s="13">
        <v>0</v>
      </c>
      <c r="F221" s="46">
        <f>IF(Inversiones[[#This Row],[Total Cuotapartes]]=0,0,_xlfn.IFNA(VLOOKUP(Inversiones[[#This Row],[Nombre Inversión]],B222:F230,5,FALSE),0)+Inversiones[[#This Row],[Monto]])</f>
        <v>25000.011069869997</v>
      </c>
      <c r="G221" s="6">
        <f>Inversiones[[#This Row],[Total Cuotapartes]]*Inversiones[[#This Row],[Valor Cuotaparte]]</f>
        <v>26538.816362959999</v>
      </c>
      <c r="H221" s="25">
        <f>_xlfn.IFNA(VLOOKUP(Inversiones[[#This Row],[Nombre Inversión]],B222:H229,7,FALSE),0)+Inversiones[[#This Row],[Cant. Cuotapartes]]</f>
        <v>7189.2699999999995</v>
      </c>
      <c r="I221" s="30">
        <v>3.6914479999999998</v>
      </c>
      <c r="J221" s="7">
        <f>IF(ABS(Inversiones[[#This Row],[Saldo Valorizado]]-Inversiones[[#This Row],[Monto Invertido]]-G222+F222)&gt;500,"-",Inversiones[[#This Row],[Saldo Valorizado]]-Inversiones[[#This Row],[Monto Invertido]]-G222+F222)</f>
        <v>25.385312369999156</v>
      </c>
      <c r="K221" s="23">
        <f>IFERROR((Inversiones[[#This Row],[Valor Cuotaparte]]-VLOOKUP(Inversiones[[#This Row],[Nombre Inversión]],B222:I234,8,FALSE))/VLOOKUP(Inversiones[[#This Row],[Nombre Inversión]],B223:I235,8,FALSE),"-")</f>
        <v>9.5745104892537678E-4</v>
      </c>
      <c r="P221">
        <f>P217*((1+P218)^P219)</f>
        <v>89279.66468817956</v>
      </c>
    </row>
    <row r="222" spans="1:19" hidden="1" x14ac:dyDescent="0.35">
      <c r="A222" s="1">
        <v>43362</v>
      </c>
      <c r="B222" t="s">
        <v>78</v>
      </c>
      <c r="C222" t="s">
        <v>79</v>
      </c>
      <c r="D222" s="6">
        <f>Inversiones[[#This Row],[Cant. Cuotapartes]]*Inversiones[[#This Row],[Valor Cuotaparte]]</f>
        <v>-5000.0041102599998</v>
      </c>
      <c r="E222" s="13">
        <v>-1355.78</v>
      </c>
      <c r="F222" s="46">
        <f>IF(Inversiones[[#This Row],[Total Cuotapartes]]=0,0,_xlfn.IFNA(VLOOKUP(Inversiones[[#This Row],[Nombre Inversión]],B223:F231,5,FALSE),0)+Inversiones[[#This Row],[Monto]])</f>
        <v>25000.011069869997</v>
      </c>
      <c r="G222" s="6">
        <f>Inversiones[[#This Row],[Total Cuotapartes]]*Inversiones[[#This Row],[Valor Cuotaparte]]</f>
        <v>26513.431050589999</v>
      </c>
      <c r="H222" s="25">
        <f>_xlfn.IFNA(VLOOKUP(Inversiones[[#This Row],[Nombre Inversión]],B223:H230,7,FALSE),0)+Inversiones[[#This Row],[Cant. Cuotapartes]]</f>
        <v>7189.2699999999995</v>
      </c>
      <c r="I222" s="30">
        <v>3.6879170000000001</v>
      </c>
      <c r="J222" s="7">
        <f>IF(ABS(Inversiones[[#This Row],[Saldo Valorizado]]-Inversiones[[#This Row],[Monto Invertido]]-G223+F223)&gt;500,"-",Inversiones[[#This Row],[Saldo Valorizado]]-Inversiones[[#This Row],[Monto Invertido]]-G223+F223)</f>
        <v>3.637978807091713E-12</v>
      </c>
      <c r="K222" s="23" t="s">
        <v>80</v>
      </c>
    </row>
    <row r="223" spans="1:19" hidden="1" x14ac:dyDescent="0.35">
      <c r="A223" s="1">
        <v>43361</v>
      </c>
      <c r="B223" t="s">
        <v>78</v>
      </c>
      <c r="C223" t="s">
        <v>82</v>
      </c>
      <c r="D223" s="6">
        <v>0</v>
      </c>
      <c r="E223" s="13">
        <v>0</v>
      </c>
      <c r="F223" s="46">
        <f>IF(Inversiones[[#This Row],[Total Cuotapartes]]=0,0,_xlfn.IFNA(VLOOKUP(Inversiones[[#This Row],[Nombre Inversión]],B224:F232,5,FALSE),0)+Inversiones[[#This Row],[Monto]])</f>
        <v>30000.015180129998</v>
      </c>
      <c r="G223" s="6">
        <f>Inversiones[[#This Row],[Total Cuotapartes]]*Inversiones[[#This Row],[Valor Cuotaparte]]</f>
        <v>31513.435160849996</v>
      </c>
      <c r="H223" s="25">
        <f>_xlfn.IFNA(VLOOKUP(Inversiones[[#This Row],[Nombre Inversión]],B224:H231,7,FALSE),0)+Inversiones[[#This Row],[Cant. Cuotapartes]]</f>
        <v>8545.0499999999993</v>
      </c>
      <c r="I223" s="30">
        <v>3.6879170000000001</v>
      </c>
      <c r="J223" s="7">
        <f>IF(ABS(Inversiones[[#This Row],[Saldo Valorizado]]-Inversiones[[#This Row],[Monto Invertido]]-G224+F224)&gt;500,"-",Inversiones[[#This Row],[Saldo Valorizado]]-Inversiones[[#This Row],[Monto Invertido]]-G224+F224)</f>
        <v>32.180658299999777</v>
      </c>
      <c r="K223" s="23">
        <f>IFERROR((Inversiones[[#This Row],[Valor Cuotaparte]]-VLOOKUP(Inversiones[[#This Row],[Nombre Inversión]],B224:I236,8,FALSE))/VLOOKUP(Inversiones[[#This Row],[Nombre Inversión]],B225:I237,8,FALSE),"-")</f>
        <v>1.0232558392287809E-3</v>
      </c>
    </row>
    <row r="224" spans="1:19" hidden="1" x14ac:dyDescent="0.35">
      <c r="A224" s="1">
        <v>43360</v>
      </c>
      <c r="B224" t="s">
        <v>78</v>
      </c>
      <c r="C224" t="s">
        <v>82</v>
      </c>
      <c r="D224" s="6">
        <v>0</v>
      </c>
      <c r="E224" s="13">
        <v>0</v>
      </c>
      <c r="F224" s="46">
        <f>IF(Inversiones[[#This Row],[Total Cuotapartes]]=0,0,_xlfn.IFNA(VLOOKUP(Inversiones[[#This Row],[Nombre Inversión]],B225:F233,5,FALSE),0)+Inversiones[[#This Row],[Monto]])</f>
        <v>30000.015180129998</v>
      </c>
      <c r="G224" s="6">
        <f>Inversiones[[#This Row],[Total Cuotapartes]]*Inversiones[[#This Row],[Valor Cuotaparte]]</f>
        <v>31481.254502549997</v>
      </c>
      <c r="H224" s="25">
        <f>_xlfn.IFNA(VLOOKUP(Inversiones[[#This Row],[Nombre Inversión]],B225:H232,7,FALSE),0)+Inversiones[[#This Row],[Cant. Cuotapartes]]</f>
        <v>8545.0499999999993</v>
      </c>
      <c r="I224" s="30">
        <v>3.684151</v>
      </c>
      <c r="J224" s="7">
        <f>IF(ABS(Inversiones[[#This Row],[Saldo Valorizado]]-Inversiones[[#This Row],[Monto Invertido]]-G225+F225)&gt;500,"-",Inversiones[[#This Row],[Saldo Valorizado]]-Inversiones[[#This Row],[Monto Invertido]]-G225+F225)</f>
        <v>31.975577099998191</v>
      </c>
      <c r="K224" s="23">
        <f>IFERROR((Inversiones[[#This Row],[Valor Cuotaparte]]-VLOOKUP(Inversiones[[#This Row],[Nombre Inversión]],B225:I237,8,FALSE))/VLOOKUP(Inversiones[[#This Row],[Nombre Inversión]],B226:I238,8,FALSE),"-")</f>
        <v>1.0198355562859322E-3</v>
      </c>
    </row>
    <row r="225" spans="1:13" hidden="1" x14ac:dyDescent="0.35">
      <c r="A225" s="1">
        <v>43357</v>
      </c>
      <c r="B225" t="s">
        <v>78</v>
      </c>
      <c r="C225" t="s">
        <v>82</v>
      </c>
      <c r="D225" s="6">
        <v>0</v>
      </c>
      <c r="E225" s="13">
        <v>0</v>
      </c>
      <c r="F225" s="46">
        <f>IF(Inversiones[[#This Row],[Total Cuotapartes]]=0,0,_xlfn.IFNA(VLOOKUP(Inversiones[[#This Row],[Nombre Inversión]],B226:F234,5,FALSE),0)+Inversiones[[#This Row],[Monto]])</f>
        <v>30000.015180129998</v>
      </c>
      <c r="G225" s="6">
        <f>Inversiones[[#This Row],[Total Cuotapartes]]*Inversiones[[#This Row],[Valor Cuotaparte]]</f>
        <v>31449.278925449998</v>
      </c>
      <c r="H225" s="25">
        <f>_xlfn.IFNA(VLOOKUP(Inversiones[[#This Row],[Nombre Inversión]],B226:H233,7,FALSE),0)+Inversiones[[#This Row],[Cant. Cuotapartes]]</f>
        <v>8545.0499999999993</v>
      </c>
      <c r="I225" s="30">
        <v>3.680409</v>
      </c>
      <c r="J225" s="7">
        <f>IF(ABS(Inversiones[[#This Row],[Saldo Valorizado]]-Inversiones[[#This Row],[Monto Invertido]]-G226+F226)&gt;500,"-",Inversiones[[#This Row],[Saldo Valorizado]]-Inversiones[[#This Row],[Monto Invertido]]-G226+F226)</f>
        <v>95.619109499999468</v>
      </c>
      <c r="K225" s="23">
        <f>IFERROR((Inversiones[[#This Row],[Valor Cuotaparte]]-VLOOKUP(Inversiones[[#This Row],[Nombre Inversión]],B226:I238,8,FALSE))/VLOOKUP(Inversiones[[#This Row],[Nombre Inversión]],B227:I239,8,FALSE),"-")</f>
        <v>3.0528110400000088E-3</v>
      </c>
      <c r="L225" s="28"/>
      <c r="M225" s="29">
        <f>SUM(K225:K230)</f>
        <v>7.0975175467033313E-3</v>
      </c>
    </row>
    <row r="226" spans="1:13" hidden="1" x14ac:dyDescent="0.35">
      <c r="A226" s="1">
        <v>43356</v>
      </c>
      <c r="B226" t="s">
        <v>78</v>
      </c>
      <c r="C226" t="s">
        <v>82</v>
      </c>
      <c r="D226" s="6">
        <v>0</v>
      </c>
      <c r="E226" s="13">
        <v>0</v>
      </c>
      <c r="F226" s="46">
        <f>IF(Inversiones[[#This Row],[Total Cuotapartes]]=0,0,_xlfn.IFNA(VLOOKUP(Inversiones[[#This Row],[Nombre Inversión]],B227:F235,5,FALSE),0)+Inversiones[[#This Row],[Monto]])</f>
        <v>30000.015180129998</v>
      </c>
      <c r="G226" s="6">
        <f>Inversiones[[#This Row],[Total Cuotapartes]]*Inversiones[[#This Row],[Valor Cuotaparte]]</f>
        <v>31353.659815949999</v>
      </c>
      <c r="H226" s="25">
        <f>_xlfn.IFNA(VLOOKUP(Inversiones[[#This Row],[Nombre Inversión]],B227:H234,7,FALSE),0)+Inversiones[[#This Row],[Cant. Cuotapartes]]</f>
        <v>8545.0499999999993</v>
      </c>
      <c r="I226" s="30">
        <v>3.669219</v>
      </c>
      <c r="J226" s="7">
        <f>IF(ABS(Inversiones[[#This Row],[Saldo Valorizado]]-Inversiones[[#This Row],[Monto Invertido]]-G227+F227)&gt;500,"-",Inversiones[[#This Row],[Saldo Valorizado]]-Inversiones[[#This Row],[Monto Invertido]]-G227+F227)</f>
        <v>31.999796009818965</v>
      </c>
      <c r="K226" s="23">
        <f>IFERROR((Inversiones[[#This Row],[Valor Cuotaparte]]-VLOOKUP(Inversiones[[#This Row],[Nombre Inversión]],B227:I239,8,FALSE))/VLOOKUP(Inversiones[[#This Row],[Nombre Inversión]],B228:I240,8,FALSE),"-")</f>
        <v>1.0216507039998953E-3</v>
      </c>
    </row>
    <row r="227" spans="1:13" hidden="1" x14ac:dyDescent="0.35">
      <c r="A227" s="1">
        <v>43356</v>
      </c>
      <c r="B227" t="s">
        <v>78</v>
      </c>
      <c r="C227" t="s">
        <v>76</v>
      </c>
      <c r="D227" s="6">
        <f>Inversiones[[#This Row],[Cant. Cuotapartes]]*Inversiones[[#This Row],[Valor Cuotaparte]]</f>
        <v>5000</v>
      </c>
      <c r="E227" s="13">
        <v>1364.08</v>
      </c>
      <c r="F227" s="46">
        <f>IF(Inversiones[[#This Row],[Total Cuotapartes]]=0,0,_xlfn.IFNA(VLOOKUP(Inversiones[[#This Row],[Nombre Inversión]],B228:F236,5,FALSE),0)+Inversiones[[#This Row],[Monto]])</f>
        <v>30000.015180129998</v>
      </c>
      <c r="G227" s="6">
        <f>Inversiones[[#This Row],[Total Cuotapartes]]*Inversiones[[#This Row],[Valor Cuotaparte]]</f>
        <v>31321.66001994018</v>
      </c>
      <c r="H227" s="25">
        <f>_xlfn.IFNA(VLOOKUP(Inversiones[[#This Row],[Nombre Inversión]],B228:H235,7,FALSE),0)+Inversiones[[#This Row],[Cant. Cuotapartes]]</f>
        <v>8545.0499999999993</v>
      </c>
      <c r="I227" s="14">
        <v>3.6654741657380803</v>
      </c>
      <c r="J227" s="7">
        <f>IF(ABS(Inversiones[[#This Row],[Saldo Valorizado]]-Inversiones[[#This Row],[Monto Invertido]]-G228+F228)&gt;500,"-",Inversiones[[#This Row],[Saldo Valorizado]]-Inversiones[[#This Row],[Monto Invertido]]-G228+F228)</f>
        <v>0</v>
      </c>
      <c r="K227" s="23" t="s">
        <v>80</v>
      </c>
    </row>
    <row r="228" spans="1:13" hidden="1" x14ac:dyDescent="0.35">
      <c r="A228" s="1">
        <v>43355</v>
      </c>
      <c r="B228" t="s">
        <v>78</v>
      </c>
      <c r="C228" t="s">
        <v>82</v>
      </c>
      <c r="D228" s="6">
        <v>0</v>
      </c>
      <c r="E228" s="13">
        <v>0</v>
      </c>
      <c r="F228" s="46">
        <f>IF(Inversiones[[#This Row],[Total Cuotapartes]]=0,0,_xlfn.IFNA(VLOOKUP(Inversiones[[#This Row],[Nombre Inversión]],B229:F237,5,FALSE),0)+Inversiones[[#This Row],[Monto]])</f>
        <v>25000.015180129998</v>
      </c>
      <c r="G228" s="6">
        <f>Inversiones[[#This Row],[Total Cuotapartes]]*Inversiones[[#This Row],[Valor Cuotaparte]]</f>
        <v>26321.66001994018</v>
      </c>
      <c r="H228" s="25">
        <f>_xlfn.IFNA(VLOOKUP(Inversiones[[#This Row],[Nombre Inversión]],B229:H236,7,FALSE),0)+Inversiones[[#This Row],[Cant. Cuotapartes]]</f>
        <v>7180.9699999999993</v>
      </c>
      <c r="I228" s="14">
        <v>3.6654741657380803</v>
      </c>
      <c r="J228" s="7">
        <f>IF(ABS(Inversiones[[#This Row],[Saldo Valorizado]]-Inversiones[[#This Row],[Monto Invertido]]-G229+F229)&gt;500,"-",Inversiones[[#This Row],[Saldo Valorizado]]-Inversiones[[#This Row],[Monto Invertido]]-G229+F229)</f>
        <v>26.498969460182707</v>
      </c>
      <c r="K228" s="23">
        <f>IFERROR((Inversiones[[#This Row],[Valor Cuotaparte]]-VLOOKUP(Inversiones[[#This Row],[Nombre Inversión]],B229:I241,8,FALSE))/VLOOKUP(Inversiones[[#This Row],[Nombre Inversión]],B230:I242,8,FALSE),"-")</f>
        <v>1.0087678872156146E-3</v>
      </c>
    </row>
    <row r="229" spans="1:13" hidden="1" x14ac:dyDescent="0.35">
      <c r="A229" s="1">
        <v>43354</v>
      </c>
      <c r="B229" t="s">
        <v>78</v>
      </c>
      <c r="C229" t="s">
        <v>82</v>
      </c>
      <c r="D229" s="6">
        <v>0</v>
      </c>
      <c r="E229" s="13">
        <v>0</v>
      </c>
      <c r="F229" s="46">
        <f>IF(Inversiones[[#This Row],[Total Cuotapartes]]=0,0,_xlfn.IFNA(VLOOKUP(Inversiones[[#This Row],[Nombre Inversión]],B230:F238,5,FALSE),0)+Inversiones[[#This Row],[Monto]])</f>
        <v>25000.015180129998</v>
      </c>
      <c r="G229" s="6">
        <f>Inversiones[[#This Row],[Total Cuotapartes]]*Inversiones[[#This Row],[Valor Cuotaparte]]</f>
        <v>26295.161050479997</v>
      </c>
      <c r="H229" s="25">
        <f>_xlfn.IFNA(VLOOKUP(Inversiones[[#This Row],[Nombre Inversión]],B230:H237,7,FALSE),0)+Inversiones[[#This Row],[Cant. Cuotapartes]]</f>
        <v>7180.9699999999993</v>
      </c>
      <c r="I229" s="31">
        <v>3.6617839999999999</v>
      </c>
      <c r="J229" s="7">
        <f>IF(ABS(Inversiones[[#This Row],[Saldo Valorizado]]-Inversiones[[#This Row],[Monto Invertido]]-G230+F230)&gt;500,"-",Inversiones[[#This Row],[Saldo Valorizado]]-Inversiones[[#This Row],[Monto Invertido]]-G230+F230)</f>
        <v>26.512141240000346</v>
      </c>
      <c r="K229" s="23">
        <f>IFERROR((Inversiones[[#This Row],[Valor Cuotaparte]]-VLOOKUP(Inversiones[[#This Row],[Nombre Inversión]],B230:I242,8,FALSE))/VLOOKUP(Inversiones[[#This Row],[Nombre Inversión]],B231:I243,8,FALSE),"-")</f>
        <v>1.0102795672325806E-3</v>
      </c>
    </row>
    <row r="230" spans="1:13" hidden="1" x14ac:dyDescent="0.35">
      <c r="A230" s="1">
        <v>43353</v>
      </c>
      <c r="B230" t="s">
        <v>78</v>
      </c>
      <c r="C230" t="s">
        <v>82</v>
      </c>
      <c r="D230" s="6">
        <v>0</v>
      </c>
      <c r="E230" s="13">
        <v>0</v>
      </c>
      <c r="F230" s="46">
        <f>IF(Inversiones[[#This Row],[Total Cuotapartes]]=0,0,_xlfn.IFNA(VLOOKUP(Inversiones[[#This Row],[Nombre Inversión]],B231:F239,5,FALSE),0)+Inversiones[[#This Row],[Monto]])</f>
        <v>25000.015180129998</v>
      </c>
      <c r="G230" s="6">
        <f>Inversiones[[#This Row],[Total Cuotapartes]]*Inversiones[[#This Row],[Valor Cuotaparte]]</f>
        <v>26268.648909239997</v>
      </c>
      <c r="H230" s="25">
        <f>_xlfn.IFNA(VLOOKUP(Inversiones[[#This Row],[Nombre Inversión]],B231:H238,7,FALSE),0)+Inversiones[[#This Row],[Cant. Cuotapartes]]</f>
        <v>7180.9699999999993</v>
      </c>
      <c r="I230" s="31">
        <v>3.6580919999999999</v>
      </c>
      <c r="J230" s="7">
        <f>IF(ABS(Inversiones[[#This Row],[Saldo Valorizado]]-Inversiones[[#This Row],[Monto Invertido]]-G231+F231)&gt;500,"-",Inversiones[[#This Row],[Saldo Valorizado]]-Inversiones[[#This Row],[Monto Invertido]]-G231+F231)</f>
        <v>26.267988259998674</v>
      </c>
      <c r="K230" s="23">
        <f>IFERROR((Inversiones[[#This Row],[Valor Cuotaparte]]-VLOOKUP(Inversiones[[#This Row],[Nombre Inversión]],B231:I243,8,FALSE))/VLOOKUP(Inversiones[[#This Row],[Nombre Inversión]],B232:I244,8,FALSE),"-")</f>
        <v>1.0040083482552313E-3</v>
      </c>
    </row>
    <row r="231" spans="1:13" hidden="1" x14ac:dyDescent="0.35">
      <c r="A231" s="1">
        <v>43350</v>
      </c>
      <c r="B231" t="s">
        <v>78</v>
      </c>
      <c r="C231" t="s">
        <v>82</v>
      </c>
      <c r="D231" s="6">
        <v>0</v>
      </c>
      <c r="E231" s="13">
        <v>0</v>
      </c>
      <c r="F231" s="46">
        <f>IF(Inversiones[[#This Row],[Total Cuotapartes]]=0,0,_xlfn.IFNA(VLOOKUP(Inversiones[[#This Row],[Nombre Inversión]],B232:F240,5,FALSE),0)+Inversiones[[#This Row],[Monto]])</f>
        <v>25000.015180129998</v>
      </c>
      <c r="G231" s="6">
        <f>Inversiones[[#This Row],[Total Cuotapartes]]*Inversiones[[#This Row],[Valor Cuotaparte]]</f>
        <v>26242.380920979998</v>
      </c>
      <c r="H231" s="25">
        <f>_xlfn.IFNA(VLOOKUP(Inversiones[[#This Row],[Nombre Inversión]],B232:H239,7,FALSE),0)+Inversiones[[#This Row],[Cant. Cuotapartes]]</f>
        <v>7180.9699999999993</v>
      </c>
      <c r="I231" s="14">
        <v>3.6544340000000002</v>
      </c>
      <c r="J231" s="7">
        <f>IF(ABS(Inversiones[[#This Row],[Saldo Valorizado]]-Inversiones[[#This Row],[Monto Invertido]]-G232+F232)&gt;500,"-",Inversiones[[#This Row],[Saldo Valorizado]]-Inversiones[[#This Row],[Monto Invertido]]-G232+F232)</f>
        <v>79.263546860001952</v>
      </c>
      <c r="K231" s="23">
        <f>IFERROR((Inversiones[[#This Row],[Valor Cuotaparte]]-VLOOKUP(Inversiones[[#This Row],[Nombre Inversión]],B232:I244,8,FALSE))/VLOOKUP(Inversiones[[#This Row],[Nombre Inversión]],B233:I245,8,FALSE),"-")</f>
        <v>3.0326325327454814E-3</v>
      </c>
      <c r="L231" s="28"/>
      <c r="M231" s="29">
        <f>SUM(K231:K235)</f>
        <v>6.9753207948252726E-3</v>
      </c>
    </row>
    <row r="232" spans="1:13" hidden="1" x14ac:dyDescent="0.35">
      <c r="A232" s="1">
        <v>43349</v>
      </c>
      <c r="B232" t="s">
        <v>78</v>
      </c>
      <c r="C232" t="s">
        <v>82</v>
      </c>
      <c r="D232" s="6">
        <v>0</v>
      </c>
      <c r="E232" s="13">
        <v>0</v>
      </c>
      <c r="F232" s="46">
        <f>IF(Inversiones[[#This Row],[Total Cuotapartes]]=0,0,_xlfn.IFNA(VLOOKUP(Inversiones[[#This Row],[Nombre Inversión]],B233:F241,5,FALSE),0)+Inversiones[[#This Row],[Monto]])</f>
        <v>25000.015180129998</v>
      </c>
      <c r="G232" s="6">
        <f>Inversiones[[#This Row],[Total Cuotapartes]]*Inversiones[[#This Row],[Valor Cuotaparte]]</f>
        <v>26163.117374119996</v>
      </c>
      <c r="H232" s="25">
        <f>_xlfn.IFNA(VLOOKUP(Inversiones[[#This Row],[Nombre Inversión]],B233:H240,7,FALSE),0)+Inversiones[[#This Row],[Cant. Cuotapartes]]</f>
        <v>7180.9699999999993</v>
      </c>
      <c r="I232" s="14">
        <v>3.6433960000000001</v>
      </c>
      <c r="J232" s="7">
        <f>IF(ABS(Inversiones[[#This Row],[Saldo Valorizado]]-Inversiones[[#This Row],[Monto Invertido]]-G233+F233)&gt;500,"-",Inversiones[[#This Row],[Saldo Valorizado]]-Inversiones[[#This Row],[Monto Invertido]]-G233+F233)</f>
        <v>26.239264379997621</v>
      </c>
      <c r="K232" s="23">
        <f>IFERROR((Inversiones[[#This Row],[Valor Cuotaparte]]-VLOOKUP(Inversiones[[#This Row],[Nombre Inversión]],B233:I245,8,FALSE))/VLOOKUP(Inversiones[[#This Row],[Nombre Inversión]],B234:I246,8,FALSE),"-")</f>
        <v>1.0049115257081743E-3</v>
      </c>
    </row>
    <row r="233" spans="1:13" hidden="1" x14ac:dyDescent="0.35">
      <c r="A233" s="1">
        <v>43348</v>
      </c>
      <c r="B233" t="s">
        <v>78</v>
      </c>
      <c r="C233" t="s">
        <v>82</v>
      </c>
      <c r="D233" s="6">
        <v>0</v>
      </c>
      <c r="E233" s="13">
        <v>0</v>
      </c>
      <c r="F233" s="46">
        <f>IF(Inversiones[[#This Row],[Total Cuotapartes]]=0,0,_xlfn.IFNA(VLOOKUP(Inversiones[[#This Row],[Nombre Inversión]],B234:F242,5,FALSE),0)+Inversiones[[#This Row],[Monto]])</f>
        <v>25000.015180129998</v>
      </c>
      <c r="G233" s="6">
        <f>Inversiones[[#This Row],[Total Cuotapartes]]*Inversiones[[#This Row],[Valor Cuotaparte]]</f>
        <v>26136.878109739999</v>
      </c>
      <c r="H233" s="25">
        <f>_xlfn.IFNA(VLOOKUP(Inversiones[[#This Row],[Nombre Inversión]],B234:H241,7,FALSE),0)+Inversiones[[#This Row],[Cant. Cuotapartes]]</f>
        <v>7180.9699999999993</v>
      </c>
      <c r="I233" s="14">
        <v>3.639742</v>
      </c>
      <c r="J233" s="7">
        <f>IF(ABS(Inversiones[[#This Row],[Saldo Valorizado]]-Inversiones[[#This Row],[Monto Invertido]]-G234+F234)&gt;500,"-",Inversiones[[#This Row],[Saldo Valorizado]]-Inversiones[[#This Row],[Monto Invertido]]-G234+F234)</f>
        <v>25.858672970003681</v>
      </c>
      <c r="K233" s="23">
        <f>IFERROR((Inversiones[[#This Row],[Valor Cuotaparte]]-VLOOKUP(Inversiones[[#This Row],[Nombre Inversión]],B234:I246,8,FALSE))/VLOOKUP(Inversiones[[#This Row],[Nombre Inversión]],B235:I247,8,FALSE),"-")</f>
        <v>9.913132767432806E-4</v>
      </c>
    </row>
    <row r="234" spans="1:13" hidden="1" x14ac:dyDescent="0.35">
      <c r="A234" s="1">
        <v>43347</v>
      </c>
      <c r="B234" t="s">
        <v>78</v>
      </c>
      <c r="C234" t="s">
        <v>82</v>
      </c>
      <c r="D234" s="6">
        <v>0</v>
      </c>
      <c r="E234" s="13">
        <v>0</v>
      </c>
      <c r="F234" s="46">
        <f>IF(Inversiones[[#This Row],[Total Cuotapartes]]=0,0,_xlfn.IFNA(VLOOKUP(Inversiones[[#This Row],[Nombre Inversión]],B235:F243,5,FALSE),0)+Inversiones[[#This Row],[Monto]])</f>
        <v>25000.015180129998</v>
      </c>
      <c r="G234" s="6">
        <f>Inversiones[[#This Row],[Total Cuotapartes]]*Inversiones[[#This Row],[Valor Cuotaparte]]</f>
        <v>26111.019436769995</v>
      </c>
      <c r="H234" s="25">
        <f>_xlfn.IFNA(VLOOKUP(Inversiones[[#This Row],[Nombre Inversión]],B235:H242,7,FALSE),0)+Inversiones[[#This Row],[Cant. Cuotapartes]]</f>
        <v>7180.9699999999993</v>
      </c>
      <c r="I234" s="14">
        <v>3.6361409999999998</v>
      </c>
      <c r="J234" s="7">
        <f>IF(ABS(Inversiones[[#This Row],[Saldo Valorizado]]-Inversiones[[#This Row],[Monto Invertido]]-G235+F235)&gt;500,"-",Inversiones[[#This Row],[Saldo Valorizado]]-Inversiones[[#This Row],[Monto Invertido]]-G235+F235)</f>
        <v>25.750958419997914</v>
      </c>
      <c r="K234" s="23">
        <f>IFERROR((Inversiones[[#This Row],[Valor Cuotaparte]]-VLOOKUP(Inversiones[[#This Row],[Nombre Inversión]],B235:I247,8,FALSE))/VLOOKUP(Inversiones[[#This Row],[Nombre Inversión]],B236:I248,8,FALSE),"-")</f>
        <v>9.8812731687057025E-4</v>
      </c>
    </row>
    <row r="235" spans="1:13" hidden="1" x14ac:dyDescent="0.35">
      <c r="A235" s="1">
        <v>43346</v>
      </c>
      <c r="B235" t="s">
        <v>78</v>
      </c>
      <c r="C235" t="s">
        <v>82</v>
      </c>
      <c r="D235" s="6">
        <v>0</v>
      </c>
      <c r="E235" s="13">
        <v>0</v>
      </c>
      <c r="F235" s="46">
        <f>IF(Inversiones[[#This Row],[Total Cuotapartes]]=0,0,_xlfn.IFNA(VLOOKUP(Inversiones[[#This Row],[Nombre Inversión]],B236:F244,5,FALSE),0)+Inversiones[[#This Row],[Monto]])</f>
        <v>25000.015180129998</v>
      </c>
      <c r="G235" s="6">
        <f>Inversiones[[#This Row],[Total Cuotapartes]]*Inversiones[[#This Row],[Valor Cuotaparte]]</f>
        <v>26085.268478349997</v>
      </c>
      <c r="H235" s="25">
        <f>_xlfn.IFNA(VLOOKUP(Inversiones[[#This Row],[Nombre Inversión]],B236:H243,7,FALSE),0)+Inversiones[[#This Row],[Cant. Cuotapartes]]</f>
        <v>7180.9699999999993</v>
      </c>
      <c r="I235" s="14">
        <v>3.632555</v>
      </c>
      <c r="J235" s="7">
        <f>IF(ABS(Inversiones[[#This Row],[Saldo Valorizado]]-Inversiones[[#This Row],[Monto Invertido]]-G236+F236)&gt;500,"-",Inversiones[[#This Row],[Saldo Valorizado]]-Inversiones[[#This Row],[Monto Invertido]]-G236+F236)</f>
        <v>24.9036039599996</v>
      </c>
      <c r="K235" s="23">
        <f>IFERROR((Inversiones[[#This Row],[Valor Cuotaparte]]-VLOOKUP(Inversiones[[#This Row],[Nombre Inversión]],B236:I248,8,FALSE))/VLOOKUP(Inversiones[[#This Row],[Nombre Inversión]],B237:I249,8,FALSE),"-")</f>
        <v>9.5833614275776552E-4</v>
      </c>
    </row>
    <row r="236" spans="1:13" hidden="1" x14ac:dyDescent="0.35">
      <c r="A236" s="1">
        <v>43343</v>
      </c>
      <c r="B236" t="s">
        <v>78</v>
      </c>
      <c r="C236" t="s">
        <v>82</v>
      </c>
      <c r="D236" s="6">
        <v>0</v>
      </c>
      <c r="E236" s="13">
        <v>0</v>
      </c>
      <c r="F236" s="46">
        <f>IF(Inversiones[[#This Row],[Total Cuotapartes]]=0,0,_xlfn.IFNA(VLOOKUP(Inversiones[[#This Row],[Nombre Inversión]],B237:F245,5,FALSE),0)+Inversiones[[#This Row],[Monto]])</f>
        <v>25000.015180129998</v>
      </c>
      <c r="G236" s="6">
        <f>Inversiones[[#This Row],[Total Cuotapartes]]*Inversiones[[#This Row],[Valor Cuotaparte]]</f>
        <v>26060.364874389998</v>
      </c>
      <c r="H236" s="25">
        <f>_xlfn.IFNA(VLOOKUP(Inversiones[[#This Row],[Nombre Inversión]],B237:H244,7,FALSE),0)+Inversiones[[#This Row],[Cant. Cuotapartes]]</f>
        <v>7180.9699999999993</v>
      </c>
      <c r="I236" s="14">
        <v>3.6290870000000002</v>
      </c>
      <c r="J236" s="7">
        <f>IF(ABS(Inversiones[[#This Row],[Saldo Valorizado]]-Inversiones[[#This Row],[Monto Invertido]]-G237+F237)&gt;500,"-",Inversiones[[#This Row],[Saldo Valorizado]]-Inversiones[[#This Row],[Monto Invertido]]-G237+F237)</f>
        <v>74.071705549999024</v>
      </c>
      <c r="K236" s="23">
        <f>IFERROR((Inversiones[[#This Row],[Valor Cuotaparte]]-VLOOKUP(Inversiones[[#This Row],[Nombre Inversión]],B237:I249,8,FALSE))/VLOOKUP(Inversiones[[#This Row],[Nombre Inversión]],B238:I250,8,FALSE),"-")</f>
        <v>2.8531305743575326E-3</v>
      </c>
      <c r="L236" s="28"/>
      <c r="M236" s="29">
        <f>SUM(K236:K240)</f>
        <v>5.9814735956009637E-3</v>
      </c>
    </row>
    <row r="237" spans="1:13" hidden="1" x14ac:dyDescent="0.35">
      <c r="A237" s="1">
        <v>43342</v>
      </c>
      <c r="B237" t="s">
        <v>78</v>
      </c>
      <c r="C237" t="s">
        <v>82</v>
      </c>
      <c r="D237" s="6">
        <v>0</v>
      </c>
      <c r="E237" s="13">
        <v>0</v>
      </c>
      <c r="F237" s="46">
        <f>IF(Inversiones[[#This Row],[Total Cuotapartes]]=0,0,_xlfn.IFNA(VLOOKUP(Inversiones[[#This Row],[Nombre Inversión]],B238:F246,5,FALSE),0)+Inversiones[[#This Row],[Monto]])</f>
        <v>25000.015180129998</v>
      </c>
      <c r="G237" s="6">
        <f>Inversiones[[#This Row],[Total Cuotapartes]]*Inversiones[[#This Row],[Valor Cuotaparte]]</f>
        <v>25986.293168839999</v>
      </c>
      <c r="H237" s="25">
        <f>_xlfn.IFNA(VLOOKUP(Inversiones[[#This Row],[Nombre Inversión]],B238:H245,7,FALSE),0)+Inversiones[[#This Row],[Cant. Cuotapartes]]</f>
        <v>7180.9699999999993</v>
      </c>
      <c r="I237" s="14">
        <v>3.6187719999999999</v>
      </c>
      <c r="J237" s="7">
        <f>IF(ABS(Inversiones[[#This Row],[Saldo Valorizado]]-Inversiones[[#This Row],[Monto Invertido]]-G238+F238)&gt;500,"-",Inversiones[[#This Row],[Saldo Valorizado]]-Inversiones[[#This Row],[Monto Invertido]]-G238+F238)</f>
        <v>24.738441649999004</v>
      </c>
      <c r="K237" s="23">
        <f>IFERROR((Inversiones[[#This Row],[Valor Cuotaparte]]-VLOOKUP(Inversiones[[#This Row],[Nombre Inversión]],B238:I250,8,FALSE))/VLOOKUP(Inversiones[[#This Row],[Nombre Inversión]],B239:I251,8,FALSE),"-")</f>
        <v>9.5360022144554124E-4</v>
      </c>
    </row>
    <row r="238" spans="1:13" hidden="1" x14ac:dyDescent="0.35">
      <c r="A238" s="1">
        <v>43341</v>
      </c>
      <c r="B238" t="s">
        <v>78</v>
      </c>
      <c r="C238" t="s">
        <v>82</v>
      </c>
      <c r="D238" s="6">
        <v>0</v>
      </c>
      <c r="E238" s="13">
        <v>0</v>
      </c>
      <c r="F238" s="46">
        <f>IF(Inversiones[[#This Row],[Total Cuotapartes]]=0,0,_xlfn.IFNA(VLOOKUP(Inversiones[[#This Row],[Nombre Inversión]],B239:F247,5,FALSE),0)+Inversiones[[#This Row],[Monto]])</f>
        <v>25000.015180129998</v>
      </c>
      <c r="G238" s="6">
        <f>Inversiones[[#This Row],[Total Cuotapartes]]*Inversiones[[#This Row],[Valor Cuotaparte]]</f>
        <v>25961.55472719</v>
      </c>
      <c r="H238" s="25">
        <f>_xlfn.IFNA(VLOOKUP(Inversiones[[#This Row],[Nombre Inversión]],B239:H246,7,FALSE),0)+Inversiones[[#This Row],[Cant. Cuotapartes]]</f>
        <v>7180.9699999999993</v>
      </c>
      <c r="I238" s="14">
        <v>3.6153270000000002</v>
      </c>
      <c r="J238" s="7">
        <f>IF(ABS(Inversiones[[#This Row],[Saldo Valorizado]]-Inversiones[[#This Row],[Monto Invertido]]-G239+F239)&gt;500,"-",Inversiones[[#This Row],[Saldo Valorizado]]-Inversiones[[#This Row],[Monto Invertido]]-G239+F239)</f>
        <v>19.402980940001726</v>
      </c>
      <c r="K238" s="23">
        <f>IFERROR((Inversiones[[#This Row],[Valor Cuotaparte]]-VLOOKUP(Inversiones[[#This Row],[Nombre Inversión]],B239:I251,8,FALSE))/VLOOKUP(Inversiones[[#This Row],[Nombre Inversión]],B240:I252,8,FALSE),"-")</f>
        <v>7.4847375895881934E-4</v>
      </c>
    </row>
    <row r="239" spans="1:13" hidden="1" x14ac:dyDescent="0.35">
      <c r="A239" s="1">
        <v>43340</v>
      </c>
      <c r="B239" t="s">
        <v>78</v>
      </c>
      <c r="C239" t="s">
        <v>82</v>
      </c>
      <c r="D239" s="6">
        <v>0</v>
      </c>
      <c r="E239" s="13">
        <v>0</v>
      </c>
      <c r="F239" s="46">
        <f>IF(Inversiones[[#This Row],[Total Cuotapartes]]=0,0,_xlfn.IFNA(VLOOKUP(Inversiones[[#This Row],[Nombre Inversión]],B240:F248,5,FALSE),0)+Inversiones[[#This Row],[Monto]])</f>
        <v>25000.015180129998</v>
      </c>
      <c r="G239" s="6">
        <f>Inversiones[[#This Row],[Total Cuotapartes]]*Inversiones[[#This Row],[Valor Cuotaparte]]</f>
        <v>25942.151746249998</v>
      </c>
      <c r="H239" s="25">
        <f>_xlfn.IFNA(VLOOKUP(Inversiones[[#This Row],[Nombre Inversión]],B240:H247,7,FALSE),0)+Inversiones[[#This Row],[Cant. Cuotapartes]]</f>
        <v>7180.9699999999993</v>
      </c>
      <c r="I239" s="14">
        <v>3.612625</v>
      </c>
      <c r="J239" s="7">
        <f>IF(ABS(Inversiones[[#This Row],[Saldo Valorizado]]-Inversiones[[#This Row],[Monto Invertido]]-G240+F240)&gt;500,"-",Inversiones[[#This Row],[Saldo Valorizado]]-Inversiones[[#This Row],[Monto Invertido]]-G240+F240)</f>
        <v>18.756693639999867</v>
      </c>
      <c r="K239" s="23">
        <f>IFERROR((Inversiones[[#This Row],[Valor Cuotaparte]]-VLOOKUP(Inversiones[[#This Row],[Nombre Inversión]],B240:I252,8,FALSE))/VLOOKUP(Inversiones[[#This Row],[Nombre Inversión]],B241:I253,8,FALSE),"-")</f>
        <v>7.2405013465061082E-4</v>
      </c>
    </row>
    <row r="240" spans="1:13" hidden="1" x14ac:dyDescent="0.35">
      <c r="A240" s="1">
        <v>43308</v>
      </c>
      <c r="B240" t="s">
        <v>78</v>
      </c>
      <c r="C240" t="s">
        <v>82</v>
      </c>
      <c r="D240" s="6">
        <v>0</v>
      </c>
      <c r="E240" s="13">
        <v>0</v>
      </c>
      <c r="F240" s="46">
        <f>IF(Inversiones[[#This Row],[Total Cuotapartes]]=0,0,_xlfn.IFNA(VLOOKUP(Inversiones[[#This Row],[Nombre Inversión]],B241:F249,5,FALSE),0)+Inversiones[[#This Row],[Monto]])</f>
        <v>25000.015180129998</v>
      </c>
      <c r="G240" s="6">
        <f>Inversiones[[#This Row],[Total Cuotapartes]]*Inversiones[[#This Row],[Valor Cuotaparte]]</f>
        <v>25923.395052609998</v>
      </c>
      <c r="H240" s="25">
        <f>_xlfn.IFNA(VLOOKUP(Inversiones[[#This Row],[Nombre Inversión]],B241:H248,7,FALSE),0)+Inversiones[[#This Row],[Cant. Cuotapartes]]</f>
        <v>7180.9699999999993</v>
      </c>
      <c r="I240" s="14">
        <v>3.6100129999999999</v>
      </c>
      <c r="J240" s="7">
        <f>IF(ABS(Inversiones[[#This Row],[Saldo Valorizado]]-Inversiones[[#This Row],[Monto Invertido]]-G241+F241)&gt;500,"-",Inversiones[[#This Row],[Saldo Valorizado]]-Inversiones[[#This Row],[Monto Invertido]]-G241+F241)</f>
        <v>18.153492159999587</v>
      </c>
      <c r="K240" s="23">
        <f>IFERROR((Inversiones[[#This Row],[Valor Cuotaparte]]-VLOOKUP(Inversiones[[#This Row],[Nombre Inversión]],B241:I253,8,FALSE))/VLOOKUP(Inversiones[[#This Row],[Nombre Inversión]],B242:I254,8,FALSE),"-")</f>
        <v>7.0221890618846075E-4</v>
      </c>
    </row>
    <row r="241" spans="1:13" hidden="1" x14ac:dyDescent="0.35">
      <c r="A241" s="1">
        <v>43336</v>
      </c>
      <c r="B241" t="s">
        <v>78</v>
      </c>
      <c r="C241" t="s">
        <v>82</v>
      </c>
      <c r="D241" s="6">
        <v>0</v>
      </c>
      <c r="E241" s="13">
        <v>0</v>
      </c>
      <c r="F241" s="46">
        <f>IF(Inversiones[[#This Row],[Total Cuotapartes]]=0,0,_xlfn.IFNA(VLOOKUP(Inversiones[[#This Row],[Nombre Inversión]],B242:F250,5,FALSE),0)+Inversiones[[#This Row],[Monto]])</f>
        <v>25000.015180129998</v>
      </c>
      <c r="G241" s="6">
        <f>Inversiones[[#This Row],[Total Cuotapartes]]*Inversiones[[#This Row],[Valor Cuotaparte]]</f>
        <v>25905.241560449998</v>
      </c>
      <c r="H241" s="25">
        <f>_xlfn.IFNA(VLOOKUP(Inversiones[[#This Row],[Nombre Inversión]],B242:H249,7,FALSE),0)+Inversiones[[#This Row],[Cant. Cuotapartes]]</f>
        <v>7180.9699999999993</v>
      </c>
      <c r="I241" s="14">
        <v>3.6074850000000001</v>
      </c>
      <c r="J241" s="7">
        <f>IF(ABS(Inversiones[[#This Row],[Saldo Valorizado]]-Inversiones[[#This Row],[Monto Invertido]]-G242+F242)&gt;500,"-",Inversiones[[#This Row],[Saldo Valorizado]]-Inversiones[[#This Row],[Monto Invertido]]-G242+F242)</f>
        <v>53.627483960000973</v>
      </c>
      <c r="K241" s="23">
        <f>IFERROR((Inversiones[[#This Row],[Valor Cuotaparte]]-VLOOKUP(Inversiones[[#This Row],[Nombre Inversión]],B242:I254,8,FALSE))/VLOOKUP(Inversiones[[#This Row],[Nombre Inversión]],B243:I255,8,FALSE),"-")</f>
        <v>2.075857757601148E-3</v>
      </c>
      <c r="L241" s="28"/>
      <c r="M241" s="29"/>
    </row>
    <row r="242" spans="1:13" hidden="1" x14ac:dyDescent="0.35">
      <c r="A242" s="1">
        <v>43335</v>
      </c>
      <c r="B242" t="s">
        <v>78</v>
      </c>
      <c r="C242" t="s">
        <v>82</v>
      </c>
      <c r="D242" s="6">
        <v>0</v>
      </c>
      <c r="E242" s="13">
        <v>0</v>
      </c>
      <c r="F242" s="46">
        <f>IF(Inversiones[[#This Row],[Total Cuotapartes]]=0,0,_xlfn.IFNA(VLOOKUP(Inversiones[[#This Row],[Nombre Inversión]],B243:F251,5,FALSE),0)+Inversiones[[#This Row],[Monto]])</f>
        <v>25000.015180129998</v>
      </c>
      <c r="G242" s="6">
        <f>Inversiones[[#This Row],[Total Cuotapartes]]*Inversiones[[#This Row],[Valor Cuotaparte]]</f>
        <v>25851.614076489997</v>
      </c>
      <c r="H242" s="25">
        <f>_xlfn.IFNA(VLOOKUP(Inversiones[[#This Row],[Nombre Inversión]],B243:H250,7,FALSE),0)+Inversiones[[#This Row],[Cant. Cuotapartes]]</f>
        <v>7180.9699999999993</v>
      </c>
      <c r="I242" s="14">
        <v>3.6000169999999998</v>
      </c>
      <c r="J242" s="7">
        <f>IF(ABS(Inversiones[[#This Row],[Saldo Valorizado]]-Inversiones[[#This Row],[Monto Invertido]]-G243+F243)&gt;500,"-",Inversiones[[#This Row],[Saldo Valorizado]]-Inversiones[[#This Row],[Monto Invertido]]-G243+F243)</f>
        <v>17.722633960001986</v>
      </c>
      <c r="K242" s="23">
        <f>IFERROR((Inversiones[[#This Row],[Valor Cuotaparte]]-VLOOKUP(Inversiones[[#This Row],[Nombre Inversión]],B243:I255,8,FALSE))/VLOOKUP(Inversiones[[#This Row],[Nombre Inversión]],B244:I256,8,FALSE),"-")</f>
        <v>6.8649700992720142E-4</v>
      </c>
    </row>
    <row r="243" spans="1:13" hidden="1" x14ac:dyDescent="0.35">
      <c r="A243" s="1">
        <v>43334</v>
      </c>
      <c r="B243" t="s">
        <v>78</v>
      </c>
      <c r="C243" t="s">
        <v>82</v>
      </c>
      <c r="D243" s="6">
        <v>0</v>
      </c>
      <c r="E243" s="13">
        <v>0</v>
      </c>
      <c r="F243" s="46">
        <f>IF(Inversiones[[#This Row],[Total Cuotapartes]]=0,0,_xlfn.IFNA(VLOOKUP(Inversiones[[#This Row],[Nombre Inversión]],B244:F252,5,FALSE),0)+Inversiones[[#This Row],[Monto]])</f>
        <v>25000.015180129998</v>
      </c>
      <c r="G243" s="6">
        <f>Inversiones[[#This Row],[Total Cuotapartes]]*Inversiones[[#This Row],[Valor Cuotaparte]]</f>
        <v>25833.891442529995</v>
      </c>
      <c r="H243" s="25">
        <f>_xlfn.IFNA(VLOOKUP(Inversiones[[#This Row],[Nombre Inversión]],B244:H251,7,FALSE),0)+Inversiones[[#This Row],[Cant. Cuotapartes]]</f>
        <v>7180.9699999999993</v>
      </c>
      <c r="I243" s="14">
        <v>3.5975489999999999</v>
      </c>
      <c r="J243" s="7">
        <f>IF(ABS(Inversiones[[#This Row],[Saldo Valorizado]]-Inversiones[[#This Row],[Monto Invertido]]-G244+F244)&gt;500,"-",Inversiones[[#This Row],[Saldo Valorizado]]-Inversiones[[#This Row],[Monto Invertido]]-G244+F244)</f>
        <v>17.851891419995809</v>
      </c>
      <c r="K243" s="23"/>
    </row>
    <row r="244" spans="1:13" hidden="1" x14ac:dyDescent="0.35">
      <c r="A244" s="1">
        <v>43333</v>
      </c>
      <c r="B244" t="s">
        <v>78</v>
      </c>
      <c r="C244" t="s">
        <v>82</v>
      </c>
      <c r="D244" s="6">
        <v>0</v>
      </c>
      <c r="E244" s="13">
        <v>0</v>
      </c>
      <c r="F244" s="46">
        <f>IF(Inversiones[[#This Row],[Total Cuotapartes]]=0,0,_xlfn.IFNA(VLOOKUP(Inversiones[[#This Row],[Nombre Inversión]],B245:F253,5,FALSE),0)+Inversiones[[#This Row],[Monto]])</f>
        <v>25000.015180129998</v>
      </c>
      <c r="G244" s="6">
        <f>Inversiones[[#This Row],[Total Cuotapartes]]*Inversiones[[#This Row],[Valor Cuotaparte]]</f>
        <v>25816.03955111</v>
      </c>
      <c r="H244" s="25">
        <f>_xlfn.IFNA(VLOOKUP(Inversiones[[#This Row],[Nombre Inversión]],B245:H252,7,FALSE),0)+Inversiones[[#This Row],[Cant. Cuotapartes]]</f>
        <v>7180.9699999999993</v>
      </c>
      <c r="I244" s="14">
        <v>3.5950630000000001</v>
      </c>
      <c r="J244" s="7">
        <f>IF(ABS(Inversiones[[#This Row],[Saldo Valorizado]]-Inversiones[[#This Row],[Monto Invertido]]-G245+F245)&gt;500,"-",Inversiones[[#This Row],[Saldo Valorizado]]-Inversiones[[#This Row],[Monto Invertido]]-G245+F245)</f>
        <v>17.679548140000406</v>
      </c>
      <c r="K244" s="23">
        <f>IFERROR((Inversiones[[#This Row],[Valor Cuotaparte]]-VLOOKUP(Inversiones[[#This Row],[Nombre Inversión]],B246:I258,8,FALSE))/VLOOKUP(Inversiones[[#This Row],[Nombre Inversión]],B246:I258,8,FALSE),"-")</f>
        <v>6.8529736533502164E-4</v>
      </c>
    </row>
    <row r="245" spans="1:13" hidden="1" x14ac:dyDescent="0.35">
      <c r="A245" s="1">
        <v>43333</v>
      </c>
      <c r="B245" t="s">
        <v>78</v>
      </c>
      <c r="C245" t="s">
        <v>79</v>
      </c>
      <c r="D245" s="6">
        <f>Inversiones[[#This Row],[Cant. Cuotapartes]]*Inversiones[[#This Row],[Valor Cuotaparte]]</f>
        <v>-2000.0009767000001</v>
      </c>
      <c r="E245" s="25">
        <v>-556.70000000000005</v>
      </c>
      <c r="F245" s="46">
        <f>IF(Inversiones[[#This Row],[Total Cuotapartes]]=0,0,_xlfn.IFNA(VLOOKUP(Inversiones[[#This Row],[Nombre Inversión]],B246:F254,5,FALSE),0)+Inversiones[[#This Row],[Monto]])</f>
        <v>25000.015180129998</v>
      </c>
      <c r="G245" s="6">
        <f>Inversiones[[#This Row],[Total Cuotapartes]]*Inversiones[[#This Row],[Valor Cuotaparte]]</f>
        <v>25798.360002969999</v>
      </c>
      <c r="H245" s="25">
        <f>_xlfn.IFNA(VLOOKUP(Inversiones[[#This Row],[Nombre Inversión]],B246:H253,7,FALSE),0)+Inversiones[[#This Row],[Cant. Cuotapartes]]</f>
        <v>7180.9699999999993</v>
      </c>
      <c r="I245" s="14">
        <v>3.5926010000000002</v>
      </c>
      <c r="J245" s="7" t="s">
        <v>99</v>
      </c>
      <c r="K245" s="23">
        <f>IFERROR((Inversiones[[#This Row],[Valor Cuotaparte]]-VLOOKUP(Inversiones[[#This Row],[Nombre Inversión]],B247:I259,8,FALSE))/VLOOKUP(Inversiones[[#This Row],[Nombre Inversión]],B247:I259,8,FALSE),"-")</f>
        <v>2.6602892659896016E-3</v>
      </c>
    </row>
    <row r="246" spans="1:13" hidden="1" x14ac:dyDescent="0.35">
      <c r="A246" s="1">
        <v>43329</v>
      </c>
      <c r="B246" t="s">
        <v>78</v>
      </c>
      <c r="C246" t="s">
        <v>82</v>
      </c>
      <c r="D246" s="6">
        <v>0</v>
      </c>
      <c r="E246" s="13">
        <v>0</v>
      </c>
      <c r="F246" s="46">
        <f>IF(Inversiones[[#This Row],[Total Cuotapartes]]=0,0,_xlfn.IFNA(VLOOKUP(Inversiones[[#This Row],[Nombre Inversión]],B247:F255,5,FALSE),0)+Inversiones[[#This Row],[Monto]])</f>
        <v>27000.016156829999</v>
      </c>
      <c r="G246" s="6">
        <f>Inversiones[[#This Row],[Total Cuotapartes]]*Inversiones[[#This Row],[Valor Cuotaparte]]</f>
        <v>27798.360979669997</v>
      </c>
      <c r="H246" s="25">
        <f>_xlfn.IFNA(VLOOKUP(Inversiones[[#This Row],[Nombre Inversión]],B247:H254,7,FALSE),0)+Inversiones[[#This Row],[Cant. Cuotapartes]]</f>
        <v>7737.6699999999992</v>
      </c>
      <c r="I246" s="14">
        <v>3.5926010000000002</v>
      </c>
      <c r="J246" s="7">
        <f>IF(ABS(Inversiones[[#This Row],[Saldo Valorizado]]-Inversiones[[#This Row],[Monto Invertido]]-G247+F247)&gt;500,"-",Inversiones[[#This Row],[Saldo Valorizado]]-Inversiones[[#This Row],[Monto Invertido]]-G247+F247)</f>
        <v>73.755470439999044</v>
      </c>
      <c r="K246" s="23">
        <f>IFERROR((Inversiones[[#This Row],[Valor Cuotaparte]]-VLOOKUP(Inversiones[[#This Row],[Nombre Inversión]],B248:I260,8,FALSE))/VLOOKUP(Inversiones[[#This Row],[Nombre Inversión]],B248:I260,8,FALSE),"-")</f>
        <v>3.3410247000674651E-3</v>
      </c>
      <c r="L246" s="28"/>
    </row>
    <row r="247" spans="1:13" hidden="1" x14ac:dyDescent="0.35">
      <c r="A247" s="1">
        <v>43328</v>
      </c>
      <c r="B247" t="s">
        <v>78</v>
      </c>
      <c r="C247" t="s">
        <v>82</v>
      </c>
      <c r="D247" s="6">
        <v>0</v>
      </c>
      <c r="E247" s="13">
        <v>0</v>
      </c>
      <c r="F247" s="46">
        <f>IF(Inversiones[[#This Row],[Total Cuotapartes]]=0,0,_xlfn.IFNA(VLOOKUP(Inversiones[[#This Row],[Nombre Inversión]],B248:F256,5,FALSE),0)+Inversiones[[#This Row],[Monto]])</f>
        <v>27000.016156829999</v>
      </c>
      <c r="G247" s="6">
        <f>Inversiones[[#This Row],[Total Cuotapartes]]*Inversiones[[#This Row],[Valor Cuotaparte]]</f>
        <v>27724.605509229998</v>
      </c>
      <c r="H247" s="25">
        <f>_xlfn.IFNA(VLOOKUP(Inversiones[[#This Row],[Nombre Inversión]],B248:H255,7,FALSE),0)+Inversiones[[#This Row],[Cant. Cuotapartes]]</f>
        <v>7737.6699999999992</v>
      </c>
      <c r="I247" s="14">
        <v>3.5830690000000001</v>
      </c>
      <c r="J247" s="7">
        <f>IF(ABS(Inversiones[[#This Row],[Saldo Valorizado]]-Inversiones[[#This Row],[Monto Invertido]]-G248+F248)&gt;500,"-",Inversiones[[#This Row],[Saldo Valorizado]]-Inversiones[[#This Row],[Monto Invertido]]-G248+F248)</f>
        <v>18.810275769999862</v>
      </c>
      <c r="K247" s="23">
        <f>IFERROR((Inversiones[[#This Row],[Valor Cuotaparte]]-VLOOKUP(Inversiones[[#This Row],[Nombre Inversión]],B249:I261,8,FALSE))/VLOOKUP(Inversiones[[#This Row],[Nombre Inversión]],B249:I261,8,FALSE),"-")</f>
        <v>1.4194140684998847E-3</v>
      </c>
    </row>
    <row r="248" spans="1:13" hidden="1" x14ac:dyDescent="0.35">
      <c r="A248" s="1">
        <v>43327</v>
      </c>
      <c r="B248" t="s">
        <v>78</v>
      </c>
      <c r="C248" t="s">
        <v>82</v>
      </c>
      <c r="D248" s="6">
        <v>0</v>
      </c>
      <c r="E248" s="13">
        <v>0</v>
      </c>
      <c r="F248" s="46">
        <f>IF(Inversiones[[#This Row],[Total Cuotapartes]]=0,0,_xlfn.IFNA(VLOOKUP(Inversiones[[#This Row],[Nombre Inversión]],B249:F257,5,FALSE),0)+Inversiones[[#This Row],[Monto]])</f>
        <v>27000.016156829999</v>
      </c>
      <c r="G248" s="6">
        <f>Inversiones[[#This Row],[Total Cuotapartes]]*Inversiones[[#This Row],[Valor Cuotaparte]]</f>
        <v>27705.795233459998</v>
      </c>
      <c r="H248" s="25">
        <f>_xlfn.IFNA(VLOOKUP(Inversiones[[#This Row],[Nombre Inversión]],B249:H256,7,FALSE),0)+Inversiones[[#This Row],[Cant. Cuotapartes]]</f>
        <v>7737.6699999999992</v>
      </c>
      <c r="I248" s="14">
        <v>3.580638</v>
      </c>
      <c r="J248" s="7">
        <f>IF(ABS(Inversiones[[#This Row],[Saldo Valorizado]]-Inversiones[[#This Row],[Monto Invertido]]-G250+F250)&gt;500,"-",Inversiones[[#This Row],[Saldo Valorizado]]-Inversiones[[#This Row],[Monto Invertido]]-G250+F250)</f>
        <v>20.486640737271955</v>
      </c>
      <c r="K248" s="23">
        <f>IFERROR((Inversiones[[#This Row],[Valor Cuotaparte]]-VLOOKUP(Inversiones[[#This Row],[Nombre Inversión]],B250:I262,8,FALSE))/VLOOKUP(Inversiones[[#This Row],[Nombre Inversión]],B250:I262,8,FALSE),"-")</f>
        <v>7.3998238699986469E-4</v>
      </c>
    </row>
    <row r="249" spans="1:13" hidden="1" x14ac:dyDescent="0.35">
      <c r="A249" s="1">
        <v>43327</v>
      </c>
      <c r="B249" t="s">
        <v>83</v>
      </c>
      <c r="C249" t="s">
        <v>79</v>
      </c>
      <c r="D249" s="6">
        <v>-20000</v>
      </c>
      <c r="E249" s="13">
        <v>0</v>
      </c>
      <c r="F249" s="46">
        <f>IF(Inversiones[[#This Row],[Total Cuotapartes]]=0,0,_xlfn.IFNA(VLOOKUP(Inversiones[[#This Row],[Nombre Inversión]],B250:F258,5,FALSE),0)+Inversiones[[#This Row],[Monto]])</f>
        <v>0</v>
      </c>
      <c r="G249" s="6"/>
      <c r="H249" s="25">
        <f>_xlfn.IFNA(VLOOKUP(Inversiones[[#This Row],[Nombre Inversión]],B250:H257,7,FALSE),0)+Inversiones[[#This Row],[Cant. Cuotapartes]]</f>
        <v>0</v>
      </c>
      <c r="I249" s="14" t="s">
        <v>80</v>
      </c>
      <c r="J249" s="7">
        <f>-Inversiones[[#This Row],[Monto]]-D268</f>
        <v>688.86000000000058</v>
      </c>
      <c r="K249" s="23" t="str">
        <f>IFERROR((Inversiones[[#This Row],[Valor Cuotaparte]]-VLOOKUP(Inversiones[[#This Row],[Nombre Inversión]],B251:I263,8,FALSE))/VLOOKUP(Inversiones[[#This Row],[Nombre Inversión]],B251:I263,8,FALSE),"-")</f>
        <v>-</v>
      </c>
      <c r="L249" s="22"/>
    </row>
    <row r="250" spans="1:13" hidden="1" x14ac:dyDescent="0.35">
      <c r="A250" s="1">
        <v>43327</v>
      </c>
      <c r="B250" t="s">
        <v>78</v>
      </c>
      <c r="C250" t="s">
        <v>76</v>
      </c>
      <c r="D250" s="6">
        <f>Inversiones[[#This Row],[Cant. Cuotapartes]]*Inversiones[[#This Row],[Valor Cuotaparte]]</f>
        <v>20000</v>
      </c>
      <c r="E250" s="13">
        <v>5589.73</v>
      </c>
      <c r="F250" s="46">
        <f>IF(Inversiones[[#This Row],[Total Cuotapartes]]=0,0,_xlfn.IFNA(VLOOKUP(Inversiones[[#This Row],[Nombre Inversión]],B251:F259,5,FALSE),0)+Inversiones[[#This Row],[Monto]])</f>
        <v>27000.016156829999</v>
      </c>
      <c r="G250" s="6">
        <f>Inversiones[[#This Row],[Total Cuotapartes]]*Inversiones[[#This Row],[Valor Cuotaparte]]</f>
        <v>27685.308592722726</v>
      </c>
      <c r="H250" s="25">
        <f>_xlfn.IFNA(VLOOKUP(Inversiones[[#This Row],[Nombre Inversión]],B251:H258,7,FALSE),0)+Inversiones[[#This Row],[Cant. Cuotapartes]]</f>
        <v>7737.6699999999992</v>
      </c>
      <c r="I250" s="22">
        <v>3.5779903501600261</v>
      </c>
      <c r="J250" s="7">
        <f>IF(ABS(Inversiones[[#This Row],[Saldo Valorizado]]-Inversiones[[#This Row],[Monto Invertido]]-G252+F252)&gt;500,"-",Inversiones[[#This Row],[Saldo Valorizado]]-Inversiones[[#This Row],[Monto Invertido]]-G252+F252)</f>
        <v>6.5970758627272517</v>
      </c>
      <c r="K250" s="23">
        <f>IFERROR((Inversiones[[#This Row],[Valor Cuotaparte]]-VLOOKUP(Inversiones[[#This Row],[Nombre Inversión]],B251:I263,8,FALSE))/VLOOKUP(Inversiones[[#This Row],[Nombre Inversión]],B251:I263,8,FALSE),"-")</f>
        <v>8.5913839167436564E-4</v>
      </c>
    </row>
    <row r="251" spans="1:13" hidden="1" x14ac:dyDescent="0.35">
      <c r="A251" s="1">
        <v>43325</v>
      </c>
      <c r="B251" t="s">
        <v>83</v>
      </c>
      <c r="C251" t="s">
        <v>82</v>
      </c>
      <c r="D251" s="6">
        <v>0</v>
      </c>
      <c r="E251" s="13">
        <v>0</v>
      </c>
      <c r="F251" s="46">
        <f>IF(Inversiones[[#This Row],[Total Cuotapartes]]=0,0,_xlfn.IFNA(VLOOKUP(Inversiones[[#This Row],[Nombre Inversión]],B252:F260,5,FALSE),0)+Inversiones[[#This Row],[Monto]])</f>
        <v>0</v>
      </c>
      <c r="G251" s="6" t="e">
        <f>Inversiones[[#This Row],[Total Cuotapartes]]*Inversiones[[#This Row],[Valor Cuotaparte]]</f>
        <v>#VALUE!</v>
      </c>
      <c r="H251" s="25">
        <f>_xlfn.IFNA(VLOOKUP(Inversiones[[#This Row],[Nombre Inversión]],B252:H259,7,FALSE),0)+Inversiones[[#This Row],[Cant. Cuotapartes]]</f>
        <v>0</v>
      </c>
      <c r="I251" s="14" t="s">
        <v>80</v>
      </c>
      <c r="J251" s="7" t="s">
        <v>80</v>
      </c>
      <c r="K251" s="23" t="str">
        <f>IFERROR((Inversiones[[#This Row],[Valor Cuotaparte]]-VLOOKUP(Inversiones[[#This Row],[Nombre Inversión]],B252:I264,8,FALSE))/VLOOKUP(Inversiones[[#This Row],[Nombre Inversión]],B252:I264,8,FALSE),"-")</f>
        <v>-</v>
      </c>
    </row>
    <row r="252" spans="1:13" hidden="1" x14ac:dyDescent="0.35">
      <c r="A252" s="1">
        <v>43325</v>
      </c>
      <c r="B252" t="s">
        <v>78</v>
      </c>
      <c r="C252" t="s">
        <v>82</v>
      </c>
      <c r="D252" s="6">
        <v>0</v>
      </c>
      <c r="E252" s="13">
        <v>0</v>
      </c>
      <c r="F252" s="46">
        <f>IF(Inversiones[[#This Row],[Total Cuotapartes]]=0,0,_xlfn.IFNA(VLOOKUP(Inversiones[[#This Row],[Nombre Inversión]],B253:F261,5,FALSE),0)+Inversiones[[#This Row],[Monto]])</f>
        <v>7000.0161568299991</v>
      </c>
      <c r="G252" s="6">
        <f>Inversiones[[#This Row],[Total Cuotapartes]]*Inversiones[[#This Row],[Valor Cuotaparte]]</f>
        <v>7678.7115168599985</v>
      </c>
      <c r="H252" s="25">
        <f>_xlfn.IFNA(VLOOKUP(Inversiones[[#This Row],[Nombre Inversión]],B253:H260,7,FALSE),0)+Inversiones[[#This Row],[Cant. Cuotapartes]]</f>
        <v>2147.9399999999996</v>
      </c>
      <c r="I252" s="14">
        <v>3.574919</v>
      </c>
      <c r="J252" s="7">
        <f>IF(ABS(Inversiones[[#This Row],[Saldo Valorizado]]-Inversiones[[#This Row],[Monto Invertido]]-G254+F254)&gt;500,"-",Inversiones[[#This Row],[Saldo Valorizado]]-Inversiones[[#This Row],[Monto Invertido]]-G254+F254)</f>
        <v>95.737981680000303</v>
      </c>
      <c r="K252" s="23">
        <f>IFERROR((Inversiones[[#This Row],[Valor Cuotaparte]]-VLOOKUP(Inversiones[[#This Row],[Nombre Inversión]],B253:I265,8,FALSE))/VLOOKUP(Inversiones[[#This Row],[Nombre Inversión]],B253:I265,8,FALSE),"-")</f>
        <v>1.2625387815985243E-2</v>
      </c>
    </row>
    <row r="253" spans="1:13" hidden="1" x14ac:dyDescent="0.35">
      <c r="A253" s="1">
        <v>43308</v>
      </c>
      <c r="B253" t="s">
        <v>83</v>
      </c>
      <c r="C253" t="s">
        <v>82</v>
      </c>
      <c r="D253" s="6">
        <v>0</v>
      </c>
      <c r="E253" s="13">
        <v>0</v>
      </c>
      <c r="F253" s="46">
        <f>IF(Inversiones[[#This Row],[Total Cuotapartes]]=0,0,_xlfn.IFNA(VLOOKUP(Inversiones[[#This Row],[Nombre Inversión]],B254:F262,5,FALSE),0)+Inversiones[[#This Row],[Monto]])</f>
        <v>0</v>
      </c>
      <c r="G253" s="6" t="e">
        <f>Inversiones[[#This Row],[Total Cuotapartes]]*Inversiones[[#This Row],[Valor Cuotaparte]]</f>
        <v>#VALUE!</v>
      </c>
      <c r="H253" s="25">
        <f>_xlfn.IFNA(VLOOKUP(Inversiones[[#This Row],[Nombre Inversión]],B254:H261,7,FALSE),0)+Inversiones[[#This Row],[Cant. Cuotapartes]]</f>
        <v>0</v>
      </c>
      <c r="I253" s="14" t="s">
        <v>80</v>
      </c>
      <c r="J253" s="7" t="s">
        <v>80</v>
      </c>
      <c r="K253" s="23" t="str">
        <f>IFERROR((Inversiones[[#This Row],[Valor Cuotaparte]]-VLOOKUP(Inversiones[[#This Row],[Nombre Inversión]],B254:I266,8,FALSE))/VLOOKUP(Inversiones[[#This Row],[Nombre Inversión]],B254:I266,8,FALSE),"-")</f>
        <v>-</v>
      </c>
    </row>
    <row r="254" spans="1:13" hidden="1" x14ac:dyDescent="0.35">
      <c r="A254" s="1">
        <v>43308</v>
      </c>
      <c r="B254" t="s">
        <v>78</v>
      </c>
      <c r="C254" t="s">
        <v>82</v>
      </c>
      <c r="D254" s="6">
        <v>0</v>
      </c>
      <c r="E254" s="13">
        <v>0</v>
      </c>
      <c r="F254" s="46">
        <f>IF(Inversiones[[#This Row],[Total Cuotapartes]]=0,0,_xlfn.IFNA(VLOOKUP(Inversiones[[#This Row],[Nombre Inversión]],B255:F263,5,FALSE),0)+Inversiones[[#This Row],[Monto]])</f>
        <v>7000.0161568299991</v>
      </c>
      <c r="G254" s="6">
        <f>Inversiones[[#This Row],[Total Cuotapartes]]*Inversiones[[#This Row],[Valor Cuotaparte]]</f>
        <v>7582.9735351799982</v>
      </c>
      <c r="H254" s="25">
        <f>_xlfn.IFNA(VLOOKUP(Inversiones[[#This Row],[Nombre Inversión]],B255:H262,7,FALSE),0)+Inversiones[[#This Row],[Cant. Cuotapartes]]</f>
        <v>2147.9399999999996</v>
      </c>
      <c r="I254" s="14">
        <v>3.5303469999999999</v>
      </c>
      <c r="J254" s="7">
        <f>IF(ABS(Inversiones[[#This Row],[Saldo Valorizado]]-Inversiones[[#This Row],[Monto Invertido]]-G256+F256)&gt;500,"-",Inversiones[[#This Row],[Saldo Valorizado]]-Inversiones[[#This Row],[Monto Invertido]]-G256+F256)</f>
        <v>16.788299040000311</v>
      </c>
      <c r="K254" s="23">
        <f>IFERROR((Inversiones[[#This Row],[Valor Cuotaparte]]-VLOOKUP(Inversiones[[#This Row],[Nombre Inversión]],B255:I267,8,FALSE))/VLOOKUP(Inversiones[[#This Row],[Nombre Inversión]],B255:I267,8,FALSE),"-")</f>
        <v>2.2188591101114639E-3</v>
      </c>
    </row>
    <row r="255" spans="1:13" hidden="1" x14ac:dyDescent="0.35">
      <c r="A255" s="1">
        <v>43307</v>
      </c>
      <c r="B255" t="s">
        <v>83</v>
      </c>
      <c r="C255" t="s">
        <v>82</v>
      </c>
      <c r="D255" s="6">
        <v>0</v>
      </c>
      <c r="E255" s="13">
        <v>0</v>
      </c>
      <c r="F255" s="46">
        <f>IF(Inversiones[[#This Row],[Total Cuotapartes]]=0,0,_xlfn.IFNA(VLOOKUP(Inversiones[[#This Row],[Nombre Inversión]],B256:F264,5,FALSE),0)+Inversiones[[#This Row],[Monto]])</f>
        <v>0</v>
      </c>
      <c r="G255" s="6" t="e">
        <f>Inversiones[[#This Row],[Total Cuotapartes]]*Inversiones[[#This Row],[Valor Cuotaparte]]</f>
        <v>#VALUE!</v>
      </c>
      <c r="H255" s="25">
        <f>_xlfn.IFNA(VLOOKUP(Inversiones[[#This Row],[Nombre Inversión]],B256:H263,7,FALSE),0)+Inversiones[[#This Row],[Cant. Cuotapartes]]</f>
        <v>0</v>
      </c>
      <c r="I255" s="14" t="s">
        <v>80</v>
      </c>
      <c r="J255" s="7" t="s">
        <v>80</v>
      </c>
      <c r="K255" s="23" t="str">
        <f>IFERROR((Inversiones[[#This Row],[Valor Cuotaparte]]-VLOOKUP(Inversiones[[#This Row],[Nombre Inversión]],B256:I268,8,FALSE))/VLOOKUP(Inversiones[[#This Row],[Nombre Inversión]],B256:I268,8,FALSE),"-")</f>
        <v>-</v>
      </c>
    </row>
    <row r="256" spans="1:13" hidden="1" x14ac:dyDescent="0.35">
      <c r="A256" s="1">
        <v>43307</v>
      </c>
      <c r="B256" t="s">
        <v>78</v>
      </c>
      <c r="C256" t="s">
        <v>82</v>
      </c>
      <c r="D256" s="6">
        <v>0</v>
      </c>
      <c r="E256" s="13">
        <v>0</v>
      </c>
      <c r="F256" s="46">
        <f>IF(Inversiones[[#This Row],[Total Cuotapartes]]=0,0,_xlfn.IFNA(VLOOKUP(Inversiones[[#This Row],[Nombre Inversión]],B257:F265,5,FALSE),0)+Inversiones[[#This Row],[Monto]])</f>
        <v>7000.0161568299991</v>
      </c>
      <c r="G256" s="6">
        <f>Inversiones[[#This Row],[Total Cuotapartes]]*Inversiones[[#This Row],[Valor Cuotaparte]]</f>
        <v>7566.1852361399979</v>
      </c>
      <c r="H256" s="25">
        <f>_xlfn.IFNA(VLOOKUP(Inversiones[[#This Row],[Nombre Inversión]],B257:H264,7,FALSE),0)+Inversiones[[#This Row],[Cant. Cuotapartes]]</f>
        <v>2147.9399999999996</v>
      </c>
      <c r="I256" s="14">
        <v>3.5225309999999999</v>
      </c>
      <c r="J256" s="7">
        <f>IF(ABS(Inversiones[[#This Row],[Saldo Valorizado]]-Inversiones[[#This Row],[Monto Invertido]]-G258+F258)&gt;500,"-",Inversiones[[#This Row],[Saldo Valorizado]]-Inversiones[[#This Row],[Monto Invertido]]-G258+F258)</f>
        <v>5.5975316399990334</v>
      </c>
      <c r="K256" s="23">
        <f>IFERROR((Inversiones[[#This Row],[Valor Cuotaparte]]-VLOOKUP(Inversiones[[#This Row],[Nombre Inversión]],B257:I269,8,FALSE))/VLOOKUP(Inversiones[[#This Row],[Nombre Inversión]],B257:I269,8,FALSE),"-")</f>
        <v>7.4035668373606371E-4</v>
      </c>
    </row>
    <row r="257" spans="1:11" hidden="1" x14ac:dyDescent="0.35">
      <c r="A257" s="1">
        <v>43306</v>
      </c>
      <c r="B257" t="s">
        <v>83</v>
      </c>
      <c r="C257" t="s">
        <v>82</v>
      </c>
      <c r="D257" s="6">
        <v>0</v>
      </c>
      <c r="E257" s="13">
        <v>0</v>
      </c>
      <c r="F257" s="46">
        <f>IF(Inversiones[[#This Row],[Total Cuotapartes]]=0,0,_xlfn.IFNA(VLOOKUP(Inversiones[[#This Row],[Nombre Inversión]],B258:F266,5,FALSE),0)+Inversiones[[#This Row],[Monto]])</f>
        <v>0</v>
      </c>
      <c r="G257" s="6" t="e">
        <f>Inversiones[[#This Row],[Total Cuotapartes]]*Inversiones[[#This Row],[Valor Cuotaparte]]</f>
        <v>#VALUE!</v>
      </c>
      <c r="H257" s="25">
        <f>_xlfn.IFNA(VLOOKUP(Inversiones[[#This Row],[Nombre Inversión]],B258:H265,7,FALSE),0)+Inversiones[[#This Row],[Cant. Cuotapartes]]</f>
        <v>0</v>
      </c>
      <c r="I257" s="14" t="s">
        <v>80</v>
      </c>
      <c r="J257" s="7" t="s">
        <v>80</v>
      </c>
      <c r="K257" s="23" t="str">
        <f>IFERROR((Inversiones[[#This Row],[Valor Cuotaparte]]-VLOOKUP(Inversiones[[#This Row],[Nombre Inversión]],B258:I270,8,FALSE))/VLOOKUP(Inversiones[[#This Row],[Nombre Inversión]],B258:I270,8,FALSE),"-")</f>
        <v>-</v>
      </c>
    </row>
    <row r="258" spans="1:11" hidden="1" x14ac:dyDescent="0.35">
      <c r="A258" s="1">
        <v>43306</v>
      </c>
      <c r="B258" t="s">
        <v>78</v>
      </c>
      <c r="C258" t="s">
        <v>82</v>
      </c>
      <c r="D258" s="6">
        <v>0</v>
      </c>
      <c r="E258" s="13">
        <v>0</v>
      </c>
      <c r="F258" s="46">
        <f>IF(Inversiones[[#This Row],[Total Cuotapartes]]=0,0,_xlfn.IFNA(VLOOKUP(Inversiones[[#This Row],[Nombre Inversión]],B259:F267,5,FALSE),0)+Inversiones[[#This Row],[Monto]])</f>
        <v>7000.0161568299991</v>
      </c>
      <c r="G258" s="6">
        <f>Inversiones[[#This Row],[Total Cuotapartes]]*Inversiones[[#This Row],[Valor Cuotaparte]]</f>
        <v>7560.5877044999988</v>
      </c>
      <c r="H258" s="25">
        <f>_xlfn.IFNA(VLOOKUP(Inversiones[[#This Row],[Nombre Inversión]],B259:H266,7,FALSE),0)+Inversiones[[#This Row],[Cant. Cuotapartes]]</f>
        <v>2147.9399999999996</v>
      </c>
      <c r="I258" s="14">
        <v>3.5199250000000002</v>
      </c>
      <c r="J258" s="7">
        <f>IF(ABS(Inversiones[[#This Row],[Saldo Valorizado]]-Inversiones[[#This Row],[Monto Invertido]]-G260+F260)&gt;500,"-",Inversiones[[#This Row],[Saldo Valorizado]]-Inversiones[[#This Row],[Monto Invertido]]-G260+F260)</f>
        <v>5.4879866999999649</v>
      </c>
      <c r="K258" s="23">
        <f>IFERROR((Inversiones[[#This Row],[Valor Cuotaparte]]-VLOOKUP(Inversiones[[#This Row],[Nombre Inversión]],B259:I271,8,FALSE))/VLOOKUP(Inversiones[[#This Row],[Nombre Inversión]],B259:I271,8,FALSE),"-")</f>
        <v>7.2639500535914186E-4</v>
      </c>
    </row>
    <row r="259" spans="1:11" hidden="1" x14ac:dyDescent="0.35">
      <c r="A259" s="1">
        <v>43305</v>
      </c>
      <c r="B259" t="s">
        <v>83</v>
      </c>
      <c r="C259" t="s">
        <v>82</v>
      </c>
      <c r="D259" s="6">
        <v>0</v>
      </c>
      <c r="E259" s="13">
        <v>0</v>
      </c>
      <c r="F259" s="46">
        <f>IF(Inversiones[[#This Row],[Total Cuotapartes]]=0,0,_xlfn.IFNA(VLOOKUP(Inversiones[[#This Row],[Nombre Inversión]],B260:F268,5,FALSE),0)+Inversiones[[#This Row],[Monto]])</f>
        <v>0</v>
      </c>
      <c r="G259" s="6" t="e">
        <f>Inversiones[[#This Row],[Total Cuotapartes]]*Inversiones[[#This Row],[Valor Cuotaparte]]</f>
        <v>#VALUE!</v>
      </c>
      <c r="H259" s="25">
        <f>_xlfn.IFNA(VLOOKUP(Inversiones[[#This Row],[Nombre Inversión]],B260:H267,7,FALSE),0)+Inversiones[[#This Row],[Cant. Cuotapartes]]</f>
        <v>0</v>
      </c>
      <c r="I259" s="14" t="s">
        <v>80</v>
      </c>
      <c r="J259" s="7" t="s">
        <v>80</v>
      </c>
      <c r="K259" s="23" t="str">
        <f>IFERROR((Inversiones[[#This Row],[Valor Cuotaparte]]-VLOOKUP(Inversiones[[#This Row],[Nombre Inversión]],B260:I272,8,FALSE))/VLOOKUP(Inversiones[[#This Row],[Nombre Inversión]],B260:I272,8,FALSE),"-")</f>
        <v>-</v>
      </c>
    </row>
    <row r="260" spans="1:11" hidden="1" x14ac:dyDescent="0.35">
      <c r="A260" s="1">
        <v>43305</v>
      </c>
      <c r="B260" t="s">
        <v>78</v>
      </c>
      <c r="C260" t="s">
        <v>82</v>
      </c>
      <c r="D260" s="6">
        <v>0</v>
      </c>
      <c r="E260" s="13">
        <v>0</v>
      </c>
      <c r="F260" s="46">
        <f>IF(Inversiones[[#This Row],[Total Cuotapartes]]=0,0,_xlfn.IFNA(VLOOKUP(Inversiones[[#This Row],[Nombre Inversión]],B261:F269,5,FALSE),0)+Inversiones[[#This Row],[Monto]])</f>
        <v>7000.0161568299991</v>
      </c>
      <c r="G260" s="6">
        <f>Inversiones[[#This Row],[Total Cuotapartes]]*Inversiones[[#This Row],[Valor Cuotaparte]]</f>
        <v>7555.0997177999989</v>
      </c>
      <c r="H260" s="25">
        <f>_xlfn.IFNA(VLOOKUP(Inversiones[[#This Row],[Nombre Inversión]],B261:H268,7,FALSE),0)+Inversiones[[#This Row],[Cant. Cuotapartes]]</f>
        <v>2147.9399999999996</v>
      </c>
      <c r="I260" s="14">
        <v>3.5173700000000001</v>
      </c>
      <c r="J260" s="7">
        <f>IF(ABS(Inversiones[[#This Row],[Saldo Valorizado]]-Inversiones[[#This Row],[Monto Invertido]]-G262+F262)&gt;500,"-",Inversiones[[#This Row],[Saldo Valorizado]]-Inversiones[[#This Row],[Monto Invertido]]-G262+F262)</f>
        <v>5.4407320200007234</v>
      </c>
      <c r="K260" s="23">
        <f>IFERROR((Inversiones[[#This Row],[Valor Cuotaparte]]-VLOOKUP(Inversiones[[#This Row],[Nombre Inversión]],B261:I273,8,FALSE))/VLOOKUP(Inversiones[[#This Row],[Nombre Inversión]],B261:I273,8,FALSE),"-")</f>
        <v>7.2065930795656196E-4</v>
      </c>
    </row>
    <row r="261" spans="1:11" hidden="1" x14ac:dyDescent="0.35">
      <c r="A261" s="1">
        <v>43304</v>
      </c>
      <c r="B261" t="s">
        <v>83</v>
      </c>
      <c r="C261" t="s">
        <v>82</v>
      </c>
      <c r="D261" s="6">
        <v>0</v>
      </c>
      <c r="E261" s="13">
        <v>0</v>
      </c>
      <c r="F261" s="46">
        <f>IF(Inversiones[[#This Row],[Total Cuotapartes]]=0,0,_xlfn.IFNA(VLOOKUP(Inversiones[[#This Row],[Nombre Inversión]],B262:F271,5,FALSE),0)+Inversiones[[#This Row],[Monto]])</f>
        <v>0</v>
      </c>
      <c r="G261" s="6" t="e">
        <f>Inversiones[[#This Row],[Total Cuotapartes]]*Inversiones[[#This Row],[Valor Cuotaparte]]</f>
        <v>#VALUE!</v>
      </c>
      <c r="H261" s="25">
        <f>_xlfn.IFNA(VLOOKUP(Inversiones[[#This Row],[Nombre Inversión]],B262:H269,7,FALSE),0)+Inversiones[[#This Row],[Cant. Cuotapartes]]</f>
        <v>0</v>
      </c>
      <c r="I261" s="14" t="s">
        <v>80</v>
      </c>
      <c r="J261" s="7" t="s">
        <v>80</v>
      </c>
      <c r="K261" s="23" t="str">
        <f>IFERROR((Inversiones[[#This Row],[Valor Cuotaparte]]-VLOOKUP(Inversiones[[#This Row],[Nombre Inversión]],B262:I274,8,FALSE))/VLOOKUP(Inversiones[[#This Row],[Nombre Inversión]],B262:I274,8,FALSE),"-")</f>
        <v>-</v>
      </c>
    </row>
    <row r="262" spans="1:11" hidden="1" x14ac:dyDescent="0.35">
      <c r="A262" s="1">
        <v>43304</v>
      </c>
      <c r="B262" t="s">
        <v>78</v>
      </c>
      <c r="C262" t="s">
        <v>82</v>
      </c>
      <c r="D262" s="6">
        <v>0</v>
      </c>
      <c r="E262" s="13">
        <v>0</v>
      </c>
      <c r="F262" s="46">
        <f>IF(Inversiones[[#This Row],[Total Cuotapartes]]=0,0,_xlfn.IFNA(VLOOKUP(Inversiones[[#This Row],[Nombre Inversión]],B263:F272,5,FALSE),0)+Inversiones[[#This Row],[Monto]])</f>
        <v>7000.0161568299991</v>
      </c>
      <c r="G262" s="6">
        <f>Inversiones[[#This Row],[Total Cuotapartes]]*Inversiones[[#This Row],[Valor Cuotaparte]]</f>
        <v>7549.6589857799981</v>
      </c>
      <c r="H262" s="25">
        <f>_xlfn.IFNA(VLOOKUP(Inversiones[[#This Row],[Nombre Inversión]],B263:H271,7,FALSE),0)+Inversiones[[#This Row],[Cant. Cuotapartes]]</f>
        <v>2147.9399999999996</v>
      </c>
      <c r="I262" s="14">
        <v>3.514837</v>
      </c>
      <c r="J262" s="7">
        <f>IF(ABS(Inversiones[[#This Row],[Saldo Valorizado]]-Inversiones[[#This Row],[Monto Invertido]]-G263+F263)&gt;500,"-",Inversiones[[#This Row],[Saldo Valorizado]]-Inversiones[[#This Row],[Monto Invertido]]-G263+F263)</f>
        <v>5.5717563600001085</v>
      </c>
      <c r="K262" s="23">
        <f>IFERROR((Inversiones[[#This Row],[Valor Cuotaparte]]-VLOOKUP(Inversiones[[#This Row],[Nombre Inversión]],B263:I275,8,FALSE))/VLOOKUP(Inversiones[[#This Row],[Nombre Inversión]],B263:I275,8,FALSE),"-")</f>
        <v>7.3855937644411488E-4</v>
      </c>
    </row>
    <row r="263" spans="1:11" hidden="1" x14ac:dyDescent="0.35">
      <c r="A263" s="1">
        <v>43301</v>
      </c>
      <c r="B263" t="s">
        <v>78</v>
      </c>
      <c r="C263" t="s">
        <v>82</v>
      </c>
      <c r="D263" s="6">
        <v>0</v>
      </c>
      <c r="E263" s="13">
        <v>0</v>
      </c>
      <c r="F263" s="46">
        <f>IF(Inversiones[[#This Row],[Total Cuotapartes]]=0,0,_xlfn.IFNA(VLOOKUP(Inversiones[[#This Row],[Nombre Inversión]],B264:F273,5,FALSE),0)+Inversiones[[#This Row],[Monto]])</f>
        <v>7000.0161568299991</v>
      </c>
      <c r="G263" s="6">
        <f>Inversiones[[#This Row],[Total Cuotapartes]]*Inversiones[[#This Row],[Valor Cuotaparte]]</f>
        <v>7544.087229419998</v>
      </c>
      <c r="H263" s="25">
        <f>_xlfn.IFNA(VLOOKUP(Inversiones[[#This Row],[Nombre Inversión]],B264:H272,7,FALSE),0)+Inversiones[[#This Row],[Cant. Cuotapartes]]</f>
        <v>2147.9399999999996</v>
      </c>
      <c r="I263" s="14">
        <v>3.5122429999999998</v>
      </c>
      <c r="J263" s="7">
        <f>IF(ABS(Inversiones[[#This Row],[Saldo Valorizado]]-Inversiones[[#This Row],[Monto Invertido]]-G265+F265)&gt;500,"-",Inversiones[[#This Row],[Saldo Valorizado]]-Inversiones[[#This Row],[Monto Invertido]]-G265+F265)</f>
        <v>16.461812159998772</v>
      </c>
      <c r="K263" s="23">
        <f>IFERROR((Inversiones[[#This Row],[Valor Cuotaparte]]-VLOOKUP(Inversiones[[#This Row],[Nombre Inversión]],B264:I276,8,FALSE))/VLOOKUP(Inversiones[[#This Row],[Nombre Inversión]],B264:I276,8,FALSE),"-")</f>
        <v>2.18685325683903E-3</v>
      </c>
    </row>
    <row r="264" spans="1:11" hidden="1" x14ac:dyDescent="0.35">
      <c r="A264" s="1">
        <v>43301</v>
      </c>
      <c r="B264" t="s">
        <v>83</v>
      </c>
      <c r="C264" t="s">
        <v>82</v>
      </c>
      <c r="D264" s="6">
        <v>0</v>
      </c>
      <c r="E264" s="13">
        <v>0</v>
      </c>
      <c r="F264" s="46">
        <f>IF(Inversiones[[#This Row],[Total Cuotapartes]]=0,0,_xlfn.IFNA(VLOOKUP(Inversiones[[#This Row],[Nombre Inversión]],B265:F274,5,FALSE),0)+Inversiones[[#This Row],[Monto]])</f>
        <v>0</v>
      </c>
      <c r="G264" s="6" t="e">
        <f>Inversiones[[#This Row],[Total Cuotapartes]]*Inversiones[[#This Row],[Valor Cuotaparte]]</f>
        <v>#VALUE!</v>
      </c>
      <c r="H264" s="25">
        <f>_xlfn.IFNA(VLOOKUP(Inversiones[[#This Row],[Nombre Inversión]],B265:H273,7,FALSE),0)+Inversiones[[#This Row],[Cant. Cuotapartes]]</f>
        <v>0</v>
      </c>
      <c r="I264" s="14" t="s">
        <v>80</v>
      </c>
      <c r="J264" s="7" t="s">
        <v>80</v>
      </c>
      <c r="K264" s="23" t="str">
        <f>IFERROR((Inversiones[[#This Row],[Valor Cuotaparte]]-VLOOKUP(Inversiones[[#This Row],[Nombre Inversión]],B265:I277,8,FALSE))/VLOOKUP(Inversiones[[#This Row],[Nombre Inversión]],B265:I277,8,FALSE),"-")</f>
        <v>-</v>
      </c>
    </row>
    <row r="265" spans="1:11" hidden="1" x14ac:dyDescent="0.35">
      <c r="A265" s="1">
        <v>43300</v>
      </c>
      <c r="B265" t="s">
        <v>78</v>
      </c>
      <c r="C265" t="s">
        <v>82</v>
      </c>
      <c r="D265" s="6">
        <v>0</v>
      </c>
      <c r="E265" s="13">
        <v>0</v>
      </c>
      <c r="F265" s="46">
        <f>IF(Inversiones[[#This Row],[Total Cuotapartes]]=0,0,_xlfn.IFNA(VLOOKUP(Inversiones[[#This Row],[Nombre Inversión]],B266:F275,5,FALSE),0)+Inversiones[[#This Row],[Monto]])</f>
        <v>7000.0161568299991</v>
      </c>
      <c r="G265" s="6">
        <f>Inversiones[[#This Row],[Total Cuotapartes]]*Inversiones[[#This Row],[Valor Cuotaparte]]</f>
        <v>7527.6254172599993</v>
      </c>
      <c r="H265" s="25">
        <f>_xlfn.IFNA(VLOOKUP(Inversiones[[#This Row],[Nombre Inversión]],B266:H274,7,FALSE),0)+Inversiones[[#This Row],[Cant. Cuotapartes]]</f>
        <v>2147.9399999999996</v>
      </c>
      <c r="I265" s="14">
        <v>3.5045790000000001</v>
      </c>
      <c r="J265" s="7">
        <f>IF(ABS(Inversiones[[#This Row],[Saldo Valorizado]]-Inversiones[[#This Row],[Monto Invertido]]-G267+F267)&gt;500,"-",Inversiones[[#This Row],[Saldo Valorizado]]-Inversiones[[#This Row],[Monto Invertido]]-G267+F267)</f>
        <v>12.464495820000593</v>
      </c>
      <c r="K265" s="23">
        <f>IFERROR((Inversiones[[#This Row],[Valor Cuotaparte]]-VLOOKUP(Inversiones[[#This Row],[Nombre Inversión]],B266:I278,8,FALSE))/VLOOKUP(Inversiones[[#This Row],[Nombre Inversión]],B266:I278,8,FALSE),"-")</f>
        <v>1.6585800291302516E-3</v>
      </c>
    </row>
    <row r="266" spans="1:11" hidden="1" x14ac:dyDescent="0.35">
      <c r="A266" s="1">
        <v>43300</v>
      </c>
      <c r="B266" t="s">
        <v>83</v>
      </c>
      <c r="C266" t="s">
        <v>82</v>
      </c>
      <c r="D266" s="6">
        <v>0</v>
      </c>
      <c r="E266" s="13">
        <v>0</v>
      </c>
      <c r="F266" s="46">
        <f>IF(Inversiones[[#This Row],[Total Cuotapartes]]=0,0,_xlfn.IFNA(VLOOKUP(Inversiones[[#This Row],[Nombre Inversión]],B267:F276,5,FALSE),0)+Inversiones[[#This Row],[Monto]])</f>
        <v>0</v>
      </c>
      <c r="G266" s="6" t="e">
        <f>Inversiones[[#This Row],[Total Cuotapartes]]*Inversiones[[#This Row],[Valor Cuotaparte]]</f>
        <v>#VALUE!</v>
      </c>
      <c r="H266" s="25">
        <f>_xlfn.IFNA(VLOOKUP(Inversiones[[#This Row],[Nombre Inversión]],B267:H275,7,FALSE),0)+Inversiones[[#This Row],[Cant. Cuotapartes]]</f>
        <v>0</v>
      </c>
      <c r="I266" s="14" t="s">
        <v>80</v>
      </c>
      <c r="J266" s="7" t="s">
        <v>80</v>
      </c>
      <c r="K266" s="23" t="str">
        <f>IFERROR((Inversiones[[#This Row],[Valor Cuotaparte]]-VLOOKUP(Inversiones[[#This Row],[Nombre Inversión]],B267:I279,8,FALSE))/VLOOKUP(Inversiones[[#This Row],[Nombre Inversión]],B267:I279,8,FALSE),"-")</f>
        <v>-</v>
      </c>
    </row>
    <row r="267" spans="1:11" hidden="1" x14ac:dyDescent="0.35">
      <c r="A267" s="1">
        <v>43299</v>
      </c>
      <c r="B267" t="s">
        <v>78</v>
      </c>
      <c r="C267" t="s">
        <v>82</v>
      </c>
      <c r="D267" s="17">
        <v>0</v>
      </c>
      <c r="E267" s="13">
        <v>0</v>
      </c>
      <c r="F267" s="46">
        <f>IF(Inversiones[[#This Row],[Total Cuotapartes]]=0,0,_xlfn.IFNA(VLOOKUP(Inversiones[[#This Row],[Nombre Inversión]],B268:F278,5,FALSE),0)+Inversiones[[#This Row],[Monto]])</f>
        <v>7000.0161568299991</v>
      </c>
      <c r="G267" s="6">
        <f>Inversiones[[#This Row],[Total Cuotapartes]]*Inversiones[[#This Row],[Valor Cuotaparte]]</f>
        <v>7515.1609214399987</v>
      </c>
      <c r="H267" s="25">
        <f>_xlfn.IFNA(VLOOKUP(Inversiones[[#This Row],[Nombre Inversión]],B268:H276,7,FALSE),0)+Inversiones[[#This Row],[Cant. Cuotapartes]]</f>
        <v>2147.9399999999996</v>
      </c>
      <c r="I267" s="14">
        <v>3.4987759999999999</v>
      </c>
      <c r="J267" s="7">
        <f>IF(ABS(Inversiones[[#This Row],[Saldo Valorizado]]-Inversiones[[#This Row],[Monto Invertido]]-G269+F269)&gt;500,"-",Inversiones[[#This Row],[Saldo Valorizado]]-Inversiones[[#This Row],[Monto Invertido]]-G269+F269)</f>
        <v>7.511346180000146</v>
      </c>
      <c r="K267" s="23">
        <f>IFERROR((Inversiones[[#This Row],[Valor Cuotaparte]]-VLOOKUP(Inversiones[[#This Row],[Nombre Inversión]],B268:I280,8,FALSE))/VLOOKUP(Inversiones[[#This Row],[Nombre Inversión]],B268:I280,8,FALSE),"-")</f>
        <v>1.0004923784338422E-3</v>
      </c>
    </row>
    <row r="268" spans="1:11" hidden="1" x14ac:dyDescent="0.35">
      <c r="A268" s="1">
        <v>43299</v>
      </c>
      <c r="B268" t="s">
        <v>83</v>
      </c>
      <c r="C268" t="s">
        <v>76</v>
      </c>
      <c r="D268" s="6">
        <v>19311.14</v>
      </c>
      <c r="E268" s="13">
        <v>0</v>
      </c>
      <c r="F268" s="46">
        <f>IF(Inversiones[[#This Row],[Total Cuotapartes]]=0,0,_xlfn.IFNA(VLOOKUP(Inversiones[[#This Row],[Nombre Inversión]],B269:F279,5,FALSE),0)+Inversiones[[#This Row],[Monto]])</f>
        <v>0</v>
      </c>
      <c r="G268" s="6"/>
      <c r="H268" s="25">
        <f>_xlfn.IFNA(VLOOKUP(Inversiones[[#This Row],[Nombre Inversión]],B269:H278,7,FALSE),0)+Inversiones[[#This Row],[Cant. Cuotapartes]]</f>
        <v>0</v>
      </c>
      <c r="I268" s="14" t="s">
        <v>80</v>
      </c>
      <c r="J268" s="7" t="s">
        <v>80</v>
      </c>
      <c r="K268" s="23" t="str">
        <f>IFERROR((Inversiones[[#This Row],[Valor Cuotaparte]]-VLOOKUP(Inversiones[[#This Row],[Nombre Inversión]],B269:I281,8,FALSE))/VLOOKUP(Inversiones[[#This Row],[Nombre Inversión]],B269:I281,8,FALSE),"-")</f>
        <v>-</v>
      </c>
    </row>
    <row r="269" spans="1:11" hidden="1" x14ac:dyDescent="0.35">
      <c r="A269" s="1">
        <v>43298</v>
      </c>
      <c r="B269" t="s">
        <v>78</v>
      </c>
      <c r="C269" t="s">
        <v>79</v>
      </c>
      <c r="D269" s="6">
        <f>Inversiones[[#This Row],[Cant. Cuotapartes]]*Inversiones[[#This Row],[Valor Cuotaparte]]</f>
        <v>-20000.02139079</v>
      </c>
      <c r="E269" s="13">
        <v>-5722.01</v>
      </c>
      <c r="F269" s="46">
        <f>IF(Inversiones[[#This Row],[Total Cuotapartes]]=0,0,_xlfn.IFNA(VLOOKUP(Inversiones[[#This Row],[Nombre Inversión]],B271:F280,5,FALSE),0)+Inversiones[[#This Row],[Monto]])</f>
        <v>7000.0161568299991</v>
      </c>
      <c r="G269" s="6">
        <f>Inversiones[[#This Row],[Total Cuotapartes]]*Inversiones[[#This Row],[Valor Cuotaparte]]</f>
        <v>7507.6495752599985</v>
      </c>
      <c r="H269" s="25">
        <f>_xlfn.IFNA(VLOOKUP(Inversiones[[#This Row],[Nombre Inversión]],B271:H279,7,FALSE),0)+Inversiones[[#This Row],[Cant. Cuotapartes]]</f>
        <v>2147.9399999999996</v>
      </c>
      <c r="I269" s="14">
        <v>3.495279</v>
      </c>
      <c r="J269" s="7" t="s">
        <v>80</v>
      </c>
      <c r="K269" s="23">
        <f>IFERROR((Inversiones[[#This Row],[Valor Cuotaparte]]-VLOOKUP(Inversiones[[#This Row],[Nombre Inversión]],B270:I282,8,FALSE))/VLOOKUP(Inversiones[[#This Row],[Nombre Inversión]],B270:I282,8,FALSE),"-")</f>
        <v>0</v>
      </c>
    </row>
    <row r="270" spans="1:11" hidden="1" x14ac:dyDescent="0.35">
      <c r="A270" s="1">
        <v>43298</v>
      </c>
      <c r="B270" t="s">
        <v>78</v>
      </c>
      <c r="C270" t="s">
        <v>82</v>
      </c>
      <c r="D270" s="6">
        <v>0</v>
      </c>
      <c r="E270" s="13">
        <v>0</v>
      </c>
      <c r="F270" s="46">
        <f>IF(Inversiones[[#This Row],[Total Cuotapartes]]=0,0,_xlfn.IFNA(VLOOKUP(Inversiones[[#This Row],[Nombre Inversión]],B271:F280,5,FALSE),0)+Inversiones[[#This Row],[Monto]])</f>
        <v>27000.037547619999</v>
      </c>
      <c r="G270" s="6">
        <f>Inversiones[[#This Row],[Total Cuotapartes]]*Inversiones[[#This Row],[Valor Cuotaparte]]</f>
        <v>27507.670966049998</v>
      </c>
      <c r="H270" s="25">
        <f>_xlfn.IFNA(VLOOKUP(Inversiones[[#This Row],[Nombre Inversión]],B271:H279,7,FALSE),0)+Inversiones[[#This Row],[Cant. Cuotapartes]]</f>
        <v>7869.95</v>
      </c>
      <c r="I270" s="14">
        <v>3.495279</v>
      </c>
      <c r="J270" s="7">
        <f>IF(ABS(Inversiones[[#This Row],[Saldo Valorizado]]-Inversiones[[#This Row],[Monto Invertido]]-G271+F271)&gt;500,"-",Inversiones[[#This Row],[Saldo Valorizado]]-Inversiones[[#This Row],[Monto Invertido]]-G271+F271)</f>
        <v>286.09629235000102</v>
      </c>
      <c r="K270" s="23">
        <f>IFERROR((Inversiones[[#This Row],[Valor Cuotaparte]]-VLOOKUP(Inversiones[[#This Row],[Nombre Inversión]],B271:I283,8,FALSE))/VLOOKUP(Inversiones[[#This Row],[Nombre Inversión]],B271:I283,8,FALSE),"-")</f>
        <v>1.0509909723422842E-2</v>
      </c>
    </row>
    <row r="271" spans="1:11" hidden="1" x14ac:dyDescent="0.35">
      <c r="A271" s="1">
        <v>43287</v>
      </c>
      <c r="B271" t="s">
        <v>78</v>
      </c>
      <c r="C271" t="s">
        <v>79</v>
      </c>
      <c r="D271" s="6">
        <f>Inversiones[[#This Row],[Cant. Cuotapartes]]*Inversiones[[#This Row],[Valor Cuotaparte]]</f>
        <v>-5000.0158900400002</v>
      </c>
      <c r="E271" s="13">
        <v>-1445.54</v>
      </c>
      <c r="F271" s="46">
        <f>IF(Inversiones[[#This Row],[Total Cuotapartes]]=0,0,_xlfn.IFNA(VLOOKUP(Inversiones[[#This Row],[Nombre Inversión]],B272:F281,5,FALSE),0)+Inversiones[[#This Row],[Monto]])</f>
        <v>27000.037547619999</v>
      </c>
      <c r="G271" s="6">
        <f>Inversiones[[#This Row],[Total Cuotapartes]]*Inversiones[[#This Row],[Valor Cuotaparte]]</f>
        <v>27221.574673699997</v>
      </c>
      <c r="H271" s="25">
        <f>_xlfn.IFNA(VLOOKUP(Inversiones[[#This Row],[Nombre Inversión]],B272:H280,7,FALSE),0)+Inversiones[[#This Row],[Cant. Cuotapartes]]</f>
        <v>7869.95</v>
      </c>
      <c r="I271" s="14">
        <v>3.4589259999999999</v>
      </c>
      <c r="J271" s="7">
        <f>IF(ABS(Inversiones[[#This Row],[Saldo Valorizado]]-Inversiones[[#This Row],[Monto Invertido]]-G272+F272)&gt;500,"-",Inversiones[[#This Row],[Saldo Valorizado]]-Inversiones[[#This Row],[Monto Invertido]]-G272+F272)</f>
        <v>115.12082541999916</v>
      </c>
      <c r="K271" s="23">
        <f>IFERROR((Inversiones[[#This Row],[Valor Cuotaparte]]-VLOOKUP(Inversiones[[#This Row],[Nombre Inversión]],B272:I284,8,FALSE))/VLOOKUP(Inversiones[[#This Row],[Nombre Inversión]],B272:I284,8,FALSE),"-")</f>
        <v>3.5855958739243994E-3</v>
      </c>
    </row>
    <row r="272" spans="1:11" hidden="1" x14ac:dyDescent="0.35">
      <c r="A272" s="1">
        <v>43283</v>
      </c>
      <c r="B272" t="s">
        <v>78</v>
      </c>
      <c r="C272" t="s">
        <v>76</v>
      </c>
      <c r="D272" s="6">
        <f>Inversiones[[#This Row],[Cant. Cuotapartes]]*Inversiones[[#This Row],[Valor Cuotaparte]]</f>
        <v>20000.020515840002</v>
      </c>
      <c r="E272" s="13">
        <v>5802.88</v>
      </c>
      <c r="F272" s="46">
        <f>IF(Inversiones[[#This Row],[Total Cuotapartes]]=0,0,_xlfn.IFNA(VLOOKUP(Inversiones[[#This Row],[Nombre Inversión]],B273:F282,5,FALSE),0)+Inversiones[[#This Row],[Monto]])</f>
        <v>32000.053437660001</v>
      </c>
      <c r="G272" s="6">
        <f>Inversiones[[#This Row],[Total Cuotapartes]]*Inversiones[[#This Row],[Valor Cuotaparte]]</f>
        <v>32106.46973832</v>
      </c>
      <c r="H272" s="25">
        <f>_xlfn.IFNA(VLOOKUP(Inversiones[[#This Row],[Nombre Inversión]],B273:H281,7,FALSE),0)+Inversiones[[#This Row],[Cant. Cuotapartes]]</f>
        <v>9315.49</v>
      </c>
      <c r="I272" s="14">
        <v>3.4465680000000001</v>
      </c>
      <c r="J272" s="7">
        <f>IF(ABS(Inversiones[[#This Row],[Saldo Valorizado]]-Inversiones[[#This Row],[Monto Invertido]]-G273+F273)&gt;500,"-",Inversiones[[#This Row],[Saldo Valorizado]]-Inversiones[[#This Row],[Monto Invertido]]-G273+F273)</f>
        <v>27.918224279999777</v>
      </c>
      <c r="K272" s="23">
        <f>IFERROR((Inversiones[[#This Row],[Valor Cuotaparte]]-VLOOKUP(Inversiones[[#This Row],[Nombre Inversión]],B273:I285,8,FALSE))/VLOOKUP(Inversiones[[#This Row],[Nombre Inversión]],B273:I285,8,FALSE),"-")</f>
        <v>2.3113923608890454E-3</v>
      </c>
    </row>
    <row r="273" spans="1:15" hidden="1" x14ac:dyDescent="0.35">
      <c r="A273" s="1">
        <v>43280</v>
      </c>
      <c r="B273" t="s">
        <v>78</v>
      </c>
      <c r="C273" t="s">
        <v>82</v>
      </c>
      <c r="D273" s="6">
        <v>0</v>
      </c>
      <c r="E273" s="13">
        <v>0</v>
      </c>
      <c r="F273" s="46">
        <f>IF(Inversiones[[#This Row],[Total Cuotapartes]]=0,0,_xlfn.IFNA(VLOOKUP(Inversiones[[#This Row],[Nombre Inversión]],B274:F283,5,FALSE),0)+Inversiones[[#This Row],[Monto]])</f>
        <v>12000.032921819999</v>
      </c>
      <c r="G273" s="6">
        <f>Inversiones[[#This Row],[Total Cuotapartes]]*Inversiones[[#This Row],[Valor Cuotaparte]]</f>
        <v>12078.530998199998</v>
      </c>
      <c r="H273" s="25">
        <f>_xlfn.IFNA(VLOOKUP(Inversiones[[#This Row],[Nombre Inversión]],B274:H282,7,FALSE),0)+Inversiones[[#This Row],[Cant. Cuotapartes]]</f>
        <v>3512.6099999999997</v>
      </c>
      <c r="I273" s="14">
        <v>3.4386199999999998</v>
      </c>
      <c r="J273" s="7">
        <f>IF(ABS(Inversiones[[#This Row],[Saldo Valorizado]]-Inversiones[[#This Row],[Monto Invertido]]-G274+F274)&gt;500,"-",Inversiones[[#This Row],[Saldo Valorizado]]-Inversiones[[#This Row],[Monto Invertido]]-G274+F274)</f>
        <v>65.703370049999648</v>
      </c>
    </row>
    <row r="274" spans="1:15" hidden="1" x14ac:dyDescent="0.35">
      <c r="A274" s="1">
        <v>43273</v>
      </c>
      <c r="B274" t="s">
        <v>78</v>
      </c>
      <c r="C274" t="s">
        <v>76</v>
      </c>
      <c r="D274" s="6">
        <f>Inversiones[[#This Row],[Cant. Cuotapartes]]*Inversiones[[#This Row],[Valor Cuotaparte]]</f>
        <v>7000.0188185999996</v>
      </c>
      <c r="E274" s="13">
        <v>2046.84</v>
      </c>
      <c r="F274" s="46">
        <f>IF(Inversiones[[#This Row],[Total Cuotapartes]]=0,0,_xlfn.IFNA(VLOOKUP(Inversiones[[#This Row],[Nombre Inversión]],B275:F284,5,FALSE),0)+Inversiones[[#This Row],[Monto]])</f>
        <v>12000.032921819999</v>
      </c>
      <c r="G274" s="6">
        <f>Inversiones[[#This Row],[Total Cuotapartes]]*Inversiones[[#This Row],[Valor Cuotaparte]]</f>
        <v>12012.827628149998</v>
      </c>
      <c r="H274" s="25">
        <f>_xlfn.IFNA(VLOOKUP(Inversiones[[#This Row],[Nombre Inversión]],B275:H283,7,FALSE),0)+Inversiones[[#This Row],[Cant. Cuotapartes]]</f>
        <v>3512.6099999999997</v>
      </c>
      <c r="I274" s="14">
        <v>3.419915</v>
      </c>
      <c r="J274" s="7">
        <f>IF(ABS(Inversiones[[#This Row],[Saldo Valorizado]]-Inversiones[[#This Row],[Monto Invertido]]-G275+F275)&gt;500,"-",Inversiones[[#This Row],[Saldo Valorizado]]-Inversiones[[#This Row],[Monto Invertido]]-G275+F275)</f>
        <v>12.794706329999826</v>
      </c>
    </row>
    <row r="275" spans="1:15" hidden="1" x14ac:dyDescent="0.35">
      <c r="A275" s="1">
        <v>43270</v>
      </c>
      <c r="B275" t="s">
        <v>78</v>
      </c>
      <c r="C275" t="s">
        <v>76</v>
      </c>
      <c r="D275" s="6">
        <f>Inversiones[[#This Row],[Cant. Cuotapartes]]*Inversiones[[#This Row],[Valor Cuotaparte]]</f>
        <v>5000.0141032199999</v>
      </c>
      <c r="E275" s="13">
        <v>1465.77</v>
      </c>
      <c r="F275" s="46">
        <f>IF(Inversiones[[#This Row],[Total Cuotapartes]]=0,0,_xlfn.IFNA(VLOOKUP(Inversiones[[#This Row],[Nombre Inversión]],B276:F285,5,FALSE),0)+Inversiones[[#This Row],[Monto]])</f>
        <v>5000.0141032199999</v>
      </c>
      <c r="G275" s="6">
        <f>Inversiones[[#This Row],[Total Cuotapartes]]*Inversiones[[#This Row],[Valor Cuotaparte]]</f>
        <v>5000.0141032199999</v>
      </c>
      <c r="H275" s="25">
        <f>_xlfn.IFNA(VLOOKUP(Inversiones[[#This Row],[Nombre Inversión]],B276:H284,7,FALSE),0)+Inversiones[[#This Row],[Cant. Cuotapartes]]</f>
        <v>1465.77</v>
      </c>
      <c r="I275" s="14">
        <v>3.4111859999999998</v>
      </c>
      <c r="J275" s="7">
        <f>IF(ABS(Inversiones[[#This Row],[Saldo Valorizado]]-Inversiones[[#This Row],[Monto Invertido]]-G276+F276)&gt;500,"-",Inversiones[[#This Row],[Saldo Valorizado]]-Inversiones[[#This Row],[Monto Invertido]]-G276+F276)</f>
        <v>0</v>
      </c>
    </row>
    <row r="276" spans="1:15" hidden="1" x14ac:dyDescent="0.35">
      <c r="A276" s="1">
        <v>43270</v>
      </c>
      <c r="B276" t="s">
        <v>74</v>
      </c>
      <c r="C276" t="s">
        <v>79</v>
      </c>
      <c r="D276" s="6">
        <f>Inversiones[[#This Row],[Cant. Cuotapartes]]*Inversiones[[#This Row],[Valor Cuotaparte]]</f>
        <v>-5048.0336696599998</v>
      </c>
      <c r="E276" s="13">
        <v>-1199.02</v>
      </c>
      <c r="F276" s="46">
        <f>IF(Inversiones[[#This Row],[Total Cuotapartes]]=0,0,_xlfn.IFNA(VLOOKUP(Inversiones[[#This Row],[Nombre Inversión]],B278:F286,5,FALSE),0)+Inversiones[[#This Row],[Monto]])</f>
        <v>0</v>
      </c>
      <c r="G276" s="6">
        <f>Inversiones[[#This Row],[Total Cuotapartes]]*Inversiones[[#This Row],[Valor Cuotaparte]]</f>
        <v>0</v>
      </c>
      <c r="H276" s="25">
        <f>_xlfn.IFNA(VLOOKUP(Inversiones[[#This Row],[Nombre Inversión]],B278:H285,7,FALSE),0)+Inversiones[[#This Row],[Cant. Cuotapartes]]</f>
        <v>0</v>
      </c>
      <c r="I276" s="14">
        <v>4.2101329999999999</v>
      </c>
      <c r="J276" s="7" t="s">
        <v>80</v>
      </c>
    </row>
    <row r="277" spans="1:15" hidden="1" x14ac:dyDescent="0.35">
      <c r="A277" s="1">
        <v>43270</v>
      </c>
      <c r="B277" t="s">
        <v>74</v>
      </c>
      <c r="C277" t="s">
        <v>82</v>
      </c>
      <c r="D277" s="6">
        <v>0</v>
      </c>
      <c r="E277" s="13">
        <v>0</v>
      </c>
      <c r="F277" s="46">
        <f>IF(Inversiones[[#This Row],[Total Cuotapartes]]=0,0,_xlfn.IFNA(VLOOKUP(Inversiones[[#This Row],[Nombre Inversión]],B278:F287,5,FALSE),0)+Inversiones[[#This Row],[Monto]])</f>
        <v>5000</v>
      </c>
      <c r="G277" s="6">
        <f>Inversiones[[#This Row],[Total Cuotapartes]]*Inversiones[[#This Row],[Valor Cuotaparte]]</f>
        <v>5048.0336696599998</v>
      </c>
      <c r="H277" s="25">
        <f>_xlfn.IFNA(VLOOKUP(Inversiones[[#This Row],[Nombre Inversión]],B278:H286,7,FALSE),0)+Inversiones[[#This Row],[Cant. Cuotapartes]]</f>
        <v>1199.02</v>
      </c>
      <c r="I277" s="14">
        <v>4.2101329999999999</v>
      </c>
      <c r="J277" s="7">
        <f>IF(ABS(Inversiones[[#This Row],[Saldo Valorizado]]-Inversiones[[#This Row],[Monto Invertido]]-G278+F278)&gt;500,"-",Inversiones[[#This Row],[Saldo Valorizado]]-Inversiones[[#This Row],[Monto Invertido]]-G278+F278)</f>
        <v>48.024348060000193</v>
      </c>
    </row>
    <row r="278" spans="1:15" hidden="1" x14ac:dyDescent="0.35">
      <c r="A278" s="1">
        <v>43252</v>
      </c>
      <c r="B278" t="s">
        <v>74</v>
      </c>
      <c r="C278" t="s">
        <v>76</v>
      </c>
      <c r="D278" s="6">
        <v>5000</v>
      </c>
      <c r="E278" s="13">
        <v>1199.02</v>
      </c>
      <c r="F278" s="46">
        <f>IF(Inversiones[[#This Row],[Total Cuotapartes]]=0,0,_xlfn.IFNA(VLOOKUP(Inversiones[[#This Row],[Nombre Inversión]],B279:F287,5,FALSE),0)+Inversiones[[#This Row],[Monto]])</f>
        <v>5000</v>
      </c>
      <c r="G278" s="6">
        <f>Inversiones[[#This Row],[Total Cuotapartes]]*Inversiones[[#This Row],[Valor Cuotaparte]]</f>
        <v>5000.0093215999996</v>
      </c>
      <c r="H278" s="25">
        <f>_xlfn.IFNA(VLOOKUP(Inversiones[[#This Row],[Nombre Inversión]],B279:H286,7,FALSE),0)+Inversiones[[#This Row],[Cant. Cuotapartes]]</f>
        <v>1199.02</v>
      </c>
      <c r="I278" s="14">
        <v>4.1700799999999996</v>
      </c>
      <c r="J278" s="7" t="s">
        <v>80</v>
      </c>
    </row>
    <row r="279" spans="1:15" x14ac:dyDescent="0.35">
      <c r="A279" t="s">
        <v>5</v>
      </c>
      <c r="D279" s="16"/>
      <c r="E279" s="16"/>
      <c r="F279" s="21"/>
      <c r="G279" s="21"/>
      <c r="H279" s="13"/>
      <c r="I279" s="13"/>
      <c r="J279" s="7">
        <f>SUBTOTAL(109,Inversiones[Dif])</f>
        <v>608.47010475000206</v>
      </c>
      <c r="K279" s="95">
        <f>SUBTOTAL(109,Inversiones[Crecimiento])</f>
        <v>2.9892009009306688E-2</v>
      </c>
    </row>
    <row r="282" spans="1:15" x14ac:dyDescent="0.35">
      <c r="O282" s="23">
        <f>(I205-I220)/I220</f>
        <v>1.5267837033780799E-2</v>
      </c>
    </row>
    <row r="300" spans="9:9" x14ac:dyDescent="0.35">
      <c r="I300" s="15"/>
    </row>
  </sheetData>
  <pageMargins left="0.7" right="0.7" top="0.75" bottom="0.75" header="0.3" footer="0.3"/>
  <pageSetup orientation="portrait" r:id="rId1"/>
  <ignoredErrors>
    <ignoredError sqref="H78:I79 H271:J275 H278:J278 H81:J82 H80:I80 H84:J84 H83:I83 H85:I85 H58:H77 H276:I276 J276:J277 H86:J268 H269:I269 J269:J270 J77:J79 H53:H57 J45:K47 J53 J48:J52 H45:H52 J41:J44 H41:H44 H39:J39 H40:J40 H37:J38 H35:J35 H36:J36 H34:J34 H33:J33 H31:J32 H29:J30 H26:J28 H24:K24 H25:J25 H21:J23 H19:J19 H20:J20 H15:J15 H16:J18 H13:J14 H11:J12 H9:K9 H10:J10 K6:K7 K8 H8:I8 H6:J7 H3:J5 J8" calculatedColumn="1"/>
    <ignoredError sqref="F276 K80 K78:K79 K77 K55:K76 K37:K38 K41 K32 K30:K31 K33 K26 K21 K11:K14" formula="1"/>
    <ignoredError sqref="J80 J55:J76 J54:K54 K48:K53 K39:K40 K35:K36 K34 K25 K15:K20 K10" formula="1" calculatedColumn="1"/>
  </ignoredError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9"/>
  <sheetViews>
    <sheetView zoomScale="104" workbookViewId="0">
      <selection activeCell="J39" sqref="J39"/>
    </sheetView>
  </sheetViews>
  <sheetFormatPr defaultRowHeight="14.5" x14ac:dyDescent="0.35"/>
  <cols>
    <col min="1" max="1" width="9.81640625" customWidth="1"/>
    <col min="2" max="2" width="18.81640625" customWidth="1"/>
    <col min="3" max="3" width="12.81640625" customWidth="1"/>
    <col min="4" max="4" width="12.08984375" customWidth="1"/>
    <col min="5" max="5" width="14.54296875" customWidth="1"/>
    <col min="6" max="6" width="17.08984375" bestFit="1" customWidth="1"/>
    <col min="7" max="7" width="9.1796875" customWidth="1"/>
    <col min="8" max="8" width="13.1796875" bestFit="1" customWidth="1"/>
    <col min="10" max="10" width="10.08984375" bestFit="1" customWidth="1"/>
    <col min="11" max="11" width="11.54296875" customWidth="1"/>
  </cols>
  <sheetData>
    <row r="2" spans="1:8" x14ac:dyDescent="0.35">
      <c r="A2" s="54" t="s">
        <v>1</v>
      </c>
      <c r="B2" s="54" t="s">
        <v>72</v>
      </c>
      <c r="C2" s="54" t="s">
        <v>75</v>
      </c>
      <c r="D2" s="54" t="s">
        <v>7</v>
      </c>
      <c r="E2" s="54" t="s">
        <v>70</v>
      </c>
      <c r="F2" s="54" t="s">
        <v>71</v>
      </c>
      <c r="G2" s="54" t="s">
        <v>98</v>
      </c>
      <c r="H2" s="54" t="s">
        <v>97</v>
      </c>
    </row>
    <row r="3" spans="1:8" x14ac:dyDescent="0.35">
      <c r="A3" s="76">
        <v>43472</v>
      </c>
      <c r="B3" s="52" t="s">
        <v>205</v>
      </c>
      <c r="C3" s="48" t="s">
        <v>82</v>
      </c>
      <c r="D3" s="49">
        <v>0</v>
      </c>
      <c r="E3" s="53">
        <f>_xlfn.IFNA(VLOOKUP(Table7[[#This Row],[Nombre Inversión]],B4:E13,4,FALSE),0)+Table7[[#This Row],[Monto]]</f>
        <v>10000</v>
      </c>
      <c r="F3" s="53">
        <f>F4+Table7[[#This Row],[Monto]]+G3</f>
        <v>10485.310000000001</v>
      </c>
      <c r="G3" s="78">
        <v>31.88</v>
      </c>
      <c r="H3" s="55">
        <f>Table7[[#This Row],[Dif]]/F4</f>
        <v>3.0497166958596356E-3</v>
      </c>
    </row>
    <row r="4" spans="1:8" x14ac:dyDescent="0.35">
      <c r="A4" s="76">
        <v>43469</v>
      </c>
      <c r="B4" s="52" t="s">
        <v>205</v>
      </c>
      <c r="C4" s="48" t="s">
        <v>82</v>
      </c>
      <c r="D4" s="49">
        <v>0</v>
      </c>
      <c r="E4" s="53">
        <f>_xlfn.IFNA(VLOOKUP(Table7[[#This Row],[Nombre Inversión]],B5:E14,4,FALSE),0)+Table7[[#This Row],[Monto]]</f>
        <v>10000</v>
      </c>
      <c r="F4" s="53">
        <f>F5+Table7[[#This Row],[Monto]]+G4</f>
        <v>10453.430000000002</v>
      </c>
      <c r="G4" s="78">
        <v>11.69</v>
      </c>
      <c r="H4" s="55">
        <f>Table7[[#This Row],[Dif]]/F5</f>
        <v>1.1195452098979671E-3</v>
      </c>
    </row>
    <row r="5" spans="1:8" x14ac:dyDescent="0.35">
      <c r="A5" s="76">
        <v>43468</v>
      </c>
      <c r="B5" s="52" t="s">
        <v>205</v>
      </c>
      <c r="C5" s="48" t="s">
        <v>82</v>
      </c>
      <c r="D5" s="49">
        <v>0</v>
      </c>
      <c r="E5" s="53">
        <f>_xlfn.IFNA(VLOOKUP(Table7[[#This Row],[Nombre Inversión]],B6:E15,4,FALSE),0)+Table7[[#This Row],[Monto]]</f>
        <v>10000</v>
      </c>
      <c r="F5" s="53">
        <f>F6+Table7[[#This Row],[Monto]]+G5</f>
        <v>10441.740000000002</v>
      </c>
      <c r="G5" s="78">
        <v>10.69</v>
      </c>
      <c r="H5" s="55">
        <f>Table7[[#This Row],[Dif]]/F6</f>
        <v>1.0248249217480502E-3</v>
      </c>
    </row>
    <row r="6" spans="1:8" x14ac:dyDescent="0.35">
      <c r="A6" s="76">
        <v>43467</v>
      </c>
      <c r="B6" s="52" t="s">
        <v>205</v>
      </c>
      <c r="C6" s="48" t="s">
        <v>82</v>
      </c>
      <c r="D6" s="49">
        <v>0</v>
      </c>
      <c r="E6" s="53">
        <f>_xlfn.IFNA(VLOOKUP(Table7[[#This Row],[Nombre Inversión]],B7:E16,4,FALSE),0)+Table7[[#This Row],[Monto]]</f>
        <v>10000</v>
      </c>
      <c r="F6" s="53">
        <f>F7+Table7[[#This Row],[Monto]]+G6</f>
        <v>10431.050000000001</v>
      </c>
      <c r="G6" s="78">
        <v>53.37</v>
      </c>
      <c r="H6" s="55">
        <f>Table7[[#This Row],[Dif]]/F7</f>
        <v>5.1427679404259909E-3</v>
      </c>
    </row>
    <row r="7" spans="1:8" x14ac:dyDescent="0.35">
      <c r="A7" s="76">
        <v>43462</v>
      </c>
      <c r="B7" s="52" t="s">
        <v>205</v>
      </c>
      <c r="C7" s="48" t="s">
        <v>82</v>
      </c>
      <c r="D7" s="49">
        <v>0</v>
      </c>
      <c r="E7" s="53">
        <f>_xlfn.IFNA(VLOOKUP(Table7[[#This Row],[Nombre Inversión]],B8:E17,4,FALSE),0)+Table7[[#This Row],[Monto]]</f>
        <v>10000</v>
      </c>
      <c r="F7" s="53">
        <f>F8+Table7[[#This Row],[Monto]]+G7</f>
        <v>10377.68</v>
      </c>
      <c r="G7" s="78">
        <v>11.6</v>
      </c>
      <c r="H7" s="55">
        <f>Table7[[#This Row],[Dif]]/F8</f>
        <v>1.1190343890843983E-3</v>
      </c>
    </row>
    <row r="8" spans="1:8" x14ac:dyDescent="0.35">
      <c r="A8" s="76">
        <v>43461</v>
      </c>
      <c r="B8" s="52" t="s">
        <v>205</v>
      </c>
      <c r="C8" s="48" t="s">
        <v>82</v>
      </c>
      <c r="D8" s="49">
        <v>0</v>
      </c>
      <c r="E8" s="53">
        <f>_xlfn.IFNA(VLOOKUP(Table7[[#This Row],[Nombre Inversión]],B9:E18,4,FALSE),0)+Table7[[#This Row],[Monto]]</f>
        <v>10000</v>
      </c>
      <c r="F8" s="53">
        <f>F9+Table7[[#This Row],[Monto]]+G8</f>
        <v>10366.08</v>
      </c>
      <c r="G8" s="78">
        <v>9.85</v>
      </c>
      <c r="H8" s="55">
        <f>Table7[[#This Row],[Dif]]/F9</f>
        <v>9.5111831235884098E-4</v>
      </c>
    </row>
    <row r="9" spans="1:8" x14ac:dyDescent="0.35">
      <c r="A9" s="76">
        <v>43460</v>
      </c>
      <c r="B9" s="52" t="s">
        <v>205</v>
      </c>
      <c r="C9" s="48" t="s">
        <v>82</v>
      </c>
      <c r="D9" s="49">
        <v>0</v>
      </c>
      <c r="E9" s="53">
        <f>_xlfn.IFNA(VLOOKUP(Table7[[#This Row],[Nombre Inversión]],B10:E19,4,FALSE),0)+Table7[[#This Row],[Monto]]</f>
        <v>10000</v>
      </c>
      <c r="F9" s="53">
        <f>F10+Table7[[#This Row],[Monto]]+G9</f>
        <v>10356.23</v>
      </c>
      <c r="G9" s="78">
        <v>51.4</v>
      </c>
      <c r="H9" s="55">
        <f>Table7[[#This Row],[Dif]]/F10</f>
        <v>4.9879522515170072E-3</v>
      </c>
    </row>
    <row r="10" spans="1:8" x14ac:dyDescent="0.35">
      <c r="A10" s="76">
        <v>43455</v>
      </c>
      <c r="B10" s="52" t="s">
        <v>205</v>
      </c>
      <c r="C10" s="48" t="s">
        <v>82</v>
      </c>
      <c r="D10" s="49">
        <v>0</v>
      </c>
      <c r="E10" s="53">
        <f>_xlfn.IFNA(VLOOKUP(Table7[[#This Row],[Nombre Inversión]],B11:E20,4,FALSE),0)+Table7[[#This Row],[Monto]]</f>
        <v>10000</v>
      </c>
      <c r="F10" s="53">
        <f>F11+Table7[[#This Row],[Monto]]+G10</f>
        <v>10304.83</v>
      </c>
      <c r="G10" s="50">
        <v>13.22</v>
      </c>
      <c r="H10" s="55">
        <f>Table7[[#This Row],[Dif]]/F11</f>
        <v>1.2845414857344964E-3</v>
      </c>
    </row>
    <row r="11" spans="1:8" x14ac:dyDescent="0.35">
      <c r="A11" s="76">
        <v>43455</v>
      </c>
      <c r="B11" s="52" t="s">
        <v>205</v>
      </c>
      <c r="C11" s="52" t="s">
        <v>76</v>
      </c>
      <c r="D11" s="49">
        <v>2000</v>
      </c>
      <c r="E11" s="53">
        <f>_xlfn.IFNA(VLOOKUP(Table7[[#This Row],[Nombre Inversión]],B12:E21,4,FALSE),0)+Table7[[#This Row],[Monto]]</f>
        <v>10000</v>
      </c>
      <c r="F11" s="53">
        <f>F12+Table7[[#This Row],[Monto]]+G11</f>
        <v>10291.61</v>
      </c>
      <c r="G11" s="50">
        <v>0</v>
      </c>
      <c r="H11" s="55" t="s">
        <v>80</v>
      </c>
    </row>
    <row r="12" spans="1:8" x14ac:dyDescent="0.35">
      <c r="A12" s="76">
        <v>43454</v>
      </c>
      <c r="B12" s="52" t="s">
        <v>205</v>
      </c>
      <c r="C12" s="48" t="s">
        <v>82</v>
      </c>
      <c r="D12" s="49">
        <v>0</v>
      </c>
      <c r="E12" s="53">
        <f>_xlfn.IFNA(VLOOKUP(Table7[[#This Row],[Nombre Inversión]],B13:E22,4,FALSE),0)+Table7[[#This Row],[Monto]]</f>
        <v>8000</v>
      </c>
      <c r="F12" s="53">
        <f>F13+Table7[[#This Row],[Monto]]+G12</f>
        <v>8291.61</v>
      </c>
      <c r="G12" s="78">
        <v>9.06</v>
      </c>
      <c r="H12" s="55">
        <f>Table7[[#This Row],[Dif]]/F13</f>
        <v>1.0938660195229728E-3</v>
      </c>
    </row>
    <row r="13" spans="1:8" x14ac:dyDescent="0.35">
      <c r="A13" s="76">
        <v>43453</v>
      </c>
      <c r="B13" s="52" t="s">
        <v>205</v>
      </c>
      <c r="C13" s="48" t="s">
        <v>82</v>
      </c>
      <c r="D13" s="49">
        <v>0</v>
      </c>
      <c r="E13" s="53">
        <f>_xlfn.IFNA(VLOOKUP(Table7[[#This Row],[Nombre Inversión]],B14:E23,4,FALSE),0)+Table7[[#This Row],[Monto]]</f>
        <v>8000</v>
      </c>
      <c r="F13" s="53">
        <f>F14+Table7[[#This Row],[Monto]]+G13</f>
        <v>8282.5500000000011</v>
      </c>
      <c r="G13" s="78">
        <v>10.95</v>
      </c>
      <c r="H13" s="55">
        <f>Table7[[#This Row],[Dif]]/F14</f>
        <v>1.323806760481648E-3</v>
      </c>
    </row>
    <row r="14" spans="1:8" x14ac:dyDescent="0.35">
      <c r="A14" s="76">
        <v>43452</v>
      </c>
      <c r="B14" s="52" t="s">
        <v>205</v>
      </c>
      <c r="C14" s="48" t="s">
        <v>82</v>
      </c>
      <c r="D14" s="49">
        <v>0</v>
      </c>
      <c r="E14" s="53">
        <f>_xlfn.IFNA(VLOOKUP(Table7[[#This Row],[Nombre Inversión]],B15:E24,4,FALSE),0)+Table7[[#This Row],[Monto]]</f>
        <v>8000</v>
      </c>
      <c r="F14" s="53">
        <f>F15+Table7[[#This Row],[Monto]]+G14</f>
        <v>8271.6</v>
      </c>
      <c r="G14" s="78">
        <v>9.51</v>
      </c>
      <c r="H14" s="55">
        <f>Table7[[#This Row],[Dif]]/F15</f>
        <v>1.1510404752308435E-3</v>
      </c>
    </row>
    <row r="15" spans="1:8" x14ac:dyDescent="0.35">
      <c r="A15" s="76">
        <v>43451</v>
      </c>
      <c r="B15" s="52" t="s">
        <v>205</v>
      </c>
      <c r="C15" s="48" t="s">
        <v>82</v>
      </c>
      <c r="D15" s="49">
        <v>0</v>
      </c>
      <c r="E15" s="53">
        <f>_xlfn.IFNA(VLOOKUP(Table7[[#This Row],[Nombre Inversión]],B16:E25,4,FALSE),0)+Table7[[#This Row],[Monto]]</f>
        <v>8000</v>
      </c>
      <c r="F15" s="53">
        <f>F16+Table7[[#This Row],[Monto]]+G15</f>
        <v>8262.09</v>
      </c>
      <c r="G15" s="78">
        <v>27.86</v>
      </c>
      <c r="H15" s="55">
        <f>Table7[[#This Row],[Dif]]/F16</f>
        <v>3.3834371884195608E-3</v>
      </c>
    </row>
    <row r="16" spans="1:8" x14ac:dyDescent="0.35">
      <c r="A16" s="51">
        <v>43448</v>
      </c>
      <c r="B16" s="52" t="s">
        <v>205</v>
      </c>
      <c r="C16" s="48" t="s">
        <v>82</v>
      </c>
      <c r="D16" s="49">
        <v>0</v>
      </c>
      <c r="E16" s="53">
        <f>_xlfn.IFNA(VLOOKUP(Table7[[#This Row],[Nombre Inversión]],B17:E26,4,FALSE),0)+Table7[[#This Row],[Monto]]</f>
        <v>8000</v>
      </c>
      <c r="F16" s="53">
        <f>F17+Table7[[#This Row],[Monto]]+G16</f>
        <v>8234.23</v>
      </c>
      <c r="G16" s="50">
        <v>8.51</v>
      </c>
      <c r="H16" s="55">
        <f>Table7[[#This Row],[Dif]]/F17</f>
        <v>1.0345598926294599E-3</v>
      </c>
    </row>
    <row r="17" spans="1:8" x14ac:dyDescent="0.35">
      <c r="A17" s="47">
        <v>43447</v>
      </c>
      <c r="B17" s="52" t="s">
        <v>205</v>
      </c>
      <c r="C17" s="48" t="s">
        <v>82</v>
      </c>
      <c r="D17" s="49">
        <v>0</v>
      </c>
      <c r="E17" s="53">
        <f>_xlfn.IFNA(VLOOKUP(Table7[[#This Row],[Nombre Inversión]],B18:E27,4,FALSE),0)+Table7[[#This Row],[Monto]]</f>
        <v>8000</v>
      </c>
      <c r="F17" s="53">
        <f>F18+Table7[[#This Row],[Monto]]+G17</f>
        <v>8225.7199999999993</v>
      </c>
      <c r="G17" s="50">
        <v>10.56</v>
      </c>
      <c r="H17" s="55">
        <f>Table7[[#This Row],[Dif]]/F18</f>
        <v>1.2854284030986616E-3</v>
      </c>
    </row>
    <row r="18" spans="1:8" x14ac:dyDescent="0.35">
      <c r="A18" s="47">
        <v>43446</v>
      </c>
      <c r="B18" s="52" t="s">
        <v>205</v>
      </c>
      <c r="C18" s="48" t="s">
        <v>82</v>
      </c>
      <c r="D18" s="49">
        <v>0</v>
      </c>
      <c r="E18" s="53">
        <f>_xlfn.IFNA(VLOOKUP(Table7[[#This Row],[Nombre Inversión]],B19:E28,4,FALSE),0)+Table7[[#This Row],[Monto]]</f>
        <v>8000</v>
      </c>
      <c r="F18" s="53">
        <f>F19+Table7[[#This Row],[Monto]]+G18</f>
        <v>8215.16</v>
      </c>
      <c r="G18" s="50">
        <v>9.6300000000000008</v>
      </c>
      <c r="H18" s="55">
        <f>Table7[[#This Row],[Dif]]/F19</f>
        <v>1.1735987803347255E-3</v>
      </c>
    </row>
    <row r="19" spans="1:8" x14ac:dyDescent="0.35">
      <c r="A19" s="47">
        <v>43445</v>
      </c>
      <c r="B19" s="52" t="s">
        <v>205</v>
      </c>
      <c r="C19" s="48" t="s">
        <v>82</v>
      </c>
      <c r="D19" s="49">
        <v>0</v>
      </c>
      <c r="E19" s="53">
        <f>_xlfn.IFNA(VLOOKUP(Table7[[#This Row],[Nombre Inversión]],B20:E29,4,FALSE),0)+Table7[[#This Row],[Monto]]</f>
        <v>8000</v>
      </c>
      <c r="F19" s="53">
        <f>F20+Table7[[#This Row],[Monto]]+G19</f>
        <v>8205.5300000000007</v>
      </c>
      <c r="G19" s="50">
        <v>8.81</v>
      </c>
      <c r="H19" s="55">
        <f>Table7[[#This Row],[Dif]]/F20</f>
        <v>1.0748201719712274E-3</v>
      </c>
    </row>
    <row r="20" spans="1:8" x14ac:dyDescent="0.35">
      <c r="A20" s="47">
        <v>43444</v>
      </c>
      <c r="B20" s="52" t="s">
        <v>205</v>
      </c>
      <c r="C20" s="48" t="s">
        <v>82</v>
      </c>
      <c r="D20" s="49">
        <v>0</v>
      </c>
      <c r="E20" s="53">
        <f>_xlfn.IFNA(VLOOKUP(Table7[[#This Row],[Nombre Inversión]],B21:E30,4,FALSE),0)+Table7[[#This Row],[Monto]]</f>
        <v>8000</v>
      </c>
      <c r="F20" s="53">
        <f>F21+Table7[[#This Row],[Monto]]+G20</f>
        <v>8196.7200000000012</v>
      </c>
      <c r="G20" s="50">
        <v>21.65</v>
      </c>
      <c r="H20" s="55">
        <f>Table7[[#This Row],[Dif]]/F21</f>
        <v>2.6482953662782089E-3</v>
      </c>
    </row>
    <row r="21" spans="1:8" x14ac:dyDescent="0.35">
      <c r="A21" s="47">
        <v>43441</v>
      </c>
      <c r="B21" s="52" t="s">
        <v>205</v>
      </c>
      <c r="C21" s="48" t="s">
        <v>82</v>
      </c>
      <c r="D21" s="49">
        <v>0</v>
      </c>
      <c r="E21" s="53">
        <f>_xlfn.IFNA(VLOOKUP(Table7[[#This Row],[Nombre Inversión]],B22:E31,4,FALSE),0)+Table7[[#This Row],[Monto]]</f>
        <v>8000</v>
      </c>
      <c r="F21" s="53">
        <f>F22+Table7[[#This Row],[Monto]]+G21</f>
        <v>8175.0700000000006</v>
      </c>
      <c r="G21" s="50">
        <v>12.55</v>
      </c>
      <c r="H21" s="55">
        <f>Table7[[#This Row],[Dif]]/F22</f>
        <v>1.5375153751537515E-3</v>
      </c>
    </row>
    <row r="22" spans="1:8" x14ac:dyDescent="0.35">
      <c r="A22" s="1">
        <v>43440</v>
      </c>
      <c r="B22" s="52" t="s">
        <v>205</v>
      </c>
      <c r="C22" s="48" t="s">
        <v>82</v>
      </c>
      <c r="D22" s="49">
        <v>0</v>
      </c>
      <c r="E22" s="53">
        <f>_xlfn.IFNA(VLOOKUP(Table7[[#This Row],[Nombre Inversión]],B23:E32,4,FALSE),0)+Table7[[#This Row],[Monto]]</f>
        <v>8000</v>
      </c>
      <c r="F22" s="53">
        <f>F23+Table7[[#This Row],[Monto]]+G22</f>
        <v>8162.52</v>
      </c>
      <c r="G22" s="50">
        <v>8.99</v>
      </c>
      <c r="H22" s="55">
        <f>Table7[[#This Row],[Dif]]/F23</f>
        <v>1.1025899211752454E-3</v>
      </c>
    </row>
    <row r="23" spans="1:8" x14ac:dyDescent="0.35">
      <c r="A23" s="1">
        <v>43439</v>
      </c>
      <c r="B23" s="52" t="s">
        <v>205</v>
      </c>
      <c r="C23" s="48" t="s">
        <v>82</v>
      </c>
      <c r="D23" s="49">
        <v>0</v>
      </c>
      <c r="E23" s="53">
        <f>_xlfn.IFNA(VLOOKUP(Table7[[#This Row],[Nombre Inversión]],B24:E33,4,FALSE),0)+Table7[[#This Row],[Monto]]</f>
        <v>8000</v>
      </c>
      <c r="F23" s="53">
        <f>F24+Table7[[#This Row],[Monto]]+G23</f>
        <v>8153.5300000000007</v>
      </c>
      <c r="G23" s="50">
        <v>11.51</v>
      </c>
      <c r="H23" s="55">
        <f>Table7[[#This Row],[Dif]]/F24</f>
        <v>1.4136541054922487E-3</v>
      </c>
    </row>
    <row r="24" spans="1:8" x14ac:dyDescent="0.35">
      <c r="A24" s="47">
        <v>43438</v>
      </c>
      <c r="B24" s="52" t="s">
        <v>205</v>
      </c>
      <c r="C24" s="48" t="s">
        <v>82</v>
      </c>
      <c r="D24" s="49">
        <v>0</v>
      </c>
      <c r="E24" s="53">
        <f>_xlfn.IFNA(VLOOKUP(Table7[[#This Row],[Nombre Inversión]],B25:E34,4,FALSE),0)+Table7[[#This Row],[Monto]]</f>
        <v>8000</v>
      </c>
      <c r="F24" s="53">
        <f>F25+Table7[[#This Row],[Monto]]+G24</f>
        <v>8142.02</v>
      </c>
      <c r="G24" s="50">
        <v>9.6300000000000008</v>
      </c>
      <c r="H24" s="55">
        <f>Table7[[#This Row],[Dif]]/F25</f>
        <v>1.1841537358636268E-3</v>
      </c>
    </row>
    <row r="25" spans="1:8" x14ac:dyDescent="0.35">
      <c r="A25" s="47">
        <v>43437</v>
      </c>
      <c r="B25" s="52" t="s">
        <v>205</v>
      </c>
      <c r="C25" s="48" t="s">
        <v>82</v>
      </c>
      <c r="D25" s="49">
        <v>0</v>
      </c>
      <c r="E25" s="53">
        <f>_xlfn.IFNA(VLOOKUP(Table7[[#This Row],[Nombre Inversión]],B26:E35,4,FALSE),0)+Table7[[#This Row],[Monto]]</f>
        <v>8000</v>
      </c>
      <c r="F25" s="53">
        <f>F26+Table7[[#This Row],[Monto]]+G25</f>
        <v>8132.39</v>
      </c>
      <c r="G25" s="50">
        <v>37.56</v>
      </c>
      <c r="H25" s="55">
        <f>Table7[[#This Row],[Dif]]/F26</f>
        <v>4.6399986164008386E-3</v>
      </c>
    </row>
    <row r="26" spans="1:8" x14ac:dyDescent="0.35">
      <c r="A26" s="47">
        <v>43433</v>
      </c>
      <c r="B26" s="52" t="s">
        <v>205</v>
      </c>
      <c r="C26" s="48" t="s">
        <v>82</v>
      </c>
      <c r="D26" s="49">
        <v>0</v>
      </c>
      <c r="E26" s="53">
        <f>_xlfn.IFNA(VLOOKUP(Table7[[#This Row],[Nombre Inversión]],B27:E36,4,FALSE),0)+Table7[[#This Row],[Monto]]</f>
        <v>8000</v>
      </c>
      <c r="F26" s="53">
        <f>F27+Table7[[#This Row],[Monto]]+G26</f>
        <v>8094.83</v>
      </c>
      <c r="G26" s="50">
        <v>9.48</v>
      </c>
      <c r="H26" s="55">
        <f>Table7[[#This Row],[Dif]]/F27</f>
        <v>1.1724909867847403E-3</v>
      </c>
    </row>
    <row r="27" spans="1:8" x14ac:dyDescent="0.35">
      <c r="A27" s="47">
        <v>43433</v>
      </c>
      <c r="B27" s="52" t="s">
        <v>205</v>
      </c>
      <c r="C27" s="52" t="s">
        <v>76</v>
      </c>
      <c r="D27" s="49">
        <v>10</v>
      </c>
      <c r="E27" s="53">
        <f>_xlfn.IFNA(VLOOKUP(Table7[[#This Row],[Nombre Inversión]],B28:E37,4,FALSE),0)+Table7[[#This Row],[Monto]]</f>
        <v>8000</v>
      </c>
      <c r="F27" s="53">
        <f>F28+Table7[[#This Row],[Monto]]+G27</f>
        <v>8085.35</v>
      </c>
      <c r="G27" s="50">
        <v>0</v>
      </c>
      <c r="H27" s="55" t="s">
        <v>80</v>
      </c>
    </row>
    <row r="28" spans="1:8" x14ac:dyDescent="0.35">
      <c r="A28" s="47">
        <v>43432</v>
      </c>
      <c r="B28" s="52" t="s">
        <v>205</v>
      </c>
      <c r="C28" s="48" t="s">
        <v>82</v>
      </c>
      <c r="D28" s="49">
        <v>0</v>
      </c>
      <c r="E28" s="53">
        <f>_xlfn.IFNA(VLOOKUP(Table7[[#This Row],[Nombre Inversión]],B29:E38,4,FALSE),0)+Table7[[#This Row],[Monto]]</f>
        <v>7990</v>
      </c>
      <c r="F28" s="53">
        <f>F29+Table7[[#This Row],[Monto]]+G28</f>
        <v>8075.35</v>
      </c>
      <c r="G28" s="50">
        <v>11.44</v>
      </c>
      <c r="H28" s="55">
        <f>Table7[[#This Row],[Dif]]/F29</f>
        <v>1.418666626983684E-3</v>
      </c>
    </row>
    <row r="29" spans="1:8" x14ac:dyDescent="0.35">
      <c r="A29" s="47">
        <v>43431</v>
      </c>
      <c r="B29" s="52" t="s">
        <v>205</v>
      </c>
      <c r="C29" s="48" t="s">
        <v>82</v>
      </c>
      <c r="D29" s="49">
        <v>0</v>
      </c>
      <c r="E29" s="53">
        <f>_xlfn.IFNA(VLOOKUP(Table7[[#This Row],[Nombre Inversión]],B30:E39,4,FALSE),0)+Table7[[#This Row],[Monto]]</f>
        <v>7990</v>
      </c>
      <c r="F29" s="53">
        <f>F30+Table7[[#This Row],[Monto]]+G29</f>
        <v>8063.9100000000008</v>
      </c>
      <c r="G29" s="50">
        <v>10.77</v>
      </c>
      <c r="H29" s="55">
        <f>Table7[[#This Row],[Dif]]/F30</f>
        <v>1.3373665427398504E-3</v>
      </c>
    </row>
    <row r="30" spans="1:8" x14ac:dyDescent="0.35">
      <c r="A30" s="47">
        <v>43430</v>
      </c>
      <c r="B30" s="52" t="s">
        <v>205</v>
      </c>
      <c r="C30" s="52" t="s">
        <v>76</v>
      </c>
      <c r="D30" s="49">
        <v>4000</v>
      </c>
      <c r="E30" s="53">
        <f>_xlfn.IFNA(VLOOKUP(Table7[[#This Row],[Nombre Inversión]],B31:E40,4,FALSE),0)+Table7[[#This Row],[Monto]]</f>
        <v>7990</v>
      </c>
      <c r="F30" s="53">
        <f>F31+Table7[[#This Row],[Monto]]+G30</f>
        <v>8053.14</v>
      </c>
      <c r="G30" s="50">
        <v>0</v>
      </c>
      <c r="H30" s="55" t="s">
        <v>80</v>
      </c>
    </row>
    <row r="31" spans="1:8" x14ac:dyDescent="0.35">
      <c r="A31" s="47">
        <v>43430</v>
      </c>
      <c r="B31" s="52" t="s">
        <v>205</v>
      </c>
      <c r="C31" s="48" t="s">
        <v>82</v>
      </c>
      <c r="D31" s="49">
        <v>0</v>
      </c>
      <c r="E31" s="53">
        <f>_xlfn.IFNA(VLOOKUP(Table7[[#This Row],[Nombre Inversión]],B32:E41,4,FALSE),0)+Table7[[#This Row],[Monto]]</f>
        <v>3990</v>
      </c>
      <c r="F31" s="53">
        <f>F32+Table7[[#This Row],[Monto]]+G31</f>
        <v>4053.1400000000003</v>
      </c>
      <c r="G31" s="50">
        <v>12.28</v>
      </c>
      <c r="H31" s="55">
        <f>Table7[[#This Row],[Dif]]/F32</f>
        <v>3.0389570536964901E-3</v>
      </c>
    </row>
    <row r="32" spans="1:8" x14ac:dyDescent="0.35">
      <c r="A32" s="47">
        <v>43427</v>
      </c>
      <c r="B32" s="52" t="s">
        <v>205</v>
      </c>
      <c r="C32" s="48" t="s">
        <v>82</v>
      </c>
      <c r="D32" s="49">
        <v>0</v>
      </c>
      <c r="E32" s="53">
        <f>_xlfn.IFNA(VLOOKUP(Table7[[#This Row],[Nombre Inversión]],B33:E42,4,FALSE),0)+Table7[[#This Row],[Monto]]</f>
        <v>3990</v>
      </c>
      <c r="F32" s="53">
        <f>F33+Table7[[#This Row],[Monto]]+G32</f>
        <v>4040.86</v>
      </c>
      <c r="G32" s="50">
        <v>5.41</v>
      </c>
      <c r="H32" s="55">
        <f>Table7[[#This Row],[Dif]]/F33</f>
        <v>1.3406187661846882E-3</v>
      </c>
    </row>
    <row r="33" spans="1:11" x14ac:dyDescent="0.35">
      <c r="A33" s="47">
        <v>43426</v>
      </c>
      <c r="B33" s="52" t="s">
        <v>205</v>
      </c>
      <c r="C33" s="48" t="s">
        <v>82</v>
      </c>
      <c r="D33" s="49">
        <v>0</v>
      </c>
      <c r="E33" s="53">
        <f>_xlfn.IFNA(VLOOKUP(Table7[[#This Row],[Nombre Inversión]],B34:E43,4,FALSE),0)+Table7[[#This Row],[Monto]]</f>
        <v>3990</v>
      </c>
      <c r="F33" s="53">
        <f>F34+Table7[[#This Row],[Monto]]+G33</f>
        <v>4035.4500000000003</v>
      </c>
      <c r="G33" s="50">
        <v>7.68</v>
      </c>
      <c r="H33" s="55">
        <f>Table7[[#This Row],[Dif]]/F34</f>
        <v>1.9067623027134118E-3</v>
      </c>
    </row>
    <row r="34" spans="1:11" x14ac:dyDescent="0.35">
      <c r="A34" s="47">
        <v>43425</v>
      </c>
      <c r="B34" s="52" t="s">
        <v>205</v>
      </c>
      <c r="C34" s="48" t="s">
        <v>82</v>
      </c>
      <c r="D34" s="49">
        <v>0</v>
      </c>
      <c r="E34" s="53">
        <f>_xlfn.IFNA(VLOOKUP(Table7[[#This Row],[Nombre Inversión]],B35:E44,4,FALSE),0)+Table7[[#This Row],[Monto]]</f>
        <v>3990</v>
      </c>
      <c r="F34" s="53">
        <f>F35+Table7[[#This Row],[Monto]]+G34</f>
        <v>4027.7700000000004</v>
      </c>
      <c r="G34" s="50">
        <v>5.35</v>
      </c>
      <c r="H34" s="55">
        <f>Table7[[#This Row],[Dif]]/F35</f>
        <v>1.3300450972300254E-3</v>
      </c>
    </row>
    <row r="35" spans="1:11" x14ac:dyDescent="0.35">
      <c r="A35" s="47">
        <v>43424</v>
      </c>
      <c r="B35" s="52" t="s">
        <v>205</v>
      </c>
      <c r="C35" s="48" t="s">
        <v>82</v>
      </c>
      <c r="D35" s="49">
        <v>0</v>
      </c>
      <c r="E35" s="53">
        <f>_xlfn.IFNA(VLOOKUP(Table7[[#This Row],[Nombre Inversión]],B36:E45,4,FALSE),0)+Table7[[#This Row],[Monto]]</f>
        <v>3990</v>
      </c>
      <c r="F35" s="53">
        <f>F36+Table7[[#This Row],[Monto]]+G35</f>
        <v>4022.4200000000005</v>
      </c>
      <c r="G35" s="50">
        <v>20.78</v>
      </c>
      <c r="H35" s="55">
        <f>Table7[[#This Row],[Dif]]/F36</f>
        <v>5.1928709229216016E-3</v>
      </c>
    </row>
    <row r="36" spans="1:11" x14ac:dyDescent="0.35">
      <c r="A36" s="47">
        <v>43420</v>
      </c>
      <c r="B36" s="52" t="s">
        <v>205</v>
      </c>
      <c r="C36" s="48" t="s">
        <v>82</v>
      </c>
      <c r="D36" s="49">
        <v>0</v>
      </c>
      <c r="E36" s="53">
        <f>_xlfn.IFNA(VLOOKUP(Table7[[#This Row],[Nombre Inversión]],B37:E46,4,FALSE),0)+Table7[[#This Row],[Monto]]</f>
        <v>3990</v>
      </c>
      <c r="F36" s="53">
        <f>F37+Table7[[#This Row],[Monto]]+G36</f>
        <v>4001.6400000000003</v>
      </c>
      <c r="G36" s="50">
        <v>3.86</v>
      </c>
      <c r="H36" s="55">
        <f>Table7[[#This Row],[Dif]]/F37</f>
        <v>9.65535872409187E-4</v>
      </c>
    </row>
    <row r="37" spans="1:11" x14ac:dyDescent="0.35">
      <c r="A37" s="47">
        <v>43419</v>
      </c>
      <c r="B37" s="52" t="s">
        <v>205</v>
      </c>
      <c r="C37" s="48" t="s">
        <v>82</v>
      </c>
      <c r="D37" s="49">
        <v>0</v>
      </c>
      <c r="E37" s="53">
        <f>_xlfn.IFNA(VLOOKUP(Table7[[#This Row],[Nombre Inversión]],B38:E47,4,FALSE),0)+Table7[[#This Row],[Monto]]</f>
        <v>3990</v>
      </c>
      <c r="F37" s="53">
        <f>F38+Table7[[#This Row],[Monto]]+G37</f>
        <v>3997.78</v>
      </c>
      <c r="G37" s="50">
        <v>7.78</v>
      </c>
      <c r="H37" s="55">
        <f>Table7[[#This Row],[Dif]]/F38</f>
        <v>1.949874686716792E-3</v>
      </c>
    </row>
    <row r="38" spans="1:11" x14ac:dyDescent="0.35">
      <c r="A38" s="51">
        <v>43418</v>
      </c>
      <c r="B38" s="52" t="s">
        <v>205</v>
      </c>
      <c r="C38" s="52" t="s">
        <v>76</v>
      </c>
      <c r="D38" s="53">
        <v>3990</v>
      </c>
      <c r="E38" s="53">
        <f>_xlfn.IFNA(VLOOKUP(Table7[[#This Row],[Nombre Inversión]],B39:E48,4,FALSE),0)+Table7[[#This Row],[Monto]]</f>
        <v>3990</v>
      </c>
      <c r="F38" s="53">
        <f>F39+Table7[[#This Row],[Monto]]+G38</f>
        <v>3990</v>
      </c>
      <c r="G38" s="50">
        <v>0</v>
      </c>
      <c r="H38" s="56" t="s">
        <v>80</v>
      </c>
    </row>
    <row r="39" spans="1:11" x14ac:dyDescent="0.35">
      <c r="A39" s="77" t="s">
        <v>5</v>
      </c>
      <c r="B39" s="77">
        <f>SUBTOTAL(103,Table7[Nombre Inversión])</f>
        <v>36</v>
      </c>
      <c r="C39" s="77"/>
      <c r="D39" s="79"/>
      <c r="E39" s="79"/>
      <c r="F39" s="79"/>
      <c r="G39" s="78">
        <f>SUBTOTAL(109,Table7[Dif])</f>
        <v>485.30999999999995</v>
      </c>
      <c r="H39" s="80">
        <f>SUBTOTAL(109,Table7[Crecimiento])</f>
        <v>6.2379454877059877E-2</v>
      </c>
      <c r="J39" s="23">
        <f>1*(Table7[[#Totals],[Crecimiento]]+1)^12-1</f>
        <v>1.0670736961893845</v>
      </c>
      <c r="K39" s="23">
        <f>1*(Table7[[#Totals],[Crecimiento]]/Table7[[#Totals],[Nombre Inversión]]+1)^360-1</f>
        <v>0.8649882043391206</v>
      </c>
    </row>
  </sheetData>
  <pageMargins left="0.7" right="0.7" top="0.75" bottom="0.75" header="0.3" footer="0.3"/>
  <ignoredErrors>
    <ignoredError sqref="H28:H38 H27 H13:H15 H11 H16:H19 H20:H25 H10 H26 H12 H9 H7 H3:H6 H8"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58"/>
  <sheetViews>
    <sheetView topLeftCell="A37" workbookViewId="0">
      <selection activeCell="E52" sqref="E52"/>
    </sheetView>
  </sheetViews>
  <sheetFormatPr defaultRowHeight="14.5" x14ac:dyDescent="0.35"/>
  <cols>
    <col min="3" max="3" width="3" customWidth="1"/>
    <col min="4" max="4" width="32.26953125" bestFit="1" customWidth="1"/>
    <col min="5" max="5" width="15.54296875" bestFit="1" customWidth="1"/>
    <col min="6" max="6" width="12.453125" bestFit="1" customWidth="1"/>
    <col min="7" max="7" width="11.453125" bestFit="1" customWidth="1"/>
    <col min="8" max="8" width="11.81640625" bestFit="1" customWidth="1"/>
    <col min="9" max="9" width="10.26953125" customWidth="1"/>
    <col min="12" max="12" width="10.1796875" bestFit="1" customWidth="1"/>
    <col min="13" max="13" width="12.26953125" bestFit="1" customWidth="1"/>
  </cols>
  <sheetData>
    <row r="1" spans="3:10" x14ac:dyDescent="0.35">
      <c r="E1">
        <v>105.96</v>
      </c>
      <c r="F1">
        <v>5000</v>
      </c>
    </row>
    <row r="2" spans="3:10" x14ac:dyDescent="0.35">
      <c r="D2" s="40" t="s">
        <v>151</v>
      </c>
      <c r="E2" s="41" t="s">
        <v>152</v>
      </c>
      <c r="F2" s="40" t="s">
        <v>153</v>
      </c>
      <c r="G2" s="40" t="s">
        <v>149</v>
      </c>
      <c r="H2" s="40" t="s">
        <v>150</v>
      </c>
      <c r="I2" s="40"/>
      <c r="J2">
        <f>SUM(E3:E15)</f>
        <v>2817.5</v>
      </c>
    </row>
    <row r="3" spans="3:10" x14ac:dyDescent="0.35">
      <c r="C3" s="37"/>
      <c r="D3" s="32" t="s">
        <v>103</v>
      </c>
      <c r="E3" s="38">
        <f>$F$1/100*Table4[[#This Row],[% Portfolio]]</f>
        <v>416</v>
      </c>
      <c r="F3" s="32">
        <v>8.32</v>
      </c>
      <c r="G3" s="34">
        <v>49.5</v>
      </c>
      <c r="H3" s="32">
        <f t="shared" ref="H3:H37" si="0">E3/G3</f>
        <v>8.4040404040404049</v>
      </c>
    </row>
    <row r="4" spans="3:10" x14ac:dyDescent="0.35">
      <c r="C4" s="37"/>
      <c r="D4" s="32" t="s">
        <v>104</v>
      </c>
      <c r="E4" s="38">
        <f>$F$1/100*Table4[[#This Row],[% Portfolio]]</f>
        <v>391</v>
      </c>
      <c r="F4" s="32">
        <v>7.82</v>
      </c>
      <c r="G4" s="33">
        <v>96.1</v>
      </c>
      <c r="H4" s="32">
        <f t="shared" si="0"/>
        <v>4.0686784599375656</v>
      </c>
    </row>
    <row r="5" spans="3:10" x14ac:dyDescent="0.35">
      <c r="C5" s="37"/>
      <c r="D5" s="32" t="s">
        <v>105</v>
      </c>
      <c r="E5" s="38">
        <f>$F$1/100*Table4[[#This Row],[% Portfolio]]</f>
        <v>357.5</v>
      </c>
      <c r="F5" s="32">
        <v>7.15</v>
      </c>
      <c r="G5" s="34">
        <v>344</v>
      </c>
      <c r="H5" s="32">
        <f t="shared" si="0"/>
        <v>1.0392441860465116</v>
      </c>
    </row>
    <row r="6" spans="3:10" x14ac:dyDescent="0.35">
      <c r="C6" s="37"/>
      <c r="D6" s="32" t="s">
        <v>106</v>
      </c>
      <c r="E6" s="38">
        <f>$F$1/100*Table4[[#This Row],[% Portfolio]]</f>
        <v>214.5</v>
      </c>
      <c r="F6" s="32">
        <v>4.29</v>
      </c>
      <c r="G6" s="34">
        <v>634.95000000000005</v>
      </c>
      <c r="H6" s="32">
        <f t="shared" si="0"/>
        <v>0.33782187573824707</v>
      </c>
    </row>
    <row r="7" spans="3:10" ht="15" thickBot="1" x14ac:dyDescent="0.4">
      <c r="C7" s="37"/>
      <c r="D7" s="32" t="s">
        <v>107</v>
      </c>
      <c r="E7" s="38">
        <f>$F$1/100*Table4[[#This Row],[% Portfolio]]</f>
        <v>208.5</v>
      </c>
      <c r="F7" s="32">
        <v>4.17</v>
      </c>
      <c r="G7" s="33">
        <v>43</v>
      </c>
      <c r="H7" s="32">
        <f t="shared" si="0"/>
        <v>4.8488372093023253</v>
      </c>
    </row>
    <row r="8" spans="3:10" x14ac:dyDescent="0.35">
      <c r="C8" s="37"/>
      <c r="D8" s="32" t="s">
        <v>108</v>
      </c>
      <c r="E8" s="38">
        <f>$F$1/100*Table4[[#This Row],[% Portfolio]]</f>
        <v>203.5</v>
      </c>
      <c r="F8" s="32">
        <v>4.07</v>
      </c>
      <c r="G8" s="35">
        <v>159.69999999999999</v>
      </c>
      <c r="H8" s="32">
        <f t="shared" si="0"/>
        <v>1.274264245460238</v>
      </c>
    </row>
    <row r="9" spans="3:10" x14ac:dyDescent="0.35">
      <c r="C9" s="37"/>
      <c r="D9" s="32" t="s">
        <v>109</v>
      </c>
      <c r="E9" s="38">
        <f>$F$1/100*Table4[[#This Row],[% Portfolio]]</f>
        <v>192</v>
      </c>
      <c r="F9" s="32">
        <v>3.84</v>
      </c>
      <c r="G9" s="34">
        <v>58</v>
      </c>
      <c r="H9" s="32">
        <f t="shared" si="0"/>
        <v>3.3103448275862069</v>
      </c>
    </row>
    <row r="10" spans="3:10" ht="15" thickBot="1" x14ac:dyDescent="0.4">
      <c r="C10" s="37"/>
      <c r="D10" s="32" t="s">
        <v>110</v>
      </c>
      <c r="E10" s="38">
        <f>$F$1/100*Table4[[#This Row],[% Portfolio]]</f>
        <v>187.5</v>
      </c>
      <c r="F10" s="32">
        <v>3.75</v>
      </c>
      <c r="G10" s="34">
        <v>51.75</v>
      </c>
      <c r="H10" s="32">
        <f t="shared" si="0"/>
        <v>3.6231884057971016</v>
      </c>
    </row>
    <row r="11" spans="3:10" x14ac:dyDescent="0.35">
      <c r="C11" s="37"/>
      <c r="D11" s="32" t="s">
        <v>111</v>
      </c>
      <c r="E11" s="38">
        <f>$F$1/100*Table4[[#This Row],[% Portfolio]]</f>
        <v>157.5</v>
      </c>
      <c r="F11" s="32">
        <v>3.15</v>
      </c>
      <c r="G11" s="35">
        <v>131.94999999999999</v>
      </c>
      <c r="H11" s="32">
        <f t="shared" si="0"/>
        <v>1.193633952254642</v>
      </c>
    </row>
    <row r="12" spans="3:10" x14ac:dyDescent="0.35">
      <c r="C12" s="37"/>
      <c r="D12" s="32" t="s">
        <v>112</v>
      </c>
      <c r="E12" s="38">
        <f>$F$1/100*Table4[[#This Row],[% Portfolio]]</f>
        <v>140.5</v>
      </c>
      <c r="F12" s="32">
        <v>2.81</v>
      </c>
      <c r="G12" s="34">
        <v>54.5</v>
      </c>
      <c r="H12" s="32">
        <f t="shared" si="0"/>
        <v>2.5779816513761467</v>
      </c>
    </row>
    <row r="13" spans="3:10" x14ac:dyDescent="0.35">
      <c r="C13" s="37"/>
      <c r="D13" s="32" t="s">
        <v>113</v>
      </c>
      <c r="E13" s="38">
        <f>$F$1/100*Table4[[#This Row],[% Portfolio]]</f>
        <v>118.5</v>
      </c>
      <c r="F13" s="32">
        <v>2.37</v>
      </c>
      <c r="G13" s="34">
        <v>136</v>
      </c>
      <c r="H13" s="32">
        <f t="shared" si="0"/>
        <v>0.87132352941176472</v>
      </c>
    </row>
    <row r="14" spans="3:10" x14ac:dyDescent="0.35">
      <c r="C14" s="37"/>
      <c r="D14" s="32" t="s">
        <v>114</v>
      </c>
      <c r="E14" s="38">
        <f>$F$1/100*Table4[[#This Row],[% Portfolio]]</f>
        <v>115.5</v>
      </c>
      <c r="F14" s="32">
        <v>2.31</v>
      </c>
      <c r="G14" s="34">
        <v>60.5</v>
      </c>
      <c r="H14" s="32">
        <f t="shared" si="0"/>
        <v>1.9090909090909092</v>
      </c>
    </row>
    <row r="15" spans="3:10" x14ac:dyDescent="0.35">
      <c r="C15" s="37"/>
      <c r="D15" s="32" t="s">
        <v>115</v>
      </c>
      <c r="E15" s="38">
        <f>$F$1/100*Table4[[#This Row],[% Portfolio]]</f>
        <v>114.99999999999999</v>
      </c>
      <c r="F15" s="32">
        <v>2.2999999999999998</v>
      </c>
      <c r="G15" s="34">
        <v>131</v>
      </c>
      <c r="H15" s="32">
        <f t="shared" si="0"/>
        <v>0.87786259541984724</v>
      </c>
    </row>
    <row r="16" spans="3:10" x14ac:dyDescent="0.35">
      <c r="C16" s="37"/>
      <c r="D16" s="32" t="s">
        <v>116</v>
      </c>
      <c r="E16" s="38">
        <f>$F$1/100*Table4[[#This Row],[% Portfolio]]</f>
        <v>102</v>
      </c>
      <c r="F16" s="32">
        <v>2.04</v>
      </c>
      <c r="G16" s="34">
        <v>70</v>
      </c>
      <c r="H16" s="32">
        <f t="shared" si="0"/>
        <v>1.4571428571428571</v>
      </c>
    </row>
    <row r="17" spans="3:11" x14ac:dyDescent="0.35">
      <c r="C17" s="37"/>
      <c r="D17" s="32" t="s">
        <v>117</v>
      </c>
      <c r="E17" s="38">
        <f>$F$1/100*Table4[[#This Row],[% Portfolio]]</f>
        <v>100</v>
      </c>
      <c r="F17" s="32">
        <v>2</v>
      </c>
      <c r="G17" s="34">
        <v>20.6</v>
      </c>
      <c r="H17" s="32">
        <f t="shared" si="0"/>
        <v>4.8543689320388346</v>
      </c>
    </row>
    <row r="18" spans="3:11" ht="15" thickBot="1" x14ac:dyDescent="0.4">
      <c r="C18" s="37"/>
      <c r="D18" s="32" t="s">
        <v>118</v>
      </c>
      <c r="E18" s="38">
        <f>$F$1/100*Table4[[#This Row],[% Portfolio]]</f>
        <v>96.5</v>
      </c>
      <c r="F18" s="32">
        <v>1.93</v>
      </c>
      <c r="G18" s="34">
        <v>110</v>
      </c>
      <c r="H18" s="32">
        <f t="shared" si="0"/>
        <v>0.87727272727272732</v>
      </c>
    </row>
    <row r="19" spans="3:11" x14ac:dyDescent="0.35">
      <c r="C19" s="37"/>
      <c r="D19" s="32" t="s">
        <v>119</v>
      </c>
      <c r="E19" s="38">
        <f>$F$1/100*Table4[[#This Row],[% Portfolio]]</f>
        <v>93</v>
      </c>
      <c r="F19" s="32">
        <v>1.86</v>
      </c>
      <c r="G19" s="35">
        <v>13.85</v>
      </c>
      <c r="H19" s="32">
        <f t="shared" si="0"/>
        <v>6.7148014440433217</v>
      </c>
    </row>
    <row r="20" spans="3:11" x14ac:dyDescent="0.35">
      <c r="C20" s="37"/>
      <c r="D20" t="s">
        <v>120</v>
      </c>
      <c r="E20" s="38">
        <f>$F$1/100*Table4[[#This Row],[% Portfolio]]</f>
        <v>90</v>
      </c>
      <c r="F20">
        <v>1.8</v>
      </c>
      <c r="G20" s="43"/>
      <c r="H20" t="e">
        <f t="shared" si="0"/>
        <v>#DIV/0!</v>
      </c>
    </row>
    <row r="21" spans="3:11" x14ac:dyDescent="0.35">
      <c r="C21" s="37"/>
      <c r="D21" t="s">
        <v>121</v>
      </c>
      <c r="E21" s="38">
        <f>$F$1/100*Table4[[#This Row],[% Portfolio]]</f>
        <v>84.5</v>
      </c>
      <c r="F21">
        <v>1.69</v>
      </c>
      <c r="G21" s="43"/>
      <c r="H21" t="e">
        <f t="shared" si="0"/>
        <v>#DIV/0!</v>
      </c>
    </row>
    <row r="22" spans="3:11" x14ac:dyDescent="0.35">
      <c r="D22" t="s">
        <v>122</v>
      </c>
      <c r="E22" s="38">
        <f>$F$1/100*Table4[[#This Row],[% Portfolio]]</f>
        <v>79.5</v>
      </c>
      <c r="F22">
        <v>1.59</v>
      </c>
      <c r="G22" s="43"/>
      <c r="H22" t="e">
        <f t="shared" si="0"/>
        <v>#DIV/0!</v>
      </c>
    </row>
    <row r="23" spans="3:11" x14ac:dyDescent="0.35">
      <c r="D23" t="s">
        <v>123</v>
      </c>
      <c r="E23" s="38">
        <f>$F$1/100*Table4[[#This Row],[% Portfolio]]</f>
        <v>56.999999999999993</v>
      </c>
      <c r="F23">
        <v>1.1399999999999999</v>
      </c>
      <c r="G23" s="43"/>
      <c r="H23" t="e">
        <f t="shared" si="0"/>
        <v>#DIV/0!</v>
      </c>
    </row>
    <row r="24" spans="3:11" x14ac:dyDescent="0.35">
      <c r="D24" t="s">
        <v>124</v>
      </c>
      <c r="E24" s="38">
        <f>$F$1/100*Table4[[#This Row],[% Portfolio]]</f>
        <v>48.5</v>
      </c>
      <c r="F24">
        <v>0.97</v>
      </c>
      <c r="G24" s="43"/>
      <c r="H24" t="e">
        <f t="shared" si="0"/>
        <v>#DIV/0!</v>
      </c>
    </row>
    <row r="25" spans="3:11" x14ac:dyDescent="0.35">
      <c r="D25" t="s">
        <v>125</v>
      </c>
      <c r="E25" s="38">
        <f>$F$1/100*Table4[[#This Row],[% Portfolio]]</f>
        <v>40.5</v>
      </c>
      <c r="F25">
        <v>0.81</v>
      </c>
      <c r="G25" s="43"/>
      <c r="H25" t="e">
        <f t="shared" si="0"/>
        <v>#DIV/0!</v>
      </c>
    </row>
    <row r="26" spans="3:11" x14ac:dyDescent="0.35">
      <c r="D26" t="s">
        <v>126</v>
      </c>
      <c r="E26" s="38">
        <f>$F$1/100*Table4[[#This Row],[% Portfolio]]</f>
        <v>40</v>
      </c>
      <c r="F26">
        <v>0.8</v>
      </c>
      <c r="G26" s="43"/>
      <c r="H26" t="e">
        <f t="shared" si="0"/>
        <v>#DIV/0!</v>
      </c>
    </row>
    <row r="27" spans="3:11" x14ac:dyDescent="0.35">
      <c r="D27" t="s">
        <v>127</v>
      </c>
      <c r="E27" s="38">
        <f>$F$1/100*Table4[[#This Row],[% Portfolio]]</f>
        <v>27</v>
      </c>
      <c r="F27">
        <v>0.54</v>
      </c>
      <c r="G27" s="43"/>
      <c r="H27" t="e">
        <f t="shared" si="0"/>
        <v>#DIV/0!</v>
      </c>
    </row>
    <row r="28" spans="3:11" x14ac:dyDescent="0.35">
      <c r="D28" t="s">
        <v>128</v>
      </c>
      <c r="E28" s="38">
        <f>$F$1/100*Table4[[#This Row],[% Portfolio]]</f>
        <v>26.5</v>
      </c>
      <c r="F28">
        <v>0.53</v>
      </c>
      <c r="G28" s="43"/>
      <c r="H28" t="e">
        <f t="shared" si="0"/>
        <v>#DIV/0!</v>
      </c>
    </row>
    <row r="29" spans="3:11" x14ac:dyDescent="0.35">
      <c r="D29" t="s">
        <v>129</v>
      </c>
      <c r="E29" s="38">
        <f>$F$1/100*Table4[[#This Row],[% Portfolio]]</f>
        <v>24</v>
      </c>
      <c r="F29">
        <v>0.48</v>
      </c>
      <c r="G29" s="43"/>
      <c r="H29" t="e">
        <f t="shared" si="0"/>
        <v>#DIV/0!</v>
      </c>
    </row>
    <row r="30" spans="3:11" x14ac:dyDescent="0.35">
      <c r="D30" t="s">
        <v>130</v>
      </c>
      <c r="E30" s="38">
        <f>$F$1/100*Table4[[#This Row],[% Portfolio]]</f>
        <v>13.5</v>
      </c>
      <c r="F30">
        <v>0.27</v>
      </c>
      <c r="G30" s="43"/>
      <c r="H30" t="e">
        <f t="shared" si="0"/>
        <v>#DIV/0!</v>
      </c>
    </row>
    <row r="31" spans="3:11" x14ac:dyDescent="0.35">
      <c r="D31" t="s">
        <v>131</v>
      </c>
      <c r="E31" s="38">
        <f>$F$1/100*Table4[[#This Row],[% Portfolio]]</f>
        <v>13</v>
      </c>
      <c r="F31">
        <v>0.26</v>
      </c>
      <c r="G31" s="43"/>
      <c r="H31" t="e">
        <f t="shared" si="0"/>
        <v>#DIV/0!</v>
      </c>
      <c r="K31" s="39">
        <v>4008.19</v>
      </c>
    </row>
    <row r="32" spans="3:11" x14ac:dyDescent="0.35">
      <c r="D32" t="s">
        <v>132</v>
      </c>
      <c r="E32" s="38">
        <f>$F$1/100*Table4[[#This Row],[% Portfolio]]</f>
        <v>11.5</v>
      </c>
      <c r="F32">
        <v>0.23</v>
      </c>
      <c r="G32" s="43"/>
      <c r="H32" t="e">
        <f t="shared" si="0"/>
        <v>#DIV/0!</v>
      </c>
      <c r="K32">
        <v>224.69</v>
      </c>
    </row>
    <row r="33" spans="4:13" x14ac:dyDescent="0.35">
      <c r="D33" t="s">
        <v>133</v>
      </c>
      <c r="E33" s="38">
        <f>$F$1/100*Table4[[#This Row],[% Portfolio]]</f>
        <v>11.5</v>
      </c>
      <c r="F33">
        <v>0.23</v>
      </c>
      <c r="G33" s="43"/>
      <c r="H33" t="e">
        <f t="shared" si="0"/>
        <v>#DIV/0!</v>
      </c>
    </row>
    <row r="34" spans="4:13" x14ac:dyDescent="0.35">
      <c r="D34" t="s">
        <v>134</v>
      </c>
      <c r="E34" s="38">
        <f>$F$1/100*Table4[[#This Row],[% Portfolio]]</f>
        <v>4</v>
      </c>
      <c r="F34">
        <v>0.08</v>
      </c>
      <c r="G34" s="43"/>
      <c r="H34" t="e">
        <f t="shared" si="0"/>
        <v>#DIV/0!</v>
      </c>
      <c r="K34" s="39">
        <f>K31-K32</f>
        <v>3783.5</v>
      </c>
      <c r="L34">
        <v>3783.5</v>
      </c>
      <c r="M34">
        <f>K34-L34</f>
        <v>0</v>
      </c>
    </row>
    <row r="35" spans="4:13" x14ac:dyDescent="0.35">
      <c r="D35" t="s">
        <v>135</v>
      </c>
      <c r="E35" s="38">
        <f>$F$1/100*Table4[[#This Row],[% Portfolio]]</f>
        <v>2</v>
      </c>
      <c r="F35">
        <v>0.04</v>
      </c>
      <c r="G35" s="43"/>
      <c r="H35" t="e">
        <f t="shared" si="0"/>
        <v>#DIV/0!</v>
      </c>
    </row>
    <row r="36" spans="4:13" x14ac:dyDescent="0.35">
      <c r="D36" t="s">
        <v>136</v>
      </c>
      <c r="E36" s="38">
        <f>$F$1/100*Table4[[#This Row],[% Portfolio]]</f>
        <v>1</v>
      </c>
      <c r="F36">
        <v>0.02</v>
      </c>
      <c r="G36" s="43"/>
      <c r="H36" t="e">
        <f t="shared" si="0"/>
        <v>#DIV/0!</v>
      </c>
    </row>
    <row r="37" spans="4:13" x14ac:dyDescent="0.35">
      <c r="D37" t="s">
        <v>137</v>
      </c>
      <c r="E37" s="38">
        <f>$F$1/100*Table4[[#This Row],[% Portfolio]]</f>
        <v>0.5</v>
      </c>
      <c r="F37">
        <v>0.01</v>
      </c>
      <c r="G37" s="44">
        <v>27.5</v>
      </c>
      <c r="H37">
        <f t="shared" si="0"/>
        <v>1.8181818181818181E-2</v>
      </c>
    </row>
    <row r="38" spans="4:13" x14ac:dyDescent="0.35">
      <c r="D38" t="s">
        <v>138</v>
      </c>
      <c r="E38" s="38">
        <f>$F$1/100*Table4[[#This Row],[% Portfolio]]</f>
        <v>216.5</v>
      </c>
      <c r="F38" s="42">
        <v>4.33</v>
      </c>
      <c r="G38" s="45">
        <v>10.86</v>
      </c>
      <c r="H38">
        <f t="shared" ref="H38:H47" si="1">E38/G38</f>
        <v>19.935543278084715</v>
      </c>
      <c r="I38" s="45">
        <v>40.119999999999997</v>
      </c>
      <c r="J38" t="s">
        <v>155</v>
      </c>
    </row>
    <row r="39" spans="4:13" x14ac:dyDescent="0.35">
      <c r="D39" s="42" t="s">
        <v>139</v>
      </c>
      <c r="E39" s="38">
        <f>$F$1/100*Table4[[#This Row],[% Portfolio]]</f>
        <v>159</v>
      </c>
      <c r="F39" s="42">
        <v>3.18</v>
      </c>
      <c r="G39" s="45">
        <v>15.86</v>
      </c>
      <c r="H39">
        <f t="shared" si="1"/>
        <v>10.025220680958386</v>
      </c>
    </row>
    <row r="40" spans="4:13" x14ac:dyDescent="0.35">
      <c r="D40" s="42" t="s">
        <v>140</v>
      </c>
      <c r="E40" s="38">
        <f>$F$1/100*Table4[[#This Row],[% Portfolio]]</f>
        <v>117.5</v>
      </c>
      <c r="F40" s="42">
        <v>2.35</v>
      </c>
      <c r="G40" s="45">
        <v>7.37</v>
      </c>
      <c r="H40">
        <f t="shared" si="1"/>
        <v>15.943012211668927</v>
      </c>
    </row>
    <row r="41" spans="4:13" x14ac:dyDescent="0.35">
      <c r="D41" s="42" t="s">
        <v>141</v>
      </c>
      <c r="E41" s="38">
        <f>$F$1/100*Table4[[#This Row],[% Portfolio]]</f>
        <v>54.500000000000007</v>
      </c>
      <c r="F41" s="42">
        <v>1.0900000000000001</v>
      </c>
      <c r="G41" s="45">
        <v>23.91</v>
      </c>
      <c r="H41">
        <f t="shared" si="1"/>
        <v>2.2793810121288165</v>
      </c>
    </row>
    <row r="42" spans="4:13" x14ac:dyDescent="0.35">
      <c r="D42" s="42" t="s">
        <v>142</v>
      </c>
      <c r="E42" s="38">
        <f>$F$1/100*Table4[[#This Row],[% Portfolio]]</f>
        <v>44.5</v>
      </c>
      <c r="F42" s="42">
        <v>0.89</v>
      </c>
      <c r="G42" s="45">
        <v>30.71</v>
      </c>
      <c r="H42">
        <f t="shared" si="1"/>
        <v>1.4490394008466296</v>
      </c>
      <c r="M42" s="45"/>
    </row>
    <row r="43" spans="4:13" x14ac:dyDescent="0.35">
      <c r="D43" s="42" t="s">
        <v>143</v>
      </c>
      <c r="E43" s="38">
        <f>$F$1/100*Table4[[#This Row],[% Portfolio]]</f>
        <v>31</v>
      </c>
      <c r="F43" s="42">
        <v>0.62</v>
      </c>
      <c r="G43" s="45">
        <v>11.21</v>
      </c>
      <c r="H43">
        <f t="shared" si="1"/>
        <v>2.7653880463871543</v>
      </c>
      <c r="M43" s="45"/>
    </row>
    <row r="44" spans="4:13" x14ac:dyDescent="0.35">
      <c r="D44" s="42" t="s">
        <v>144</v>
      </c>
      <c r="E44" s="38">
        <f>$F$1/100*Table4[[#This Row],[% Portfolio]]</f>
        <v>28.999999999999996</v>
      </c>
      <c r="F44" s="42">
        <v>0.57999999999999996</v>
      </c>
      <c r="G44" s="45">
        <v>39.340000000000003</v>
      </c>
      <c r="H44">
        <f t="shared" si="1"/>
        <v>0.73716319267920671</v>
      </c>
    </row>
    <row r="45" spans="4:13" ht="15.65" customHeight="1" x14ac:dyDescent="0.35">
      <c r="D45" s="42" t="s">
        <v>145</v>
      </c>
      <c r="E45" s="38">
        <f>$F$1/100*Table4[[#This Row],[% Portfolio]]</f>
        <v>27.500000000000004</v>
      </c>
      <c r="F45" s="42">
        <v>0.55000000000000004</v>
      </c>
      <c r="G45" s="45">
        <v>32.880000000000003</v>
      </c>
      <c r="H45">
        <f t="shared" si="1"/>
        <v>0.83637469586374702</v>
      </c>
    </row>
    <row r="46" spans="4:13" x14ac:dyDescent="0.35">
      <c r="D46" s="42" t="s">
        <v>146</v>
      </c>
      <c r="E46" s="38">
        <f>$F$1/100*Table4[[#This Row],[% Portfolio]]</f>
        <v>9.5</v>
      </c>
      <c r="F46" s="42">
        <v>0.19</v>
      </c>
      <c r="G46" s="45">
        <v>15.89</v>
      </c>
      <c r="H46">
        <f t="shared" si="1"/>
        <v>0.59786028949024539</v>
      </c>
    </row>
    <row r="47" spans="4:13" x14ac:dyDescent="0.35">
      <c r="D47" s="42" t="s">
        <v>147</v>
      </c>
      <c r="E47" s="38">
        <f>$F$1/100*Table4[[#This Row],[% Portfolio]]</f>
        <v>4</v>
      </c>
      <c r="F47" s="42">
        <v>0.08</v>
      </c>
      <c r="G47" s="45">
        <v>9.4499999999999993</v>
      </c>
      <c r="H47">
        <f t="shared" si="1"/>
        <v>0.42328042328042331</v>
      </c>
    </row>
    <row r="48" spans="4:13" x14ac:dyDescent="0.35">
      <c r="D48" s="42" t="s">
        <v>148</v>
      </c>
      <c r="E48" s="38">
        <f>$F$1/100*Table4[[#This Row],[% Portfolio]]</f>
        <v>1</v>
      </c>
      <c r="F48" s="42">
        <v>0.02</v>
      </c>
      <c r="G48" s="45">
        <v>21.4</v>
      </c>
      <c r="H48">
        <f>E48/G48</f>
        <v>4.6728971962616828E-2</v>
      </c>
    </row>
    <row r="49" spans="4:15" x14ac:dyDescent="0.35">
      <c r="D49" t="s">
        <v>154</v>
      </c>
      <c r="E49" s="38">
        <f>$F$1/100*Table4[[#This Row],[% Portfolio]]</f>
        <v>470.5</v>
      </c>
      <c r="F49">
        <v>9.41</v>
      </c>
      <c r="G49" s="45">
        <v>19.93</v>
      </c>
      <c r="H49">
        <f>E49/G49</f>
        <v>23.607626693426994</v>
      </c>
      <c r="I49" s="45">
        <v>9.51</v>
      </c>
      <c r="J49" t="s">
        <v>156</v>
      </c>
    </row>
    <row r="50" spans="4:15" x14ac:dyDescent="0.35">
      <c r="M50" s="6"/>
    </row>
    <row r="51" spans="4:15" x14ac:dyDescent="0.35">
      <c r="M51" s="6"/>
    </row>
    <row r="52" spans="4:15" x14ac:dyDescent="0.35">
      <c r="H52" s="45"/>
    </row>
    <row r="54" spans="4:15" x14ac:dyDescent="0.35">
      <c r="H54" s="24"/>
      <c r="O54" s="45"/>
    </row>
    <row r="56" spans="4:15" x14ac:dyDescent="0.35">
      <c r="E56">
        <f>SUM(Table4[Total Purchase])</f>
        <v>4948</v>
      </c>
    </row>
    <row r="58" spans="4:15" x14ac:dyDescent="0.35">
      <c r="E58">
        <f>SUM(E3:E37)+SUM(E49)*I49+SUM(E38:E48)*I38</f>
        <v>36101.235000000001</v>
      </c>
    </row>
  </sheetData>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D35"/>
  <sheetViews>
    <sheetView workbookViewId="0">
      <selection activeCell="D3" sqref="D3:D24"/>
    </sheetView>
  </sheetViews>
  <sheetFormatPr defaultRowHeight="14.5" x14ac:dyDescent="0.35"/>
  <cols>
    <col min="2" max="2" width="9.1796875" customWidth="1"/>
  </cols>
  <sheetData>
    <row r="2" spans="1:4" x14ac:dyDescent="0.35">
      <c r="A2" t="s">
        <v>91</v>
      </c>
      <c r="B2" t="s">
        <v>89</v>
      </c>
      <c r="C2" t="s">
        <v>90</v>
      </c>
      <c r="D2" t="s">
        <v>92</v>
      </c>
    </row>
    <row r="3" spans="1:4" x14ac:dyDescent="0.35">
      <c r="A3" s="1">
        <v>43336</v>
      </c>
      <c r="B3" s="26">
        <v>30490</v>
      </c>
      <c r="C3" s="26">
        <v>31490</v>
      </c>
      <c r="D3" s="27">
        <f t="shared" ref="D3:D23" si="0">(C3-C4)/C4</f>
        <v>1.6134236850596968E-2</v>
      </c>
    </row>
    <row r="4" spans="1:4" x14ac:dyDescent="0.35">
      <c r="A4" s="1">
        <v>43335</v>
      </c>
      <c r="B4" s="26">
        <v>29990</v>
      </c>
      <c r="C4" s="26">
        <v>30990</v>
      </c>
      <c r="D4" s="27">
        <f t="shared" si="0"/>
        <v>4.8638132295719845E-3</v>
      </c>
    </row>
    <row r="5" spans="1:4" x14ac:dyDescent="0.35">
      <c r="A5" s="1">
        <v>43334</v>
      </c>
      <c r="B5" s="26">
        <v>29840</v>
      </c>
      <c r="C5" s="26">
        <v>30840</v>
      </c>
      <c r="D5" s="27">
        <f t="shared" si="0"/>
        <v>8.1726054266100037E-3</v>
      </c>
    </row>
    <row r="6" spans="1:4" x14ac:dyDescent="0.35">
      <c r="A6" s="1">
        <v>43333</v>
      </c>
      <c r="B6" s="26">
        <v>29590</v>
      </c>
      <c r="C6" s="26">
        <v>30590</v>
      </c>
      <c r="D6" s="27">
        <f t="shared" si="0"/>
        <v>3.9382999671808338E-3</v>
      </c>
    </row>
    <row r="7" spans="1:4" x14ac:dyDescent="0.35">
      <c r="A7" s="1">
        <v>43329</v>
      </c>
      <c r="B7" s="26">
        <v>29470</v>
      </c>
      <c r="C7" s="26">
        <v>30470</v>
      </c>
      <c r="D7" s="27">
        <f t="shared" si="0"/>
        <v>-6.5595277140045915E-4</v>
      </c>
    </row>
    <row r="8" spans="1:4" x14ac:dyDescent="0.35">
      <c r="A8" s="1">
        <v>43328</v>
      </c>
      <c r="B8" s="26">
        <v>29490</v>
      </c>
      <c r="C8" s="26">
        <v>30490</v>
      </c>
      <c r="D8" s="27">
        <f t="shared" si="0"/>
        <v>-7.1637902963204167E-3</v>
      </c>
    </row>
    <row r="9" spans="1:4" x14ac:dyDescent="0.35">
      <c r="A9" s="1">
        <v>43327</v>
      </c>
      <c r="B9" s="26">
        <v>29710</v>
      </c>
      <c r="C9" s="26">
        <v>30710</v>
      </c>
      <c r="D9" s="27">
        <f t="shared" si="0"/>
        <v>9.5332018408941493E-3</v>
      </c>
    </row>
    <row r="10" spans="1:4" x14ac:dyDescent="0.35">
      <c r="A10" s="1">
        <v>43326</v>
      </c>
      <c r="B10" s="26">
        <v>29420</v>
      </c>
      <c r="C10" s="26">
        <v>30420</v>
      </c>
      <c r="D10" s="27">
        <f t="shared" si="0"/>
        <v>-9.765625E-3</v>
      </c>
    </row>
    <row r="11" spans="1:4" x14ac:dyDescent="0.35">
      <c r="A11" s="1">
        <v>43325</v>
      </c>
      <c r="B11" s="26">
        <v>29720</v>
      </c>
      <c r="C11" s="26">
        <v>30720</v>
      </c>
      <c r="D11" s="27">
        <f t="shared" si="0"/>
        <v>2.914572864321608E-2</v>
      </c>
    </row>
    <row r="12" spans="1:4" x14ac:dyDescent="0.35">
      <c r="A12" s="1">
        <v>43322</v>
      </c>
      <c r="B12" s="26">
        <v>28850</v>
      </c>
      <c r="C12" s="26">
        <v>29850</v>
      </c>
      <c r="D12" s="27">
        <f t="shared" si="0"/>
        <v>3.9707419017763847E-2</v>
      </c>
    </row>
    <row r="13" spans="1:4" x14ac:dyDescent="0.35">
      <c r="A13" s="1">
        <v>43321</v>
      </c>
      <c r="B13" s="26">
        <v>27710</v>
      </c>
      <c r="C13" s="26">
        <v>28710</v>
      </c>
      <c r="D13" s="27">
        <f t="shared" si="0"/>
        <v>1.7003188097768331E-2</v>
      </c>
    </row>
    <row r="14" spans="1:4" x14ac:dyDescent="0.35">
      <c r="A14" s="1">
        <v>43320</v>
      </c>
      <c r="B14" s="26">
        <v>27230</v>
      </c>
      <c r="C14" s="26">
        <v>28230</v>
      </c>
      <c r="D14" s="27">
        <f t="shared" si="0"/>
        <v>7.1352122725651087E-3</v>
      </c>
    </row>
    <row r="15" spans="1:4" x14ac:dyDescent="0.35">
      <c r="A15" s="1">
        <v>43319</v>
      </c>
      <c r="B15" s="26">
        <v>27030</v>
      </c>
      <c r="C15" s="26">
        <v>28030</v>
      </c>
      <c r="D15" s="27">
        <f t="shared" si="0"/>
        <v>-1.4250089063056644E-3</v>
      </c>
    </row>
    <row r="16" spans="1:4" x14ac:dyDescent="0.35">
      <c r="A16" s="1">
        <v>43318</v>
      </c>
      <c r="B16" s="26">
        <v>27070</v>
      </c>
      <c r="C16" s="26">
        <v>28070</v>
      </c>
      <c r="D16" s="27">
        <f t="shared" si="0"/>
        <v>1.7844396859386152E-3</v>
      </c>
    </row>
    <row r="17" spans="1:4" x14ac:dyDescent="0.35">
      <c r="A17" s="1">
        <v>43315</v>
      </c>
      <c r="B17" s="26">
        <v>27020</v>
      </c>
      <c r="C17" s="26">
        <v>28020</v>
      </c>
      <c r="D17" s="27">
        <f t="shared" si="0"/>
        <v>-6.0305072720822986E-3</v>
      </c>
    </row>
    <row r="18" spans="1:4" x14ac:dyDescent="0.35">
      <c r="A18" s="1">
        <v>43314</v>
      </c>
      <c r="B18" s="26">
        <v>27190</v>
      </c>
      <c r="C18" s="26">
        <v>28190</v>
      </c>
      <c r="D18" s="27">
        <f t="shared" si="0"/>
        <v>-1.4169323414806943E-3</v>
      </c>
    </row>
    <row r="19" spans="1:4" x14ac:dyDescent="0.35">
      <c r="A19" s="1">
        <v>43313</v>
      </c>
      <c r="B19" s="26">
        <v>27230</v>
      </c>
      <c r="C19" s="26">
        <v>28230</v>
      </c>
      <c r="D19" s="27">
        <f t="shared" si="0"/>
        <v>6.4171122994652408E-3</v>
      </c>
    </row>
    <row r="20" spans="1:4" x14ac:dyDescent="0.35">
      <c r="A20" s="1">
        <v>43312</v>
      </c>
      <c r="B20" s="26">
        <v>27050</v>
      </c>
      <c r="C20" s="26">
        <v>28050</v>
      </c>
      <c r="D20" s="27">
        <f t="shared" si="0"/>
        <v>7.1352122725651087E-4</v>
      </c>
    </row>
    <row r="21" spans="1:4" x14ac:dyDescent="0.35">
      <c r="A21" s="1">
        <v>43311</v>
      </c>
      <c r="B21" s="26">
        <v>27030</v>
      </c>
      <c r="C21" s="26">
        <v>28030</v>
      </c>
      <c r="D21" s="27">
        <f t="shared" si="0"/>
        <v>-3.566333808844508E-4</v>
      </c>
    </row>
    <row r="22" spans="1:4" x14ac:dyDescent="0.35">
      <c r="A22" s="1">
        <v>43308</v>
      </c>
      <c r="B22" s="26">
        <v>27040</v>
      </c>
      <c r="C22" s="26">
        <v>28040</v>
      </c>
      <c r="D22" s="27">
        <f t="shared" si="0"/>
        <v>-1.77999288002848E-3</v>
      </c>
    </row>
    <row r="23" spans="1:4" x14ac:dyDescent="0.35">
      <c r="A23" s="1">
        <v>43307</v>
      </c>
      <c r="B23" s="26">
        <v>27090</v>
      </c>
      <c r="C23" s="26">
        <v>28090</v>
      </c>
      <c r="D23" s="27">
        <f t="shared" si="0"/>
        <v>1.0691375623663579E-3</v>
      </c>
    </row>
    <row r="24" spans="1:4" x14ac:dyDescent="0.35">
      <c r="A24" s="1">
        <v>43306</v>
      </c>
      <c r="B24" s="26">
        <v>27060</v>
      </c>
      <c r="C24" s="26">
        <v>28060</v>
      </c>
      <c r="D24" s="27" t="e">
        <f>(C24-J26)/J26</f>
        <v>#DIV/0!</v>
      </c>
    </row>
    <row r="25" spans="1:4" x14ac:dyDescent="0.35">
      <c r="A25" s="1"/>
    </row>
    <row r="26" spans="1:4" x14ac:dyDescent="0.35">
      <c r="A26" s="1"/>
    </row>
    <row r="27" spans="1:4" x14ac:dyDescent="0.35">
      <c r="A27" s="1"/>
    </row>
    <row r="28" spans="1:4" x14ac:dyDescent="0.35">
      <c r="A28" s="1"/>
    </row>
    <row r="29" spans="1:4" x14ac:dyDescent="0.35">
      <c r="A29" s="1"/>
    </row>
    <row r="30" spans="1:4" x14ac:dyDescent="0.35">
      <c r="A30" s="1"/>
    </row>
    <row r="31" spans="1:4" x14ac:dyDescent="0.35">
      <c r="A31" s="1"/>
    </row>
    <row r="32" spans="1:4" x14ac:dyDescent="0.35">
      <c r="A32" s="1"/>
    </row>
    <row r="33" spans="1:1" x14ac:dyDescent="0.35">
      <c r="A33" s="1"/>
    </row>
    <row r="34" spans="1:1" x14ac:dyDescent="0.35">
      <c r="A34" s="1"/>
    </row>
    <row r="35" spans="1:1" x14ac:dyDescent="0.35">
      <c r="A35" s="1"/>
    </row>
  </sheetData>
  <conditionalFormatting sqref="D3:D2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J77"/>
  <sheetViews>
    <sheetView topLeftCell="A7" workbookViewId="0">
      <selection activeCell="B9" sqref="B9"/>
    </sheetView>
  </sheetViews>
  <sheetFormatPr defaultRowHeight="14.5" x14ac:dyDescent="0.35"/>
  <cols>
    <col min="1" max="1" width="21.453125" customWidth="1"/>
    <col min="2" max="2" width="15.6328125" style="6" customWidth="1"/>
    <col min="3" max="4" width="10.7265625" style="6" customWidth="1"/>
    <col min="5" max="5" width="26.26953125" style="6" customWidth="1"/>
    <col min="6" max="16" width="11.81640625" bestFit="1" customWidth="1"/>
  </cols>
  <sheetData>
    <row r="3" spans="1:10" x14ac:dyDescent="0.35">
      <c r="A3" s="18" t="s">
        <v>96</v>
      </c>
      <c r="B3" s="18" t="s">
        <v>87</v>
      </c>
      <c r="C3"/>
      <c r="D3"/>
      <c r="E3"/>
    </row>
    <row r="4" spans="1:10" x14ac:dyDescent="0.35">
      <c r="A4" s="18" t="s">
        <v>85</v>
      </c>
      <c r="B4" t="s">
        <v>100</v>
      </c>
      <c r="C4" t="s">
        <v>86</v>
      </c>
      <c r="D4"/>
      <c r="E4"/>
    </row>
    <row r="5" spans="1:10" x14ac:dyDescent="0.35">
      <c r="A5" s="19" t="s">
        <v>166</v>
      </c>
      <c r="B5" s="21"/>
      <c r="C5" s="21"/>
      <c r="D5"/>
      <c r="E5" s="20"/>
      <c r="F5" s="21"/>
      <c r="G5" s="24"/>
    </row>
    <row r="6" spans="1:10" x14ac:dyDescent="0.35">
      <c r="A6" s="20" t="s">
        <v>160</v>
      </c>
      <c r="B6" s="21">
        <v>46.695613000000002</v>
      </c>
      <c r="C6" s="21">
        <v>46.695613000000002</v>
      </c>
      <c r="D6"/>
      <c r="G6" s="21"/>
    </row>
    <row r="7" spans="1:10" x14ac:dyDescent="0.35">
      <c r="A7" s="20" t="s">
        <v>167</v>
      </c>
      <c r="B7" s="21">
        <v>46.793086000000002</v>
      </c>
      <c r="C7" s="21">
        <v>46.793086000000002</v>
      </c>
      <c r="D7"/>
      <c r="G7" s="20" t="s">
        <v>160</v>
      </c>
      <c r="H7" s="21">
        <v>3.7350189999999999</v>
      </c>
      <c r="I7" s="23">
        <f>(H8-H7)/H7</f>
        <v>3.3415626533626806E-2</v>
      </c>
      <c r="J7" t="s">
        <v>99</v>
      </c>
    </row>
    <row r="8" spans="1:10" x14ac:dyDescent="0.35">
      <c r="A8" s="20" t="s">
        <v>168</v>
      </c>
      <c r="B8" s="21">
        <v>46.108378999999999</v>
      </c>
      <c r="C8" s="21">
        <v>46.108378999999999</v>
      </c>
      <c r="D8"/>
      <c r="E8"/>
      <c r="G8" s="20" t="s">
        <v>161</v>
      </c>
      <c r="H8" s="21">
        <v>3.8598270000000001</v>
      </c>
    </row>
    <row r="9" spans="1:10" x14ac:dyDescent="0.35">
      <c r="A9" s="20" t="s">
        <v>169</v>
      </c>
      <c r="B9" s="21">
        <v>44.326161999999997</v>
      </c>
      <c r="C9" s="21">
        <v>44.326161999999997</v>
      </c>
      <c r="D9"/>
      <c r="E9"/>
    </row>
    <row r="10" spans="1:10" x14ac:dyDescent="0.35">
      <c r="A10" s="20" t="s">
        <v>170</v>
      </c>
      <c r="B10" s="21">
        <v>43.226236999999998</v>
      </c>
      <c r="C10" s="21">
        <v>43.226236999999998</v>
      </c>
      <c r="D10"/>
      <c r="E10"/>
    </row>
    <row r="11" spans="1:10" x14ac:dyDescent="0.35">
      <c r="A11" s="20" t="s">
        <v>171</v>
      </c>
      <c r="B11" s="21">
        <v>43.770311999999997</v>
      </c>
      <c r="C11" s="21">
        <v>43.770311999999997</v>
      </c>
      <c r="D11"/>
      <c r="E11"/>
    </row>
    <row r="12" spans="1:10" x14ac:dyDescent="0.35">
      <c r="A12" s="20" t="s">
        <v>172</v>
      </c>
      <c r="B12" s="21">
        <v>42.558290999999997</v>
      </c>
      <c r="C12" s="21">
        <v>42.558290999999997</v>
      </c>
      <c r="D12"/>
      <c r="E12"/>
    </row>
    <row r="13" spans="1:10" x14ac:dyDescent="0.35">
      <c r="A13" s="20" t="s">
        <v>173</v>
      </c>
      <c r="B13" s="21">
        <v>41.054988000000002</v>
      </c>
      <c r="C13" s="21">
        <v>41.054988000000002</v>
      </c>
      <c r="D13"/>
      <c r="E13"/>
    </row>
    <row r="14" spans="1:10" x14ac:dyDescent="0.35">
      <c r="A14" s="20" t="s">
        <v>174</v>
      </c>
      <c r="B14" s="21">
        <v>39.627904000000001</v>
      </c>
      <c r="C14" s="21">
        <v>39.627904000000001</v>
      </c>
      <c r="D14"/>
      <c r="E14"/>
    </row>
    <row r="15" spans="1:10" x14ac:dyDescent="0.35">
      <c r="A15" s="20" t="s">
        <v>175</v>
      </c>
      <c r="B15" s="21">
        <v>42.295451</v>
      </c>
      <c r="C15" s="21">
        <v>42.295451</v>
      </c>
      <c r="D15"/>
      <c r="E15"/>
    </row>
    <row r="16" spans="1:10" x14ac:dyDescent="0.35">
      <c r="A16" s="20" t="s">
        <v>176</v>
      </c>
      <c r="B16" s="21">
        <v>42.225417</v>
      </c>
      <c r="C16" s="21">
        <v>42.225417</v>
      </c>
      <c r="D16"/>
      <c r="E16"/>
    </row>
    <row r="17" spans="1:5" x14ac:dyDescent="0.35">
      <c r="A17" s="20" t="s">
        <v>177</v>
      </c>
      <c r="B17" s="21">
        <v>41.275413</v>
      </c>
      <c r="C17" s="21">
        <v>41.275413</v>
      </c>
      <c r="D17"/>
      <c r="E17"/>
    </row>
    <row r="18" spans="1:5" x14ac:dyDescent="0.35">
      <c r="A18" s="20" t="s">
        <v>178</v>
      </c>
      <c r="B18" s="21">
        <v>40.867404000000001</v>
      </c>
      <c r="C18" s="21">
        <v>40.867404000000001</v>
      </c>
      <c r="D18"/>
      <c r="E18"/>
    </row>
    <row r="19" spans="1:5" x14ac:dyDescent="0.35">
      <c r="A19" s="20" t="s">
        <v>179</v>
      </c>
      <c r="B19" s="21">
        <v>41.215327000000002</v>
      </c>
      <c r="C19" s="21">
        <v>41.215327000000002</v>
      </c>
      <c r="D19"/>
      <c r="E19"/>
    </row>
    <row r="20" spans="1:5" x14ac:dyDescent="0.35">
      <c r="A20" s="20" t="s">
        <v>180</v>
      </c>
      <c r="B20" s="21">
        <v>41.095253</v>
      </c>
      <c r="C20" s="21">
        <v>41.095253</v>
      </c>
      <c r="D20"/>
      <c r="E20"/>
    </row>
    <row r="21" spans="1:5" x14ac:dyDescent="0.35">
      <c r="A21" s="20" t="s">
        <v>181</v>
      </c>
      <c r="B21" s="21">
        <v>40.668745999999999</v>
      </c>
      <c r="C21" s="21">
        <v>40.668745999999999</v>
      </c>
      <c r="D21"/>
      <c r="E21"/>
    </row>
    <row r="22" spans="1:5" x14ac:dyDescent="0.35">
      <c r="A22" s="20" t="s">
        <v>182</v>
      </c>
      <c r="B22" s="21">
        <v>40.313350999999997</v>
      </c>
      <c r="C22" s="21">
        <v>40.313350999999997</v>
      </c>
      <c r="D22"/>
      <c r="E22"/>
    </row>
    <row r="23" spans="1:5" x14ac:dyDescent="0.35">
      <c r="A23" s="20" t="s">
        <v>183</v>
      </c>
      <c r="B23" s="21">
        <v>41.810218999999996</v>
      </c>
      <c r="C23" s="21">
        <v>41.810218999999996</v>
      </c>
      <c r="D23"/>
      <c r="E23"/>
    </row>
    <row r="24" spans="1:5" x14ac:dyDescent="0.35">
      <c r="A24" s="20" t="s">
        <v>184</v>
      </c>
      <c r="B24" s="21">
        <v>41.859889000000003</v>
      </c>
      <c r="C24" s="21">
        <v>41.859889000000003</v>
      </c>
      <c r="D24"/>
      <c r="E24"/>
    </row>
    <row r="25" spans="1:5" x14ac:dyDescent="0.35">
      <c r="A25" s="20" t="s">
        <v>185</v>
      </c>
      <c r="B25" s="21">
        <v>41.365001999999997</v>
      </c>
      <c r="C25" s="21">
        <v>41.365001999999997</v>
      </c>
      <c r="D25"/>
      <c r="E25"/>
    </row>
    <row r="26" spans="1:5" x14ac:dyDescent="0.35">
      <c r="A26" s="20" t="s">
        <v>186</v>
      </c>
      <c r="B26" s="21">
        <v>42.044455999999997</v>
      </c>
      <c r="C26" s="21">
        <v>42.044455999999997</v>
      </c>
      <c r="D26"/>
      <c r="E26"/>
    </row>
    <row r="27" spans="1:5" x14ac:dyDescent="0.35">
      <c r="A27" s="20" t="s">
        <v>161</v>
      </c>
      <c r="B27" s="21">
        <v>42.236829999999998</v>
      </c>
      <c r="C27" s="21">
        <v>42.236829999999998</v>
      </c>
      <c r="D27"/>
      <c r="E27"/>
    </row>
    <row r="28" spans="1:5" x14ac:dyDescent="0.35">
      <c r="A28" s="19" t="s">
        <v>162</v>
      </c>
      <c r="B28" s="21"/>
      <c r="C28" s="21"/>
      <c r="D28"/>
      <c r="E28"/>
    </row>
    <row r="29" spans="1:5" x14ac:dyDescent="0.35">
      <c r="A29" s="20" t="s">
        <v>163</v>
      </c>
      <c r="B29" s="21">
        <v>44.604545999999999</v>
      </c>
      <c r="C29" s="21">
        <v>44.604545999999999</v>
      </c>
      <c r="D29"/>
      <c r="E29"/>
    </row>
    <row r="30" spans="1:5" x14ac:dyDescent="0.35">
      <c r="A30" s="20" t="s">
        <v>164</v>
      </c>
      <c r="B30" s="21">
        <v>44.860002999999999</v>
      </c>
      <c r="C30" s="21">
        <v>44.860002999999999</v>
      </c>
      <c r="D30"/>
      <c r="E30"/>
    </row>
    <row r="31" spans="1:5" x14ac:dyDescent="0.35">
      <c r="A31" s="20" t="s">
        <v>165</v>
      </c>
      <c r="B31" s="21">
        <v>44.870552000000004</v>
      </c>
      <c r="C31" s="21">
        <v>44.870552000000004</v>
      </c>
      <c r="D31"/>
      <c r="E31"/>
    </row>
    <row r="32" spans="1:5" x14ac:dyDescent="0.35">
      <c r="A32" s="20" t="s">
        <v>187</v>
      </c>
      <c r="B32" s="21">
        <v>44.819046999999998</v>
      </c>
      <c r="C32" s="21">
        <v>44.819046999999998</v>
      </c>
      <c r="D32"/>
      <c r="E32"/>
    </row>
    <row r="33" spans="1:5" x14ac:dyDescent="0.35">
      <c r="A33" s="20" t="s">
        <v>188</v>
      </c>
      <c r="B33" s="21">
        <v>44.050659000000003</v>
      </c>
      <c r="C33" s="21">
        <v>44.050659000000003</v>
      </c>
      <c r="D33"/>
      <c r="E33"/>
    </row>
    <row r="34" spans="1:5" x14ac:dyDescent="0.35">
      <c r="A34" s="20" t="s">
        <v>189</v>
      </c>
      <c r="B34" s="21">
        <v>42.932172000000001</v>
      </c>
      <c r="C34" s="21">
        <v>42.932172000000001</v>
      </c>
      <c r="D34"/>
    </row>
    <row r="35" spans="1:5" x14ac:dyDescent="0.35">
      <c r="A35" s="20" t="s">
        <v>190</v>
      </c>
      <c r="B35" s="21">
        <v>42.243625000000002</v>
      </c>
      <c r="C35" s="21">
        <v>42.243625000000002</v>
      </c>
      <c r="D35"/>
    </row>
    <row r="36" spans="1:5" x14ac:dyDescent="0.35">
      <c r="A36" s="20" t="s">
        <v>191</v>
      </c>
      <c r="B36" s="21">
        <v>40.926623999999997</v>
      </c>
      <c r="C36" s="21">
        <v>40.926623999999997</v>
      </c>
    </row>
    <row r="37" spans="1:5" x14ac:dyDescent="0.35">
      <c r="A37" s="20" t="s">
        <v>192</v>
      </c>
      <c r="B37" s="21">
        <v>42.185065999999999</v>
      </c>
      <c r="C37" s="21">
        <v>42.185065999999999</v>
      </c>
    </row>
    <row r="38" spans="1:5" x14ac:dyDescent="0.35">
      <c r="A38" s="20" t="s">
        <v>193</v>
      </c>
      <c r="B38" s="21">
        <v>43.795748000000003</v>
      </c>
      <c r="C38" s="21">
        <v>43.795748000000003</v>
      </c>
    </row>
    <row r="39" spans="1:5" x14ac:dyDescent="0.35">
      <c r="A39" s="20" t="s">
        <v>194</v>
      </c>
      <c r="B39" s="21">
        <v>44.553347000000002</v>
      </c>
      <c r="C39" s="21">
        <v>44.553347000000002</v>
      </c>
    </row>
    <row r="40" spans="1:5" x14ac:dyDescent="0.35">
      <c r="A40" s="20" t="s">
        <v>198</v>
      </c>
      <c r="B40" s="21">
        <v>42.439169</v>
      </c>
      <c r="C40" s="21">
        <v>42.439169</v>
      </c>
    </row>
    <row r="41" spans="1:5" x14ac:dyDescent="0.35">
      <c r="A41" s="20" t="s">
        <v>199</v>
      </c>
      <c r="B41" s="21">
        <v>43.240862</v>
      </c>
      <c r="C41" s="21">
        <v>43.240862</v>
      </c>
    </row>
    <row r="42" spans="1:5" x14ac:dyDescent="0.35">
      <c r="A42" s="20" t="s">
        <v>200</v>
      </c>
      <c r="B42" s="21">
        <v>43.317486000000002</v>
      </c>
      <c r="C42" s="21">
        <v>43.317486000000002</v>
      </c>
    </row>
    <row r="43" spans="1:5" x14ac:dyDescent="0.35">
      <c r="A43" s="20" t="s">
        <v>201</v>
      </c>
      <c r="B43" s="21">
        <v>43.923167999999997</v>
      </c>
      <c r="C43" s="21">
        <v>43.923167999999997</v>
      </c>
    </row>
    <row r="44" spans="1:5" x14ac:dyDescent="0.35">
      <c r="A44" s="20" t="s">
        <v>202</v>
      </c>
      <c r="B44" s="21">
        <v>44.618946000000001</v>
      </c>
      <c r="C44" s="21">
        <v>44.618946000000001</v>
      </c>
    </row>
    <row r="45" spans="1:5" x14ac:dyDescent="0.35">
      <c r="A45" s="20" t="s">
        <v>203</v>
      </c>
      <c r="B45" s="21">
        <v>44.028709999999997</v>
      </c>
      <c r="C45" s="21">
        <v>44.028709999999997</v>
      </c>
    </row>
    <row r="46" spans="1:5" x14ac:dyDescent="0.35">
      <c r="A46" s="20" t="s">
        <v>204</v>
      </c>
      <c r="B46" s="21">
        <v>44.413195999999999</v>
      </c>
      <c r="C46" s="21">
        <v>44.413195999999999</v>
      </c>
    </row>
    <row r="47" spans="1:5" x14ac:dyDescent="0.35">
      <c r="A47" s="20" t="s">
        <v>206</v>
      </c>
      <c r="B47" s="21">
        <v>44.634779000000002</v>
      </c>
      <c r="C47" s="21">
        <v>44.634779000000002</v>
      </c>
    </row>
    <row r="48" spans="1:5" x14ac:dyDescent="0.35">
      <c r="A48" s="19" t="s">
        <v>209</v>
      </c>
      <c r="B48" s="21"/>
      <c r="C48" s="21"/>
    </row>
    <row r="49" spans="1:3" x14ac:dyDescent="0.35">
      <c r="A49" s="20" t="s">
        <v>210</v>
      </c>
      <c r="B49" s="21">
        <v>45.451331000000003</v>
      </c>
      <c r="C49" s="21">
        <v>45.451331000000003</v>
      </c>
    </row>
    <row r="50" spans="1:3" x14ac:dyDescent="0.35">
      <c r="A50" s="20" t="s">
        <v>213</v>
      </c>
      <c r="B50" s="21">
        <v>45.563462999999999</v>
      </c>
      <c r="C50" s="21">
        <v>45.563462999999999</v>
      </c>
    </row>
    <row r="51" spans="1:3" x14ac:dyDescent="0.35">
      <c r="A51" s="20" t="s">
        <v>215</v>
      </c>
      <c r="B51" s="21">
        <v>45.398211000000003</v>
      </c>
      <c r="C51" s="21">
        <v>45.398211000000003</v>
      </c>
    </row>
    <row r="52" spans="1:3" x14ac:dyDescent="0.35">
      <c r="A52" s="19" t="s">
        <v>86</v>
      </c>
      <c r="B52" s="21">
        <v>39.627904000000001</v>
      </c>
      <c r="C52" s="21">
        <v>39.627904000000001</v>
      </c>
    </row>
    <row r="53" spans="1:3" x14ac:dyDescent="0.35">
      <c r="B53"/>
      <c r="C53"/>
    </row>
    <row r="54" spans="1:3" x14ac:dyDescent="0.35">
      <c r="B54"/>
      <c r="C54"/>
    </row>
    <row r="55" spans="1:3" x14ac:dyDescent="0.35">
      <c r="B55"/>
      <c r="C55"/>
    </row>
    <row r="56" spans="1:3" x14ac:dyDescent="0.35">
      <c r="B56"/>
      <c r="C56"/>
    </row>
    <row r="57" spans="1:3" x14ac:dyDescent="0.35">
      <c r="B57"/>
      <c r="C57"/>
    </row>
    <row r="58" spans="1:3" x14ac:dyDescent="0.35">
      <c r="B58"/>
      <c r="C58"/>
    </row>
    <row r="59" spans="1:3" x14ac:dyDescent="0.35">
      <c r="B59"/>
      <c r="C59"/>
    </row>
    <row r="60" spans="1:3" x14ac:dyDescent="0.35">
      <c r="B60"/>
      <c r="C60"/>
    </row>
    <row r="61" spans="1:3" x14ac:dyDescent="0.35">
      <c r="B61"/>
      <c r="C61"/>
    </row>
    <row r="62" spans="1:3" x14ac:dyDescent="0.35">
      <c r="B62"/>
      <c r="C62"/>
    </row>
    <row r="63" spans="1:3" x14ac:dyDescent="0.35">
      <c r="B63"/>
      <c r="C63"/>
    </row>
    <row r="64" spans="1:3" x14ac:dyDescent="0.35">
      <c r="B64"/>
      <c r="C64"/>
    </row>
    <row r="65" spans="2:3" x14ac:dyDescent="0.35">
      <c r="B65"/>
      <c r="C65"/>
    </row>
    <row r="66" spans="2:3" x14ac:dyDescent="0.35">
      <c r="B66"/>
      <c r="C66"/>
    </row>
    <row r="67" spans="2:3" x14ac:dyDescent="0.35">
      <c r="B67"/>
      <c r="C67"/>
    </row>
    <row r="68" spans="2:3" x14ac:dyDescent="0.35">
      <c r="B68"/>
      <c r="C68"/>
    </row>
    <row r="69" spans="2:3" x14ac:dyDescent="0.35">
      <c r="B69"/>
      <c r="C69"/>
    </row>
    <row r="70" spans="2:3" x14ac:dyDescent="0.35">
      <c r="B70"/>
      <c r="C70"/>
    </row>
    <row r="71" spans="2:3" x14ac:dyDescent="0.35">
      <c r="B71"/>
      <c r="C71"/>
    </row>
    <row r="72" spans="2:3" x14ac:dyDescent="0.35">
      <c r="B72"/>
      <c r="C72"/>
    </row>
    <row r="73" spans="2:3" x14ac:dyDescent="0.35">
      <c r="B73"/>
      <c r="C73"/>
    </row>
    <row r="74" spans="2:3" x14ac:dyDescent="0.35">
      <c r="B74"/>
      <c r="C74"/>
    </row>
    <row r="75" spans="2:3" x14ac:dyDescent="0.35">
      <c r="B75"/>
      <c r="C75"/>
    </row>
    <row r="76" spans="2:3" x14ac:dyDescent="0.35">
      <c r="B76"/>
      <c r="C76"/>
    </row>
    <row r="77" spans="2:3" x14ac:dyDescent="0.35">
      <c r="B77"/>
      <c r="C77"/>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election activeCell="T13" sqref="T1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Gastos</vt:lpstr>
      <vt:lpstr>Extracto Bancario 2206-1607</vt:lpstr>
      <vt:lpstr>Sheet4</vt:lpstr>
      <vt:lpstr>Inversiones</vt:lpstr>
      <vt:lpstr>MP-Fondo</vt:lpstr>
      <vt:lpstr>Sheet2</vt:lpstr>
      <vt:lpstr>Dolar</vt:lpstr>
      <vt:lpstr>Tabla Apoyo</vt:lpstr>
      <vt:lpstr>Graficos</vt:lpstr>
      <vt:lpstr>Sheet1</vt:lpstr>
      <vt:lpstr>Mudanza</vt:lpstr>
      <vt:lpstr>Sheet3</vt:lpstr>
      <vt:lpstr>Haberes</vt:lpstr>
      <vt:lpstr>Extracto Nov18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maxxb</dc:creator>
  <cp:lastModifiedBy>maxxb</cp:lastModifiedBy>
  <dcterms:created xsi:type="dcterms:W3CDTF">2018-07-16T00:36:58Z</dcterms:created>
  <dcterms:modified xsi:type="dcterms:W3CDTF">2019-03-04T20:29:03Z</dcterms:modified>
</cp:coreProperties>
</file>