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ustomer\examples\external\DVM\LLC\testplans\"/>
    </mc:Choice>
  </mc:AlternateContent>
  <xr:revisionPtr revIDLastSave="0" documentId="8_{3CCC48B8-68AD-428C-BC3B-EFCC71A2D6A5}" xr6:coauthVersionLast="31" xr6:coauthVersionMax="31" xr10:uidLastSave="{00000000-0000-0000-0000-000000000000}"/>
  <bookViews>
    <workbookView xWindow="0" yWindow="210" windowWidth="18930" windowHeight="6105" xr2:uid="{00000000-000D-0000-FFFF-FFFF00000000}"/>
  </bookViews>
  <sheets>
    <sheet name="LLC_Open_Loop_Gain_Multi_Step" sheetId="2" r:id="rId1"/>
    <sheet name="LLC_Open_Loop_Gain_Single_Step" sheetId="1" r:id="rId2"/>
  </sheets>
  <definedNames>
    <definedName name="Cr" localSheetId="0">LLC_Open_Loop_Gain_Multi_Step!$B$8</definedName>
    <definedName name="Cr">LLC_Open_Loop_Gain_Single_Step!$B$8</definedName>
    <definedName name="Lp" localSheetId="0">LLC_Open_Loop_Gain_Multi_Step!$B$6</definedName>
    <definedName name="Lp">LLC_Open_Loop_Gain_Single_Step!$B$6</definedName>
    <definedName name="Lr" localSheetId="0">LLC_Open_Loop_Gain_Multi_Step!$B$7</definedName>
    <definedName name="Lr">LLC_Open_Loop_Gain_Single_Step!$B$7</definedName>
    <definedName name="NTurn" localSheetId="0">LLC_Open_Loop_Gain_Multi_Step!$B$9</definedName>
    <definedName name="NTurn">LLC_Open_Loop_Gain_Single_Step!$B$9</definedName>
    <definedName name="Qa">LLC_Open_Loop_Gain_Single_Step!$B$10</definedName>
    <definedName name="Qb">LLC_Open_Loop_Gain_Single_Step!$B$11</definedName>
    <definedName name="Qc">LLC_Open_Loop_Gain_Single_Step!$B$12</definedName>
    <definedName name="Qd" localSheetId="0">LLC_Open_Loop_Gain_Multi_Step!$B$13</definedName>
    <definedName name="Qd">LLC_Open_Loop_Gain_Single_Step!$B$13</definedName>
    <definedName name="Qe" localSheetId="0">LLC_Open_Loop_Gain_Multi_Step!#REF!</definedName>
    <definedName name="Qe">LLC_Open_Loop_Gain_Single_Step!#REF!</definedName>
    <definedName name="VIN" localSheetId="0">LLC_Open_Loop_Gain_Multi_Step!$B$5</definedName>
    <definedName name="VIN">LLC_Open_Loop_Gain_Single_Step!$B$5</definedName>
  </definedNames>
  <calcPr calcId="162913"/>
</workbook>
</file>

<file path=xl/calcChain.xml><?xml version="1.0" encoding="utf-8"?>
<calcChain xmlns="http://schemas.openxmlformats.org/spreadsheetml/2006/main">
  <c r="U41" i="2" l="1"/>
  <c r="Y41" i="2" l="1"/>
  <c r="W41" i="2"/>
  <c r="Z41" i="2" l="1"/>
  <c r="X41" i="2"/>
  <c r="V41" i="2"/>
  <c r="U40" i="2"/>
  <c r="C10" i="2" l="1"/>
  <c r="C11" i="2" s="1"/>
  <c r="C12" i="2" s="1"/>
  <c r="C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D39" i="2"/>
  <c r="C15" i="2" l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B40" i="2" s="1"/>
  <c r="C40" i="2"/>
  <c r="Y88" i="1"/>
  <c r="AA88" i="1"/>
  <c r="W88" i="1"/>
  <c r="AB88" i="1" l="1"/>
  <c r="Z88" i="1"/>
  <c r="X88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AA87" i="1" l="1"/>
  <c r="Y87" i="1"/>
  <c r="W87" i="1"/>
  <c r="F65" i="1" l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B88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P20" i="1" l="1"/>
  <c r="B15" i="1"/>
  <c r="I88" i="1" l="1"/>
  <c r="H88" i="1"/>
  <c r="E88" i="1"/>
  <c r="C88" i="1"/>
  <c r="D88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O88" i="1" l="1"/>
  <c r="J88" i="1"/>
  <c r="K88" i="1" s="1"/>
  <c r="N88" i="1"/>
  <c r="P88" i="1"/>
  <c r="V88" i="1" s="1"/>
  <c r="G16" i="1"/>
  <c r="J18" i="1"/>
  <c r="Q88" i="1" l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P38" i="1"/>
  <c r="P36" i="1"/>
  <c r="P35" i="1"/>
  <c r="J34" i="1"/>
  <c r="K34" i="1" s="1"/>
  <c r="N34" i="1"/>
  <c r="P33" i="1"/>
  <c r="N32" i="1"/>
  <c r="J31" i="1"/>
  <c r="K31" i="1" s="1"/>
  <c r="J30" i="1"/>
  <c r="K30" i="1" s="1"/>
  <c r="J28" i="1"/>
  <c r="K28" i="1" s="1"/>
  <c r="J26" i="1"/>
  <c r="K26" i="1" s="1"/>
  <c r="J25" i="1"/>
  <c r="K25" i="1" s="1"/>
  <c r="J23" i="1"/>
  <c r="K23" i="1" s="1"/>
  <c r="J21" i="1"/>
  <c r="K21" i="1" s="1"/>
  <c r="J20" i="1"/>
  <c r="K20" i="1" s="1"/>
  <c r="J19" i="1"/>
  <c r="K19" i="1" s="1"/>
  <c r="J17" i="1"/>
  <c r="K17" i="1" s="1"/>
  <c r="J16" i="1"/>
  <c r="K16" i="1" s="1"/>
  <c r="P81" i="1"/>
  <c r="O82" i="1"/>
  <c r="P82" i="1"/>
  <c r="O84" i="1"/>
  <c r="P84" i="1"/>
  <c r="O86" i="1"/>
  <c r="P86" i="1"/>
  <c r="N80" i="1"/>
  <c r="J80" i="1"/>
  <c r="K80" i="1" s="1"/>
  <c r="J83" i="1"/>
  <c r="K83" i="1" s="1"/>
  <c r="J85" i="1"/>
  <c r="K85" i="1" s="1"/>
  <c r="J33" i="1"/>
  <c r="K33" i="1" s="1"/>
  <c r="N38" i="1"/>
  <c r="P37" i="1"/>
  <c r="N36" i="1"/>
  <c r="N35" i="1"/>
  <c r="P80" i="1"/>
  <c r="N81" i="1"/>
  <c r="J82" i="1"/>
  <c r="K82" i="1" s="1"/>
  <c r="N82" i="1"/>
  <c r="O83" i="1"/>
  <c r="P83" i="1"/>
  <c r="J84" i="1"/>
  <c r="K84" i="1" s="1"/>
  <c r="N84" i="1"/>
  <c r="O85" i="1"/>
  <c r="P85" i="1"/>
  <c r="J86" i="1"/>
  <c r="K86" i="1" s="1"/>
  <c r="N86" i="1"/>
  <c r="O37" i="1"/>
  <c r="G64" i="1"/>
  <c r="N83" i="1"/>
  <c r="N85" i="1"/>
  <c r="O80" i="1"/>
  <c r="J81" i="1"/>
  <c r="K81" i="1" s="1"/>
  <c r="O81" i="1"/>
  <c r="J29" i="1"/>
  <c r="K29" i="1" s="1"/>
  <c r="J36" i="1"/>
  <c r="K36" i="1" s="1"/>
  <c r="J27" i="1"/>
  <c r="K27" i="1" s="1"/>
  <c r="G17" i="1"/>
  <c r="J40" i="1"/>
  <c r="K40" i="1" s="1"/>
  <c r="G40" i="1"/>
  <c r="J24" i="1"/>
  <c r="K24" i="1" s="1"/>
  <c r="J22" i="1"/>
  <c r="K22" i="1" s="1"/>
  <c r="G18" i="1"/>
  <c r="O38" i="1"/>
  <c r="N37" i="1"/>
  <c r="O36" i="1"/>
  <c r="O34" i="1"/>
  <c r="G65" i="1"/>
  <c r="G41" i="1"/>
  <c r="J38" i="1"/>
  <c r="K38" i="1" s="1"/>
  <c r="J37" i="1"/>
  <c r="K37" i="1" s="1"/>
  <c r="J35" i="1"/>
  <c r="K35" i="1" s="1"/>
  <c r="O35" i="1"/>
  <c r="P34" i="1"/>
  <c r="O33" i="1"/>
  <c r="J32" i="1"/>
  <c r="K32" i="1" s="1"/>
  <c r="P32" i="1"/>
  <c r="N33" i="1"/>
  <c r="O32" i="1"/>
  <c r="K18" i="1"/>
  <c r="P16" i="1"/>
  <c r="V16" i="1" s="1"/>
  <c r="Q16" i="1" s="1"/>
  <c r="N16" i="1"/>
  <c r="O16" i="1"/>
  <c r="U88" i="1" l="1"/>
  <c r="G19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V65" i="1" s="1"/>
  <c r="O65" i="1"/>
  <c r="N65" i="1"/>
  <c r="P64" i="1"/>
  <c r="V64" i="1" s="1"/>
  <c r="O64" i="1"/>
  <c r="N64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V41" i="1" s="1"/>
  <c r="O41" i="1"/>
  <c r="N41" i="1"/>
  <c r="P40" i="1"/>
  <c r="V40" i="1" s="1"/>
  <c r="O40" i="1"/>
  <c r="N40" i="1"/>
  <c r="N17" i="1"/>
  <c r="O17" i="1"/>
  <c r="P17" i="1"/>
  <c r="V17" i="1" s="1"/>
  <c r="N18" i="1"/>
  <c r="O18" i="1"/>
  <c r="P18" i="1"/>
  <c r="V18" i="1" s="1"/>
  <c r="N19" i="1"/>
  <c r="O19" i="1"/>
  <c r="P19" i="1"/>
  <c r="N20" i="1"/>
  <c r="O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56" i="1"/>
  <c r="K56" i="1" s="1"/>
  <c r="V42" i="1" l="1"/>
  <c r="G42" i="1"/>
  <c r="V66" i="1"/>
  <c r="G66" i="1"/>
  <c r="G20" i="1"/>
  <c r="V19" i="1"/>
  <c r="J61" i="1"/>
  <c r="K61" i="1" s="1"/>
  <c r="J59" i="1"/>
  <c r="K59" i="1" s="1"/>
  <c r="J57" i="1"/>
  <c r="K57" i="1" s="1"/>
  <c r="J62" i="1"/>
  <c r="K62" i="1" s="1"/>
  <c r="J60" i="1"/>
  <c r="K60" i="1" s="1"/>
  <c r="J58" i="1"/>
  <c r="K58" i="1" s="1"/>
  <c r="V43" i="1" l="1"/>
  <c r="G43" i="1"/>
  <c r="V67" i="1"/>
  <c r="G67" i="1"/>
  <c r="G21" i="1"/>
  <c r="V20" i="1"/>
  <c r="V44" i="1" l="1"/>
  <c r="G44" i="1"/>
  <c r="V68" i="1"/>
  <c r="G68" i="1"/>
  <c r="G22" i="1"/>
  <c r="V21" i="1"/>
  <c r="R16" i="1"/>
  <c r="U16" i="1" l="1"/>
  <c r="V45" i="1"/>
  <c r="G45" i="1"/>
  <c r="V69" i="1"/>
  <c r="G69" i="1"/>
  <c r="G23" i="1"/>
  <c r="V22" i="1"/>
  <c r="Q40" i="1"/>
  <c r="Q64" i="1"/>
  <c r="Q65" i="1"/>
  <c r="Q41" i="1"/>
  <c r="Q17" i="1"/>
  <c r="R17" i="1" s="1"/>
  <c r="U40" i="1" l="1"/>
  <c r="S40" i="1"/>
  <c r="U65" i="1"/>
  <c r="T65" i="1"/>
  <c r="U41" i="1"/>
  <c r="S41" i="1"/>
  <c r="U64" i="1"/>
  <c r="T64" i="1"/>
  <c r="U17" i="1"/>
  <c r="V46" i="1"/>
  <c r="G46" i="1"/>
  <c r="V70" i="1"/>
  <c r="G70" i="1"/>
  <c r="G24" i="1"/>
  <c r="V23" i="1"/>
  <c r="Q66" i="1"/>
  <c r="Q42" i="1"/>
  <c r="Q18" i="1"/>
  <c r="R18" i="1" s="1"/>
  <c r="U66" i="1" l="1"/>
  <c r="T66" i="1"/>
  <c r="U42" i="1"/>
  <c r="S42" i="1"/>
  <c r="U18" i="1"/>
  <c r="V47" i="1"/>
  <c r="G47" i="1"/>
  <c r="V71" i="1"/>
  <c r="G71" i="1"/>
  <c r="G25" i="1"/>
  <c r="V24" i="1"/>
  <c r="Q67" i="1"/>
  <c r="Q43" i="1"/>
  <c r="Q19" i="1"/>
  <c r="R19" i="1" s="1"/>
  <c r="U67" i="1" l="1"/>
  <c r="T67" i="1"/>
  <c r="U43" i="1"/>
  <c r="S43" i="1"/>
  <c r="U19" i="1"/>
  <c r="V48" i="1"/>
  <c r="G48" i="1"/>
  <c r="V72" i="1"/>
  <c r="G72" i="1"/>
  <c r="G26" i="1"/>
  <c r="V25" i="1"/>
  <c r="Q68" i="1"/>
  <c r="Q44" i="1"/>
  <c r="Q20" i="1"/>
  <c r="R20" i="1" s="1"/>
  <c r="U44" i="1" l="1"/>
  <c r="S44" i="1"/>
  <c r="U68" i="1"/>
  <c r="T68" i="1"/>
  <c r="U20" i="1"/>
  <c r="V49" i="1"/>
  <c r="G49" i="1"/>
  <c r="V73" i="1"/>
  <c r="G73" i="1"/>
  <c r="G27" i="1"/>
  <c r="V26" i="1"/>
  <c r="Q69" i="1"/>
  <c r="Q45" i="1"/>
  <c r="Q21" i="1"/>
  <c r="R21" i="1" s="1"/>
  <c r="U45" i="1" l="1"/>
  <c r="S45" i="1"/>
  <c r="U69" i="1"/>
  <c r="T69" i="1"/>
  <c r="U21" i="1"/>
  <c r="V50" i="1"/>
  <c r="G50" i="1"/>
  <c r="V74" i="1"/>
  <c r="G74" i="1"/>
  <c r="G28" i="1"/>
  <c r="V27" i="1"/>
  <c r="Q70" i="1"/>
  <c r="Q46" i="1"/>
  <c r="Q22" i="1"/>
  <c r="R22" i="1" s="1"/>
  <c r="U70" i="1" l="1"/>
  <c r="T70" i="1"/>
  <c r="U46" i="1"/>
  <c r="S46" i="1"/>
  <c r="U22" i="1"/>
  <c r="V51" i="1"/>
  <c r="G51" i="1"/>
  <c r="V75" i="1"/>
  <c r="G75" i="1"/>
  <c r="G29" i="1"/>
  <c r="V28" i="1"/>
  <c r="Q71" i="1"/>
  <c r="Q47" i="1"/>
  <c r="Q23" i="1"/>
  <c r="R23" i="1" s="1"/>
  <c r="U47" i="1" l="1"/>
  <c r="S47" i="1"/>
  <c r="U71" i="1"/>
  <c r="T71" i="1"/>
  <c r="U23" i="1"/>
  <c r="V52" i="1"/>
  <c r="G52" i="1"/>
  <c r="V76" i="1"/>
  <c r="G76" i="1"/>
  <c r="G30" i="1"/>
  <c r="V29" i="1"/>
  <c r="Q72" i="1"/>
  <c r="Q48" i="1"/>
  <c r="Q24" i="1"/>
  <c r="R24" i="1" s="1"/>
  <c r="U48" i="1" l="1"/>
  <c r="S48" i="1"/>
  <c r="U72" i="1"/>
  <c r="T72" i="1"/>
  <c r="U24" i="1"/>
  <c r="V36" i="1"/>
  <c r="Q36" i="1" s="1"/>
  <c r="R36" i="1" s="1"/>
  <c r="G36" i="1"/>
  <c r="V53" i="1"/>
  <c r="G53" i="1"/>
  <c r="V77" i="1"/>
  <c r="G77" i="1"/>
  <c r="G31" i="1"/>
  <c r="V30" i="1"/>
  <c r="Q73" i="1"/>
  <c r="Q49" i="1"/>
  <c r="Q25" i="1"/>
  <c r="R25" i="1" s="1"/>
  <c r="U49" i="1" l="1"/>
  <c r="S49" i="1"/>
  <c r="U73" i="1"/>
  <c r="T73" i="1"/>
  <c r="U36" i="1"/>
  <c r="U25" i="1"/>
  <c r="G80" i="1"/>
  <c r="V80" i="1"/>
  <c r="Q80" i="1" s="1"/>
  <c r="G32" i="1"/>
  <c r="V32" i="1"/>
  <c r="Q32" i="1" s="1"/>
  <c r="R32" i="1" s="1"/>
  <c r="V37" i="1"/>
  <c r="Q37" i="1" s="1"/>
  <c r="R37" i="1" s="1"/>
  <c r="G37" i="1"/>
  <c r="V54" i="1"/>
  <c r="G54" i="1"/>
  <c r="V78" i="1"/>
  <c r="G78" i="1"/>
  <c r="V31" i="1"/>
  <c r="Q74" i="1"/>
  <c r="Q50" i="1"/>
  <c r="Q26" i="1"/>
  <c r="R26" i="1" s="1"/>
  <c r="U80" i="1" l="1"/>
  <c r="T80" i="1"/>
  <c r="U50" i="1"/>
  <c r="S50" i="1"/>
  <c r="U74" i="1"/>
  <c r="T74" i="1"/>
  <c r="U32" i="1"/>
  <c r="U26" i="1"/>
  <c r="U37" i="1"/>
  <c r="G56" i="1"/>
  <c r="V56" i="1"/>
  <c r="Q56" i="1" s="1"/>
  <c r="G33" i="1"/>
  <c r="V33" i="1"/>
  <c r="Q33" i="1" s="1"/>
  <c r="R33" i="1" s="1"/>
  <c r="V81" i="1"/>
  <c r="Q81" i="1" s="1"/>
  <c r="G81" i="1"/>
  <c r="V55" i="1"/>
  <c r="G55" i="1"/>
  <c r="V79" i="1"/>
  <c r="G79" i="1"/>
  <c r="V38" i="1"/>
  <c r="Q38" i="1" s="1"/>
  <c r="R38" i="1" s="1"/>
  <c r="G38" i="1"/>
  <c r="Q75" i="1"/>
  <c r="Q51" i="1"/>
  <c r="Q27" i="1"/>
  <c r="R27" i="1" s="1"/>
  <c r="U51" i="1" l="1"/>
  <c r="S51" i="1"/>
  <c r="U75" i="1"/>
  <c r="T75" i="1"/>
  <c r="U56" i="1"/>
  <c r="S56" i="1"/>
  <c r="U81" i="1"/>
  <c r="T81" i="1"/>
  <c r="U27" i="1"/>
  <c r="U33" i="1"/>
  <c r="U38" i="1"/>
  <c r="V34" i="1"/>
  <c r="Q34" i="1" s="1"/>
  <c r="R34" i="1" s="1"/>
  <c r="G34" i="1"/>
  <c r="V82" i="1"/>
  <c r="Q82" i="1" s="1"/>
  <c r="G82" i="1"/>
  <c r="G57" i="1"/>
  <c r="V57" i="1"/>
  <c r="Q57" i="1" s="1"/>
  <c r="Q76" i="1"/>
  <c r="Q52" i="1"/>
  <c r="Q28" i="1"/>
  <c r="R28" i="1" s="1"/>
  <c r="U52" i="1" l="1"/>
  <c r="S52" i="1"/>
  <c r="U76" i="1"/>
  <c r="T76" i="1"/>
  <c r="U82" i="1"/>
  <c r="T82" i="1"/>
  <c r="U57" i="1"/>
  <c r="S57" i="1"/>
  <c r="U28" i="1"/>
  <c r="U34" i="1"/>
  <c r="V83" i="1"/>
  <c r="Q83" i="1" s="1"/>
  <c r="G83" i="1"/>
  <c r="G58" i="1"/>
  <c r="V58" i="1"/>
  <c r="Q58" i="1" s="1"/>
  <c r="V35" i="1"/>
  <c r="Q35" i="1" s="1"/>
  <c r="R35" i="1" s="1"/>
  <c r="G35" i="1"/>
  <c r="Q77" i="1"/>
  <c r="Q53" i="1"/>
  <c r="Q29" i="1"/>
  <c r="R29" i="1" s="1"/>
  <c r="U83" i="1" l="1"/>
  <c r="T83" i="1"/>
  <c r="U58" i="1"/>
  <c r="S58" i="1"/>
  <c r="U53" i="1"/>
  <c r="S53" i="1"/>
  <c r="U77" i="1"/>
  <c r="T77" i="1"/>
  <c r="U29" i="1"/>
  <c r="U35" i="1"/>
  <c r="V59" i="1"/>
  <c r="Q59" i="1" s="1"/>
  <c r="G59" i="1"/>
  <c r="V84" i="1"/>
  <c r="Q84" i="1" s="1"/>
  <c r="G84" i="1"/>
  <c r="Q78" i="1"/>
  <c r="Q54" i="1"/>
  <c r="Q30" i="1"/>
  <c r="R30" i="1" s="1"/>
  <c r="U78" i="1" l="1"/>
  <c r="T78" i="1"/>
  <c r="U84" i="1"/>
  <c r="T84" i="1"/>
  <c r="U59" i="1"/>
  <c r="S59" i="1"/>
  <c r="U54" i="1"/>
  <c r="S54" i="1"/>
  <c r="U30" i="1"/>
  <c r="V85" i="1"/>
  <c r="Q85" i="1" s="1"/>
  <c r="G85" i="1"/>
  <c r="V60" i="1"/>
  <c r="Q60" i="1" s="1"/>
  <c r="G60" i="1"/>
  <c r="Q79" i="1"/>
  <c r="Q55" i="1"/>
  <c r="Q31" i="1"/>
  <c r="R31" i="1" s="1"/>
  <c r="U55" i="1" l="1"/>
  <c r="S55" i="1"/>
  <c r="U60" i="1"/>
  <c r="S60" i="1"/>
  <c r="U79" i="1"/>
  <c r="T79" i="1"/>
  <c r="U85" i="1"/>
  <c r="T85" i="1"/>
  <c r="U31" i="1"/>
  <c r="V86" i="1"/>
  <c r="Q86" i="1" s="1"/>
  <c r="G86" i="1"/>
  <c r="V61" i="1"/>
  <c r="Q61" i="1" s="1"/>
  <c r="G61" i="1"/>
  <c r="U61" i="1" l="1"/>
  <c r="S61" i="1"/>
  <c r="U86" i="1"/>
  <c r="T86" i="1"/>
  <c r="V62" i="1"/>
  <c r="Q62" i="1" s="1"/>
  <c r="G62" i="1"/>
  <c r="U62" i="1" l="1"/>
  <c r="S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Bridge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Chris Bridge:</t>
        </r>
        <r>
          <rPr>
            <sz val="9"/>
            <color indexed="81"/>
            <rFont val="Tahoma"/>
            <charset val="1"/>
          </rPr>
          <t xml:space="preserve">
VIN, Lp, Lr, Cr are constant for all steps</t>
        </r>
      </text>
    </comment>
    <comment ref="B1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Chris Bridge:</t>
        </r>
        <r>
          <rPr>
            <sz val="9"/>
            <color indexed="81"/>
            <rFont val="Tahoma"/>
            <charset val="1"/>
          </rPr>
          <t xml:space="preserve">
You must enter these numbers in scientific notation!</t>
        </r>
      </text>
    </comment>
  </commentList>
</comments>
</file>

<file path=xl/sharedStrings.xml><?xml version="1.0" encoding="utf-8"?>
<sst xmlns="http://schemas.openxmlformats.org/spreadsheetml/2006/main" count="214" uniqueCount="72">
  <si>
    <t>***</t>
  </si>
  <si>
    <t>*?@ analysis</t>
  </si>
  <si>
    <t>Label</t>
  </si>
  <si>
    <t>var(Q,-1)</t>
  </si>
  <si>
    <t>var(Ro,-1)</t>
  </si>
  <si>
    <t>var(Tdead,200n)</t>
  </si>
  <si>
    <t>var(Co,400u)</t>
  </si>
  <si>
    <t>var(Fsw,85k)</t>
  </si>
  <si>
    <t>Measurement</t>
  </si>
  <si>
    <t xml:space="preserve">*** </t>
  </si>
  <si>
    <t>var(Lr,234u)</t>
  </si>
  <si>
    <t>var(Cr,15n)</t>
  </si>
  <si>
    <t>var(N,7.5)</t>
  </si>
  <si>
    <t>var(fp,0)</t>
  </si>
  <si>
    <t>var(fo,0)</t>
  </si>
  <si>
    <t>var(M,1)</t>
  </si>
  <si>
    <t>var(IC_Cout,0)</t>
  </si>
  <si>
    <t>var(Fnormalized,-1)</t>
  </si>
  <si>
    <t>var(Rac,-1)</t>
  </si>
  <si>
    <t>.POP\n+ TRIG_GATE={TRIG_GATE}\n+ TRIG_COND=0_TO_1\n+ MAX_PERIOD=15u\n+ CYCLES_BEFORE_LAUNCH=100\n+ CONVERGENCE=1p\n+ TD_RUN_AFTER_POP_FAILS=0</t>
  </si>
  <si>
    <t>*** After changing this testplan, save as a Tab delimited text file.</t>
  </si>
  <si>
    <t>*** VIN</t>
  </si>
  <si>
    <t>*** Lp</t>
  </si>
  <si>
    <t>*** Lr</t>
  </si>
  <si>
    <t>*** Cr</t>
  </si>
  <si>
    <t>*** N</t>
  </si>
  <si>
    <t>*** Q1</t>
  </si>
  <si>
    <t>*** Q2</t>
  </si>
  <si>
    <t>*** Q3</t>
  </si>
  <si>
    <t>Intermediate</t>
  </si>
  <si>
    <t>Calculation</t>
  </si>
  <si>
    <t>.POP\n+ TRIG_GATE={TRIG_GATE}\n+ TRIG_COND=0_TO_1\n+ MAX_PERIOD=15u\n+ CYCLES_BEFORE_LAUNCH=10\n+ CONVERGENCE=1p\n+ TD_RUN_AFTER_POP_FAILS=0</t>
  </si>
  <si>
    <t>POP|Generate Gain Curve</t>
  </si>
  <si>
    <t>User Inputs</t>
  </si>
  <si>
    <t>Intermediate Calculations</t>
  </si>
  <si>
    <t>var(Lp,998u)</t>
  </si>
  <si>
    <t>Variable Aliases</t>
  </si>
  <si>
    <t>*** This next run generates the x-y curves</t>
  </si>
  <si>
    <t>var(littlem,1)</t>
  </si>
  <si>
    <t>PromoteGraph( DVM Gain , 1 )</t>
  </si>
  <si>
    <t>*** Explicit Analysis Statement</t>
  </si>
  <si>
    <t>Resonant Circuit Parameters</t>
  </si>
  <si>
    <t>Input Voltage</t>
  </si>
  <si>
    <t>Deadtime</t>
  </si>
  <si>
    <t>Output Cap</t>
  </si>
  <si>
    <t>Turns Ratio</t>
  </si>
  <si>
    <t>Test Description</t>
  </si>
  <si>
    <t>Switching Frequency</t>
  </si>
  <si>
    <t>Initial Condition</t>
  </si>
  <si>
    <t>Frequency Sweep</t>
  </si>
  <si>
    <t>Concatenation</t>
  </si>
  <si>
    <t>analysis</t>
  </si>
  <si>
    <t>*** Normalized Frequency Steps</t>
  </si>
  <si>
    <t>NoSimulation</t>
  </si>
  <si>
    <t>var(Rac, {SQRT(Lr/Cr)/Q})</t>
  </si>
  <si>
    <t>var(Ro,{Rac*Pi^2/(8*N^2)})</t>
  </si>
  <si>
    <t>var(littlem,{(Lr+Lp)/Lr})</t>
  </si>
  <si>
    <t>var(fp,{1/(2*Pi*SQRT((Lr+Lp)*Cr))})</t>
  </si>
  <si>
    <t>var(fo,{1/(2*Pi*SQRT(Lr*Cr))})</t>
  </si>
  <si>
    <t>POP|Multi-Step|FNormalized and Q</t>
  </si>
  <si>
    <t>200m</t>
  </si>
  <si>
    <t>400m</t>
  </si>
  <si>
    <t>600m</t>
  </si>
  <si>
    <t>Variable Alias - Make unique "M" based on "Q"</t>
  </si>
  <si>
    <t>Alias( AVG(M) , M_Q_%Q% )</t>
  </si>
  <si>
    <t>*** Two tests - one for generating data, one to plot it.</t>
  </si>
  <si>
    <t>*** LLC_Open_Loop_Gain_Multi_Step.testplan</t>
  </si>
  <si>
    <t>*** LLC_Open_Loop_Gain_Single_Step.testplan</t>
  </si>
  <si>
    <t>POP|Multi-Step|Generate Gain Curve</t>
  </si>
  <si>
    <t>measurement</t>
  </si>
  <si>
    <t>var(Fsw,{Fnormalized*fo})</t>
  </si>
  <si>
    <t>var(M,{(Fsw/fo)^2*(littlem-1)/SQRT((1-(Fsw^2/fp^2))^2 + ((Fsw/fo)*(1-Fsw^2/fo^2)* (littlem-1)*Q)^2)})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</si>
</sst>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0" xfId="0" applyNumberFormat="1"/>
    <xf numFmtId="48" fontId="0" fillId="0" borderId="0" xfId="0" applyNumberFormat="1"/>
    <xf numFmtId="164" fontId="0" fillId="0" borderId="0" xfId="0" applyNumberFormat="1"/>
    <xf numFmtId="0" fontId="9" fillId="5" borderId="4" xfId="9"/>
    <xf numFmtId="11" fontId="9" fillId="5" borderId="4" xfId="9" applyNumberFormat="1"/>
    <xf numFmtId="165" fontId="0" fillId="0" borderId="0" xfId="0" applyNumberFormat="1"/>
    <xf numFmtId="2" fontId="9" fillId="5" borderId="4" xfId="9" applyNumberFormat="1"/>
    <xf numFmtId="0" fontId="0" fillId="0" borderId="0" xfId="0"/>
    <xf numFmtId="11" fontId="0" fillId="0" borderId="0" xfId="0" applyNumberFormat="1"/>
    <xf numFmtId="0" fontId="0" fillId="0" borderId="0" xfId="0" applyNumberFormat="1"/>
    <xf numFmtId="48" fontId="0" fillId="0" borderId="0" xfId="0" applyNumberFormat="1"/>
    <xf numFmtId="164" fontId="0" fillId="0" borderId="0" xfId="0" applyNumberFormat="1"/>
    <xf numFmtId="0" fontId="9" fillId="5" borderId="4" xfId="9" applyNumberFormat="1"/>
    <xf numFmtId="0" fontId="9" fillId="5" borderId="0" xfId="9" applyBorder="1"/>
    <xf numFmtId="0" fontId="0" fillId="0" borderId="0" xfId="0" applyAlignment="1">
      <alignment horizontal="center"/>
    </xf>
    <xf numFmtId="0" fontId="9" fillId="5" borderId="11" xfId="9" applyBorder="1"/>
    <xf numFmtId="0" fontId="17" fillId="9" borderId="10" xfId="18" applyBorder="1"/>
    <xf numFmtId="165" fontId="17" fillId="9" borderId="10" xfId="18" applyNumberFormat="1" applyBorder="1"/>
    <xf numFmtId="0" fontId="16" fillId="0" borderId="0" xfId="0" applyFont="1"/>
    <xf numFmtId="0" fontId="11" fillId="6" borderId="4" xfId="11" applyAlignment="1">
      <alignment horizontal="left" vertical="center"/>
    </xf>
    <xf numFmtId="0" fontId="0" fillId="0" borderId="0" xfId="0" applyFill="1" applyBorder="1"/>
    <xf numFmtId="0" fontId="16" fillId="0" borderId="10" xfId="0" applyFont="1" applyBorder="1" applyAlignment="1"/>
    <xf numFmtId="0" fontId="9" fillId="5" borderId="4" xfId="9" applyNumberFormat="1" applyAlignment="1">
      <alignment horizontal="right" vertical="center"/>
    </xf>
    <xf numFmtId="0" fontId="16" fillId="0" borderId="0" xfId="0" applyFont="1" applyAlignment="1">
      <alignment horizontal="center"/>
    </xf>
    <xf numFmtId="0" fontId="20" fillId="9" borderId="10" xfId="42" applyFill="1" applyBorder="1"/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*?@%20analysi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R10" zoomScale="85" zoomScaleNormal="85" workbookViewId="0">
      <selection activeCell="U41" sqref="U41"/>
    </sheetView>
  </sheetViews>
  <sheetFormatPr defaultRowHeight="15" x14ac:dyDescent="0.25"/>
  <cols>
    <col min="1" max="1" width="29.28515625" style="9" customWidth="1"/>
    <col min="2" max="2" width="25.5703125" style="9" customWidth="1"/>
    <col min="3" max="3" width="120.42578125" style="9" bestFit="1" customWidth="1"/>
    <col min="4" max="4" width="13" style="9" bestFit="1" customWidth="1"/>
    <col min="5" max="5" width="11.140625" style="9" bestFit="1" customWidth="1"/>
    <col min="6" max="6" width="11.42578125" style="9" bestFit="1" customWidth="1"/>
    <col min="7" max="7" width="10.28515625" style="9" bestFit="1" customWidth="1"/>
    <col min="8" max="8" width="33.85546875" style="9" bestFit="1" customWidth="1"/>
    <col min="9" max="9" width="9.28515625" style="9" bestFit="1" customWidth="1"/>
    <col min="10" max="10" width="23.5703125" style="9" bestFit="1" customWidth="1"/>
    <col min="11" max="11" width="25.28515625" style="9" bestFit="1" customWidth="1"/>
    <col min="12" max="12" width="14.85546875" style="9" bestFit="1" customWidth="1"/>
    <col min="13" max="13" width="11.7109375" style="9" bestFit="1" customWidth="1"/>
    <col min="14" max="14" width="22" style="9" bestFit="1" customWidth="1"/>
    <col min="15" max="15" width="32.5703125" style="9" bestFit="1" customWidth="1"/>
    <col min="16" max="16" width="28" style="9" bestFit="1" customWidth="1"/>
    <col min="17" max="17" width="11.7109375" style="9" bestFit="1" customWidth="1"/>
    <col min="18" max="18" width="10.7109375" style="7" bestFit="1" customWidth="1"/>
    <col min="19" max="19" width="44.140625" style="7" bestFit="1" customWidth="1"/>
    <col min="20" max="20" width="14.42578125" style="9" bestFit="1" customWidth="1"/>
    <col min="21" max="21" width="120.5703125" style="9" bestFit="1" customWidth="1"/>
    <col min="22" max="22" width="125.85546875" style="9" bestFit="1" customWidth="1"/>
    <col min="23" max="23" width="120.5703125" style="9" bestFit="1" customWidth="1"/>
    <col min="24" max="24" width="125.85546875" style="9" bestFit="1" customWidth="1"/>
    <col min="25" max="25" width="120.5703125" style="9" bestFit="1" customWidth="1"/>
    <col min="26" max="26" width="203.85546875" style="9" bestFit="1" customWidth="1"/>
    <col min="27" max="27" width="27.28515625" style="9" bestFit="1" customWidth="1"/>
    <col min="28" max="16384" width="9.140625" style="9"/>
  </cols>
  <sheetData>
    <row r="1" spans="1:20" x14ac:dyDescent="0.25">
      <c r="A1" s="9" t="s">
        <v>9</v>
      </c>
    </row>
    <row r="2" spans="1:20" x14ac:dyDescent="0.25">
      <c r="A2" s="9" t="s">
        <v>66</v>
      </c>
    </row>
    <row r="3" spans="1:20" x14ac:dyDescent="0.25">
      <c r="A3" s="9" t="s">
        <v>20</v>
      </c>
    </row>
    <row r="4" spans="1:20" x14ac:dyDescent="0.25">
      <c r="A4" s="9" t="s">
        <v>9</v>
      </c>
      <c r="B4" s="9" t="s">
        <v>33</v>
      </c>
    </row>
    <row r="5" spans="1:20" x14ac:dyDescent="0.25">
      <c r="A5" s="9" t="s">
        <v>21</v>
      </c>
      <c r="B5" s="5">
        <v>380</v>
      </c>
    </row>
    <row r="6" spans="1:20" x14ac:dyDescent="0.25">
      <c r="A6" s="9" t="s">
        <v>22</v>
      </c>
      <c r="B6" s="6">
        <v>9.9799999999999997E-4</v>
      </c>
    </row>
    <row r="7" spans="1:20" x14ac:dyDescent="0.25">
      <c r="A7" s="9" t="s">
        <v>23</v>
      </c>
      <c r="B7" s="6">
        <v>2.34E-4</v>
      </c>
    </row>
    <row r="8" spans="1:20" x14ac:dyDescent="0.25">
      <c r="A8" s="9" t="s">
        <v>24</v>
      </c>
      <c r="B8" s="6">
        <v>1.4999999999999999E-8</v>
      </c>
    </row>
    <row r="9" spans="1:20" x14ac:dyDescent="0.25">
      <c r="A9" s="9" t="s">
        <v>25</v>
      </c>
      <c r="B9" s="8">
        <v>7.5</v>
      </c>
      <c r="C9" s="9" t="s">
        <v>50</v>
      </c>
    </row>
    <row r="10" spans="1:20" x14ac:dyDescent="0.25">
      <c r="A10" s="9" t="s">
        <v>26</v>
      </c>
      <c r="B10" s="24" t="s">
        <v>60</v>
      </c>
      <c r="C10" s="21" t="str">
        <f>B10</f>
        <v>200m</v>
      </c>
    </row>
    <row r="11" spans="1:20" x14ac:dyDescent="0.25">
      <c r="A11" s="9" t="s">
        <v>27</v>
      </c>
      <c r="B11" s="24" t="s">
        <v>61</v>
      </c>
      <c r="C11" s="21" t="str">
        <f>CONCATENATE(C10, " , ", B11 )</f>
        <v>200m , 400m</v>
      </c>
    </row>
    <row r="12" spans="1:20" x14ac:dyDescent="0.25">
      <c r="A12" s="9" t="s">
        <v>28</v>
      </c>
      <c r="B12" s="24" t="s">
        <v>62</v>
      </c>
      <c r="C12" s="21" t="str">
        <f>CONCATENATE(C11, " , ", B12 )</f>
        <v>200m , 400m , 600m</v>
      </c>
    </row>
    <row r="13" spans="1:20" x14ac:dyDescent="0.25">
      <c r="A13" s="9" t="s">
        <v>0</v>
      </c>
      <c r="T13" s="16"/>
    </row>
    <row r="14" spans="1:20" x14ac:dyDescent="0.25">
      <c r="A14" s="9" t="s">
        <v>52</v>
      </c>
      <c r="B14" s="5">
        <v>0.4</v>
      </c>
      <c r="C14" s="21">
        <f>B14</f>
        <v>0.4</v>
      </c>
      <c r="I14" s="13"/>
      <c r="M14" s="10"/>
      <c r="N14" s="11"/>
      <c r="O14" s="12"/>
      <c r="P14" s="10"/>
      <c r="Q14" s="10"/>
      <c r="T14" s="10"/>
    </row>
    <row r="15" spans="1:20" x14ac:dyDescent="0.25">
      <c r="A15" s="9" t="s">
        <v>0</v>
      </c>
      <c r="B15" s="5">
        <f>B14+0.025</f>
        <v>0.42500000000000004</v>
      </c>
      <c r="C15" s="21" t="str">
        <f>CONCATENATE(C14, " , ", B15 )</f>
        <v>0.4 , 0.425</v>
      </c>
      <c r="I15" s="13"/>
      <c r="M15" s="10"/>
      <c r="N15" s="11"/>
      <c r="O15" s="12"/>
      <c r="P15" s="10"/>
      <c r="Q15" s="10"/>
      <c r="T15" s="10"/>
    </row>
    <row r="16" spans="1:20" x14ac:dyDescent="0.25">
      <c r="A16" s="9" t="s">
        <v>0</v>
      </c>
      <c r="B16" s="5">
        <f t="shared" ref="B16:B33" si="0">B15+0.025</f>
        <v>0.45000000000000007</v>
      </c>
      <c r="C16" s="21" t="str">
        <f t="shared" ref="C16:C36" si="1">CONCATENATE(C15, " , ", B16 )</f>
        <v>0.4 , 0.425 , 0.45</v>
      </c>
      <c r="I16" s="13"/>
      <c r="M16" s="10"/>
      <c r="N16" s="11"/>
      <c r="O16" s="12"/>
      <c r="P16" s="10"/>
      <c r="Q16" s="10"/>
      <c r="T16" s="10"/>
    </row>
    <row r="17" spans="1:20" x14ac:dyDescent="0.25">
      <c r="A17" s="9" t="s">
        <v>0</v>
      </c>
      <c r="B17" s="5">
        <f t="shared" si="0"/>
        <v>0.47500000000000009</v>
      </c>
      <c r="C17" s="21" t="str">
        <f t="shared" si="1"/>
        <v>0.4 , 0.425 , 0.45 , 0.475</v>
      </c>
      <c r="I17" s="13"/>
      <c r="M17" s="10"/>
      <c r="N17" s="11"/>
      <c r="O17" s="12"/>
      <c r="P17" s="10"/>
      <c r="Q17" s="10"/>
      <c r="T17" s="10"/>
    </row>
    <row r="18" spans="1:20" x14ac:dyDescent="0.25">
      <c r="A18" s="9" t="s">
        <v>0</v>
      </c>
      <c r="B18" s="5">
        <f t="shared" si="0"/>
        <v>0.50000000000000011</v>
      </c>
      <c r="C18" s="21" t="str">
        <f t="shared" si="1"/>
        <v>0.4 , 0.425 , 0.45 , 0.475 , 0.5</v>
      </c>
      <c r="I18" s="13"/>
      <c r="M18" s="10"/>
      <c r="N18" s="11"/>
      <c r="O18" s="12"/>
      <c r="P18" s="10"/>
      <c r="Q18" s="10"/>
      <c r="T18" s="10"/>
    </row>
    <row r="19" spans="1:20" x14ac:dyDescent="0.25">
      <c r="A19" s="9" t="s">
        <v>0</v>
      </c>
      <c r="B19" s="5">
        <f t="shared" si="0"/>
        <v>0.52500000000000013</v>
      </c>
      <c r="C19" s="21" t="str">
        <f t="shared" si="1"/>
        <v>0.4 , 0.425 , 0.45 , 0.475 , 0.5 , 0.525</v>
      </c>
      <c r="I19" s="13"/>
      <c r="M19" s="10"/>
      <c r="N19" s="11"/>
      <c r="O19" s="12"/>
      <c r="P19" s="10"/>
      <c r="Q19" s="10"/>
      <c r="T19" s="10"/>
    </row>
    <row r="20" spans="1:20" x14ac:dyDescent="0.25">
      <c r="A20" s="9" t="s">
        <v>0</v>
      </c>
      <c r="B20" s="5">
        <f t="shared" si="0"/>
        <v>0.55000000000000016</v>
      </c>
      <c r="C20" s="21" t="str">
        <f t="shared" si="1"/>
        <v>0.4 , 0.425 , 0.45 , 0.475 , 0.5 , 0.525 , 0.55</v>
      </c>
      <c r="I20" s="13"/>
      <c r="M20" s="10"/>
      <c r="N20" s="11"/>
      <c r="O20" s="12"/>
      <c r="P20" s="10"/>
      <c r="Q20" s="10"/>
      <c r="T20" s="10"/>
    </row>
    <row r="21" spans="1:20" x14ac:dyDescent="0.25">
      <c r="A21" s="9" t="s">
        <v>0</v>
      </c>
      <c r="B21" s="5">
        <f t="shared" si="0"/>
        <v>0.57500000000000018</v>
      </c>
      <c r="C21" s="21" t="str">
        <f t="shared" si="1"/>
        <v>0.4 , 0.425 , 0.45 , 0.475 , 0.5 , 0.525 , 0.55 , 0.575</v>
      </c>
      <c r="I21" s="13"/>
      <c r="M21" s="10"/>
      <c r="N21" s="11"/>
      <c r="O21" s="12"/>
      <c r="P21" s="10"/>
      <c r="Q21" s="10"/>
      <c r="T21" s="10"/>
    </row>
    <row r="22" spans="1:20" x14ac:dyDescent="0.25">
      <c r="A22" s="9" t="s">
        <v>0</v>
      </c>
      <c r="B22" s="5">
        <f t="shared" si="0"/>
        <v>0.6000000000000002</v>
      </c>
      <c r="C22" s="21" t="str">
        <f t="shared" si="1"/>
        <v>0.4 , 0.425 , 0.45 , 0.475 , 0.5 , 0.525 , 0.55 , 0.575 , 0.6</v>
      </c>
      <c r="I22" s="13"/>
      <c r="M22" s="10"/>
      <c r="N22" s="11"/>
      <c r="O22" s="12"/>
      <c r="P22" s="10"/>
      <c r="Q22" s="10"/>
      <c r="T22" s="10"/>
    </row>
    <row r="23" spans="1:20" x14ac:dyDescent="0.25">
      <c r="A23" s="9" t="s">
        <v>0</v>
      </c>
      <c r="B23" s="5">
        <f t="shared" si="0"/>
        <v>0.62500000000000022</v>
      </c>
      <c r="C23" s="21" t="str">
        <f t="shared" si="1"/>
        <v>0.4 , 0.425 , 0.45 , 0.475 , 0.5 , 0.525 , 0.55 , 0.575 , 0.6 , 0.625</v>
      </c>
      <c r="I23" s="13"/>
      <c r="M23" s="10"/>
      <c r="N23" s="11"/>
      <c r="O23" s="12"/>
      <c r="P23" s="10"/>
      <c r="Q23" s="10"/>
      <c r="T23" s="10"/>
    </row>
    <row r="24" spans="1:20" x14ac:dyDescent="0.25">
      <c r="A24" s="9" t="s">
        <v>0</v>
      </c>
      <c r="B24" s="5">
        <f t="shared" si="0"/>
        <v>0.65000000000000024</v>
      </c>
      <c r="C24" s="21" t="str">
        <f t="shared" si="1"/>
        <v>0.4 , 0.425 , 0.45 , 0.475 , 0.5 , 0.525 , 0.55 , 0.575 , 0.6 , 0.625 , 0.65</v>
      </c>
      <c r="I24" s="13"/>
      <c r="M24" s="10"/>
      <c r="N24" s="11"/>
      <c r="O24" s="12"/>
      <c r="P24" s="10"/>
      <c r="Q24" s="10"/>
      <c r="T24" s="10"/>
    </row>
    <row r="25" spans="1:20" x14ac:dyDescent="0.25">
      <c r="A25" s="9" t="s">
        <v>0</v>
      </c>
      <c r="B25" s="5">
        <f t="shared" si="0"/>
        <v>0.67500000000000027</v>
      </c>
      <c r="C25" s="21" t="str">
        <f t="shared" si="1"/>
        <v>0.4 , 0.425 , 0.45 , 0.475 , 0.5 , 0.525 , 0.55 , 0.575 , 0.6 , 0.625 , 0.65 , 0.675</v>
      </c>
      <c r="I25" s="13"/>
      <c r="M25" s="10"/>
      <c r="N25" s="11"/>
      <c r="O25" s="12"/>
      <c r="P25" s="10"/>
      <c r="Q25" s="10"/>
      <c r="T25" s="10"/>
    </row>
    <row r="26" spans="1:20" x14ac:dyDescent="0.25">
      <c r="A26" s="9" t="s">
        <v>0</v>
      </c>
      <c r="B26" s="5">
        <f t="shared" si="0"/>
        <v>0.70000000000000029</v>
      </c>
      <c r="C26" s="21" t="str">
        <f t="shared" si="1"/>
        <v>0.4 , 0.425 , 0.45 , 0.475 , 0.5 , 0.525 , 0.55 , 0.575 , 0.6 , 0.625 , 0.65 , 0.675 , 0.7</v>
      </c>
      <c r="I26" s="13"/>
      <c r="M26" s="10"/>
      <c r="N26" s="11"/>
      <c r="O26" s="12"/>
      <c r="P26" s="10"/>
      <c r="Q26" s="10"/>
      <c r="T26" s="10"/>
    </row>
    <row r="27" spans="1:20" x14ac:dyDescent="0.25">
      <c r="A27" s="9" t="s">
        <v>0</v>
      </c>
      <c r="B27" s="5">
        <f t="shared" si="0"/>
        <v>0.72500000000000031</v>
      </c>
      <c r="C27" s="21" t="str">
        <f t="shared" si="1"/>
        <v>0.4 , 0.425 , 0.45 , 0.475 , 0.5 , 0.525 , 0.55 , 0.575 , 0.6 , 0.625 , 0.65 , 0.675 , 0.7 , 0.725</v>
      </c>
      <c r="I27" s="13"/>
      <c r="M27" s="10"/>
      <c r="N27" s="11"/>
      <c r="O27" s="12"/>
      <c r="P27" s="10"/>
      <c r="Q27" s="10"/>
      <c r="T27" s="10"/>
    </row>
    <row r="28" spans="1:20" x14ac:dyDescent="0.25">
      <c r="A28" s="9" t="s">
        <v>0</v>
      </c>
      <c r="B28" s="5">
        <f t="shared" si="0"/>
        <v>0.75000000000000033</v>
      </c>
      <c r="C28" s="21" t="str">
        <f t="shared" si="1"/>
        <v>0.4 , 0.425 , 0.45 , 0.475 , 0.5 , 0.525 , 0.55 , 0.575 , 0.6 , 0.625 , 0.65 , 0.675 , 0.7 , 0.725 , 0.75</v>
      </c>
      <c r="I28" s="13"/>
      <c r="M28" s="10"/>
      <c r="N28" s="11"/>
      <c r="O28" s="12"/>
      <c r="P28" s="10"/>
      <c r="Q28" s="10"/>
      <c r="T28" s="10"/>
    </row>
    <row r="29" spans="1:20" x14ac:dyDescent="0.25">
      <c r="A29" s="9" t="s">
        <v>0</v>
      </c>
      <c r="B29" s="5">
        <f t="shared" si="0"/>
        <v>0.77500000000000036</v>
      </c>
      <c r="C29" s="21" t="str">
        <f t="shared" si="1"/>
        <v>0.4 , 0.425 , 0.45 , 0.475 , 0.5 , 0.525 , 0.55 , 0.575 , 0.6 , 0.625 , 0.65 , 0.675 , 0.7 , 0.725 , 0.75 , 0.775</v>
      </c>
      <c r="I29" s="13"/>
      <c r="M29" s="10"/>
      <c r="N29" s="11"/>
      <c r="O29" s="12"/>
      <c r="P29" s="10"/>
      <c r="Q29" s="10"/>
      <c r="T29" s="10"/>
    </row>
    <row r="30" spans="1:20" x14ac:dyDescent="0.25">
      <c r="A30" s="9" t="s">
        <v>0</v>
      </c>
      <c r="B30" s="5">
        <f t="shared" si="0"/>
        <v>0.80000000000000038</v>
      </c>
      <c r="C30" s="21" t="str">
        <f t="shared" si="1"/>
        <v>0.4 , 0.425 , 0.45 , 0.475 , 0.5 , 0.525 , 0.55 , 0.575 , 0.6 , 0.625 , 0.65 , 0.675 , 0.7 , 0.725 , 0.75 , 0.775 , 0.8</v>
      </c>
      <c r="I30" s="13"/>
      <c r="M30" s="10"/>
      <c r="N30" s="11"/>
      <c r="O30" s="12"/>
      <c r="P30" s="10"/>
      <c r="Q30" s="10"/>
      <c r="T30" s="10"/>
    </row>
    <row r="31" spans="1:20" x14ac:dyDescent="0.25">
      <c r="A31" s="9" t="s">
        <v>0</v>
      </c>
      <c r="B31" s="5">
        <f t="shared" si="0"/>
        <v>0.8250000000000004</v>
      </c>
      <c r="C31" s="21" t="str">
        <f t="shared" si="1"/>
        <v>0.4 , 0.425 , 0.45 , 0.475 , 0.5 , 0.525 , 0.55 , 0.575 , 0.6 , 0.625 , 0.65 , 0.675 , 0.7 , 0.725 , 0.75 , 0.775 , 0.8 , 0.825</v>
      </c>
      <c r="I31" s="13"/>
      <c r="M31" s="10"/>
      <c r="N31" s="11"/>
      <c r="O31" s="12"/>
      <c r="P31" s="10"/>
      <c r="Q31" s="10"/>
      <c r="T31" s="10"/>
    </row>
    <row r="32" spans="1:20" x14ac:dyDescent="0.25">
      <c r="A32" s="9" t="s">
        <v>0</v>
      </c>
      <c r="B32" s="5">
        <f t="shared" si="0"/>
        <v>0.85000000000000042</v>
      </c>
      <c r="C32" s="21" t="str">
        <f t="shared" si="1"/>
        <v>0.4 , 0.425 , 0.45 , 0.475 , 0.5 , 0.525 , 0.55 , 0.575 , 0.6 , 0.625 , 0.65 , 0.675 , 0.7 , 0.725 , 0.75 , 0.775 , 0.8 , 0.825 , 0.85</v>
      </c>
      <c r="I32" s="13"/>
      <c r="M32" s="10"/>
      <c r="N32" s="11"/>
      <c r="O32" s="12"/>
      <c r="P32" s="10"/>
      <c r="Q32" s="10"/>
      <c r="T32" s="10"/>
    </row>
    <row r="33" spans="1:27" x14ac:dyDescent="0.25">
      <c r="A33" s="9" t="s">
        <v>0</v>
      </c>
      <c r="B33" s="5">
        <f t="shared" si="0"/>
        <v>0.87500000000000044</v>
      </c>
      <c r="C33" s="21" t="str">
        <f t="shared" si="1"/>
        <v>0.4 , 0.425 , 0.45 , 0.475 , 0.5 , 0.525 , 0.55 , 0.575 , 0.6 , 0.625 , 0.65 , 0.675 , 0.7 , 0.725 , 0.75 , 0.775 , 0.8 , 0.825 , 0.85 , 0.875</v>
      </c>
      <c r="I33" s="13"/>
      <c r="M33" s="10"/>
      <c r="N33" s="11"/>
      <c r="O33" s="12"/>
      <c r="P33" s="10"/>
      <c r="Q33" s="10"/>
      <c r="T33" s="10"/>
    </row>
    <row r="34" spans="1:27" x14ac:dyDescent="0.25">
      <c r="A34" s="9" t="s">
        <v>0</v>
      </c>
      <c r="B34" s="5">
        <v>1</v>
      </c>
      <c r="C34" s="21" t="str">
        <f t="shared" si="1"/>
        <v>0.4 , 0.425 , 0.45 , 0.475 , 0.5 , 0.525 , 0.55 , 0.575 , 0.6 , 0.625 , 0.65 , 0.675 , 0.7 , 0.725 , 0.75 , 0.775 , 0.8 , 0.825 , 0.85 , 0.875 , 1</v>
      </c>
      <c r="I34" s="13"/>
      <c r="M34" s="10"/>
      <c r="N34" s="11"/>
      <c r="O34" s="12"/>
      <c r="P34" s="10"/>
      <c r="Q34" s="10"/>
      <c r="T34" s="10"/>
    </row>
    <row r="35" spans="1:27" x14ac:dyDescent="0.25">
      <c r="A35" s="9" t="s">
        <v>0</v>
      </c>
      <c r="B35" s="5">
        <v>1.2</v>
      </c>
      <c r="C35" s="21" t="str">
        <f t="shared" si="1"/>
        <v>0.4 , 0.425 , 0.45 , 0.475 , 0.5 , 0.525 , 0.55 , 0.575 , 0.6 , 0.625 , 0.65 , 0.675 , 0.7 , 0.725 , 0.75 , 0.775 , 0.8 , 0.825 , 0.85 , 0.875 , 1 , 1.2</v>
      </c>
      <c r="I35" s="13"/>
      <c r="M35" s="10"/>
      <c r="N35" s="11"/>
      <c r="O35" s="12"/>
      <c r="P35" s="10"/>
      <c r="Q35" s="10"/>
      <c r="T35" s="10"/>
    </row>
    <row r="36" spans="1:27" x14ac:dyDescent="0.25">
      <c r="A36" s="9" t="s">
        <v>0</v>
      </c>
      <c r="B36" s="5">
        <v>1.4</v>
      </c>
      <c r="C36" s="21" t="str">
        <f t="shared" si="1"/>
        <v>0.4 , 0.425 , 0.45 , 0.475 , 0.5 , 0.525 , 0.55 , 0.575 , 0.6 , 0.625 , 0.65 , 0.675 , 0.7 , 0.725 , 0.75 , 0.775 , 0.8 , 0.825 , 0.85 , 0.875 , 1 , 1.2 , 1.4</v>
      </c>
      <c r="I36" s="13"/>
      <c r="M36" s="10"/>
      <c r="N36" s="11"/>
      <c r="O36" s="12"/>
      <c r="P36" s="10"/>
      <c r="Q36" s="10"/>
      <c r="T36" s="10"/>
    </row>
    <row r="37" spans="1:27" x14ac:dyDescent="0.25">
      <c r="E37" s="12"/>
      <c r="F37" s="12"/>
      <c r="G37" s="12"/>
      <c r="I37" s="13"/>
      <c r="M37" s="10"/>
      <c r="N37" s="11"/>
      <c r="O37" s="12"/>
      <c r="P37" s="10"/>
      <c r="Q37" s="10"/>
      <c r="T37" s="10"/>
    </row>
    <row r="38" spans="1:27" s="20" customFormat="1" x14ac:dyDescent="0.25">
      <c r="A38" s="20" t="s">
        <v>65</v>
      </c>
      <c r="D38" s="20" t="s">
        <v>42</v>
      </c>
      <c r="E38" s="27" t="s">
        <v>41</v>
      </c>
      <c r="F38" s="27"/>
      <c r="G38" s="27"/>
      <c r="H38" s="20" t="s">
        <v>46</v>
      </c>
      <c r="I38" s="20" t="s">
        <v>45</v>
      </c>
      <c r="J38" s="20" t="s">
        <v>30</v>
      </c>
      <c r="L38" s="20" t="s">
        <v>43</v>
      </c>
      <c r="M38" s="20" t="s">
        <v>44</v>
      </c>
      <c r="N38" s="25" t="s">
        <v>34</v>
      </c>
      <c r="O38" s="25"/>
      <c r="P38" s="25"/>
      <c r="Q38" s="20" t="s">
        <v>47</v>
      </c>
      <c r="R38" s="25"/>
      <c r="S38" s="23" t="s">
        <v>63</v>
      </c>
      <c r="T38" s="16" t="s">
        <v>48</v>
      </c>
    </row>
    <row r="39" spans="1:27" x14ac:dyDescent="0.25">
      <c r="A39" s="26" t="s">
        <v>1</v>
      </c>
      <c r="B39" s="18" t="s">
        <v>51</v>
      </c>
      <c r="C39" s="18" t="s">
        <v>51</v>
      </c>
      <c r="D39" s="18" t="str">
        <f>CONCATENATE("var(VIN,", VIN, ")")</f>
        <v>var(VIN,380)</v>
      </c>
      <c r="E39" s="18" t="s">
        <v>10</v>
      </c>
      <c r="F39" s="18" t="s">
        <v>35</v>
      </c>
      <c r="G39" s="18" t="s">
        <v>11</v>
      </c>
      <c r="H39" s="18" t="s">
        <v>2</v>
      </c>
      <c r="I39" s="18" t="s">
        <v>12</v>
      </c>
      <c r="J39" s="18" t="s">
        <v>54</v>
      </c>
      <c r="K39" s="18" t="s">
        <v>55</v>
      </c>
      <c r="L39" s="18" t="s">
        <v>5</v>
      </c>
      <c r="M39" s="18" t="s">
        <v>6</v>
      </c>
      <c r="N39" s="18" t="s">
        <v>56</v>
      </c>
      <c r="O39" s="18" t="s">
        <v>57</v>
      </c>
      <c r="P39" s="18" t="s">
        <v>58</v>
      </c>
      <c r="Q39" s="18" t="s">
        <v>70</v>
      </c>
      <c r="R39" s="19" t="s">
        <v>71</v>
      </c>
      <c r="S39" s="19" t="s">
        <v>69</v>
      </c>
      <c r="T39" s="18" t="s">
        <v>16</v>
      </c>
      <c r="U39" s="18" t="s">
        <v>8</v>
      </c>
      <c r="V39" s="18" t="s">
        <v>8</v>
      </c>
      <c r="W39" s="18" t="s">
        <v>8</v>
      </c>
      <c r="X39" s="18" t="s">
        <v>8</v>
      </c>
      <c r="Y39" s="18" t="s">
        <v>8</v>
      </c>
      <c r="Z39" s="18" t="s">
        <v>8</v>
      </c>
      <c r="AA39" s="18" t="s">
        <v>8</v>
      </c>
    </row>
    <row r="40" spans="1:27" x14ac:dyDescent="0.25">
      <c r="A40" s="9" t="s">
        <v>31</v>
      </c>
      <c r="B40" s="9" t="str">
        <f xml:space="preserve"> CONCATENATE( "Multi-Step( Fnormalized , LIST , ", C36, " , NUM_CORES=4 )")</f>
        <v>Multi-Step( Fnormalized , LIST , 0.4 , 0.425 , 0.45 , 0.475 , 0.5 , 0.525 , 0.55 , 0.575 , 0.6 , 0.625 , 0.65 , 0.675 , 0.7 , 0.725 , 0.75 , 0.775 , 0.8 , 0.825 , 0.85 , 0.875 , 1 , 1.2 , 1.4 , NUM_CORES=4 )</v>
      </c>
      <c r="C40" s="9" t="str">
        <f xml:space="preserve"> CONCATENATE( "Multi-Step( Q , LIST , ", C12, " )")</f>
        <v>Multi-Step( Q , LIST , 200m , 400m , 600m )</v>
      </c>
      <c r="E40" s="12"/>
      <c r="F40" s="12"/>
      <c r="G40" s="12"/>
      <c r="H40" s="9" t="s">
        <v>59</v>
      </c>
      <c r="I40" s="13"/>
      <c r="M40" s="10"/>
      <c r="N40" s="12"/>
      <c r="O40" s="12"/>
      <c r="P40" s="10"/>
      <c r="S40" s="7" t="s">
        <v>64</v>
      </c>
      <c r="U40" s="9" t="str">
        <f>CONCATENATE("Alias( AVG(VOUT)", " , VOUT_Q_%Q% )")</f>
        <v>Alias( AVG(VOUT) , VOUT_Q_%Q% )</v>
      </c>
    </row>
    <row r="41" spans="1:27" x14ac:dyDescent="0.25">
      <c r="A41" s="22" t="s">
        <v>53</v>
      </c>
      <c r="E41" s="12"/>
      <c r="F41" s="12"/>
      <c r="G41" s="12"/>
      <c r="H41" s="9" t="s">
        <v>68</v>
      </c>
      <c r="I41" s="13"/>
      <c r="N41" s="11"/>
      <c r="O41" s="12"/>
      <c r="P41" s="10"/>
      <c r="Q41" s="10"/>
      <c r="T41" s="10"/>
      <c r="U41" s="9" t="str">
        <f>CONCATENATE("CreateXYScalarPlot( Fnormalized , M_Q_", B10, " , M_Q_", B10, " , DVM 1st Harmonic Approx(Q=", B10, ") , DVM Gain , A1, vert,  ylabel=Voltage Gain yunits=(V/V) xlabel=Normalized Switching Frequency xunits=(Hz/Hz) ygrid=0.4 xgrid=0.2 usescalars=multi showpoints=true color=green)")</f>
        <v>CreateXYScalarPlot( Fnormalized , M_Q_200m , M_Q_200m , DVM 1st Harmonic Approx(Q=200m) , DVM Gain , A1, vert,  ylabel=Voltage Gain yunits=(V/V) xlabel=Normalized Switching Frequency xunits=(Hz/Hz) ygrid=0.4 xgrid=0.2 usescalars=multi showpoints=true color=green)</v>
      </c>
      <c r="V41" s="9" t="str">
        <f>CONCATENATE("CreateXYScalarPlot( Fnormalized , 2 * N * VOUT_Q_", B10, " / VIN , VOUT_Q_", B10, " , DVM SIMPLIS(Q=", B10, ") , DVM Gain , A1, vert, usescalars=multi showpoints=true color=red)")</f>
        <v>CreateXYScalarPlot( Fnormalized , 2 * N * VOUT_Q_200m / VIN , VOUT_Q_200m , DVM SIMPLIS(Q=200m) , DVM Gain , A1, vert, usescalars=multi showpoints=true color=red)</v>
      </c>
      <c r="W41" s="9" t="str">
        <f>CONCATENATE("CreateXYScalarPlot( Fnormalized , M_Q_", B11, " , M_Q_", B11, " , DVM 1st Harmonic Approx(Q=", B11, ") , DVM Gain , A1, vert, usescalars=multi showpoints=true color=green)")</f>
        <v>CreateXYScalarPlot( Fnormalized , M_Q_400m , M_Q_400m , DVM 1st Harmonic Approx(Q=400m) , DVM Gain , A1, vert, usescalars=multi showpoints=true color=green)</v>
      </c>
      <c r="X41" s="9" t="str">
        <f>CONCATENATE("CreateXYScalarPlot( Fnormalized , 2 * N * VOUT_Q_", B11, " / VIN , VOUT_Q_", B11, " , DVM SIMPLIS(Q=", B11, ") , DVM Gain , A1, vert, usescalars=multi showpoints=true color=red)")</f>
        <v>CreateXYScalarPlot( Fnormalized , 2 * N * VOUT_Q_400m / VIN , VOUT_Q_400m , DVM SIMPLIS(Q=400m) , DVM Gain , A1, vert, usescalars=multi showpoints=true color=red)</v>
      </c>
      <c r="Y41" s="9" t="str">
        <f>CONCATENATE("CreateXYScalarPlot( Fnormalized , M_Q_", B12, " , M_Q_", B12, " , DVM 1st Harmonic Approx(Q=", B12, ") , DVM Gain , A1, vert, usescalars=multi showpoints=true color=green)")</f>
        <v>CreateXYScalarPlot( Fnormalized , M_Q_600m , M_Q_600m , DVM 1st Harmonic Approx(Q=600m) , DVM Gain , A1, vert, usescalars=multi showpoints=true color=green)</v>
      </c>
      <c r="Z41" s="9" t="str">
        <f>CONCATENATE("CreateXYScalarPlot( Fnormalized , 2 * N * VOUT_Q_", B12, " / VIN , VOUT_Q_", B12, " , DVM SIMPLIS(Q=", B12, ") , DVM Gain , A1, vert, usescalars=multi showpoints=true color=red)")</f>
        <v>CreateXYScalarPlot( Fnormalized , 2 * N * VOUT_Q_600m / VIN , VOUT_Q_600m , DVM SIMPLIS(Q=600m) , DVM Gain , A1, vert, usescalars=multi showpoints=true color=red)</v>
      </c>
      <c r="AA41" s="9" t="s">
        <v>39</v>
      </c>
    </row>
  </sheetData>
  <mergeCells count="1">
    <mergeCell ref="E38:G38"/>
  </mergeCells>
  <hyperlinks>
    <hyperlink ref="A39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0"/>
  <sheetViews>
    <sheetView topLeftCell="AB76" zoomScale="85" zoomScaleNormal="85" workbookViewId="0">
      <selection activeCell="AB88" sqref="AB88"/>
    </sheetView>
  </sheetViews>
  <sheetFormatPr defaultRowHeight="15" x14ac:dyDescent="0.25"/>
  <cols>
    <col min="1" max="1" width="29.28515625" customWidth="1"/>
    <col min="2" max="2" width="13" bestFit="1" customWidth="1"/>
    <col min="3" max="3" width="11.140625" bestFit="1" customWidth="1"/>
    <col min="4" max="4" width="11.42578125" bestFit="1" customWidth="1"/>
    <col min="5" max="5" width="10.28515625" bestFit="1" customWidth="1"/>
    <col min="6" max="6" width="17.28515625" bestFit="1" customWidth="1"/>
    <col min="7" max="7" width="26.85546875" bestFit="1" customWidth="1"/>
    <col min="8" max="8" width="8.42578125" bestFit="1" customWidth="1"/>
    <col min="9" max="9" width="9.28515625" bestFit="1" customWidth="1"/>
    <col min="10" max="11" width="12.42578125" bestFit="1" customWidth="1"/>
    <col min="12" max="12" width="14.85546875" bestFit="1" customWidth="1"/>
    <col min="13" max="13" width="11.7109375" bestFit="1" customWidth="1"/>
    <col min="14" max="14" width="12.42578125" bestFit="1" customWidth="1"/>
    <col min="15" max="15" width="8.140625" bestFit="1" customWidth="1"/>
    <col min="16" max="16" width="8.7109375" bestFit="1" customWidth="1"/>
    <col min="17" max="17" width="10.7109375" style="7" bestFit="1" customWidth="1"/>
    <col min="18" max="20" width="27.42578125" style="7" bestFit="1" customWidth="1"/>
    <col min="21" max="21" width="14.42578125" bestFit="1" customWidth="1"/>
    <col min="22" max="22" width="11.7109375" bestFit="1" customWidth="1"/>
    <col min="23" max="23" width="120.5703125" bestFit="1" customWidth="1"/>
    <col min="24" max="24" width="125.85546875" bestFit="1" customWidth="1"/>
    <col min="25" max="25" width="120.5703125" bestFit="1" customWidth="1"/>
    <col min="26" max="26" width="125.85546875" bestFit="1" customWidth="1"/>
    <col min="27" max="27" width="120.5703125" bestFit="1" customWidth="1"/>
    <col min="28" max="28" width="203.85546875" bestFit="1" customWidth="1"/>
    <col min="29" max="29" width="27.28515625" bestFit="1" customWidth="1"/>
  </cols>
  <sheetData>
    <row r="1" spans="1:29" ht="14.45" x14ac:dyDescent="0.3">
      <c r="A1" t="s">
        <v>9</v>
      </c>
    </row>
    <row r="2" spans="1:29" ht="14.45" x14ac:dyDescent="0.3">
      <c r="A2" s="9" t="s">
        <v>67</v>
      </c>
    </row>
    <row r="3" spans="1:29" ht="14.45" x14ac:dyDescent="0.3">
      <c r="A3" s="9" t="s">
        <v>20</v>
      </c>
    </row>
    <row r="4" spans="1:29" ht="14.45" x14ac:dyDescent="0.3">
      <c r="A4" s="9" t="s">
        <v>9</v>
      </c>
      <c r="B4" t="s">
        <v>33</v>
      </c>
    </row>
    <row r="5" spans="1:29" ht="14.45" x14ac:dyDescent="0.3">
      <c r="A5" s="9" t="s">
        <v>21</v>
      </c>
      <c r="B5" s="5">
        <v>380</v>
      </c>
    </row>
    <row r="6" spans="1:29" ht="14.45" x14ac:dyDescent="0.3">
      <c r="A6" s="9" t="s">
        <v>22</v>
      </c>
      <c r="B6" s="6">
        <v>9.9799999999999997E-4</v>
      </c>
    </row>
    <row r="7" spans="1:29" ht="14.45" x14ac:dyDescent="0.3">
      <c r="A7" s="9" t="s">
        <v>23</v>
      </c>
      <c r="B7" s="6">
        <v>2.34E-4</v>
      </c>
    </row>
    <row r="8" spans="1:29" ht="14.45" x14ac:dyDescent="0.3">
      <c r="A8" s="9" t="s">
        <v>24</v>
      </c>
      <c r="B8" s="6">
        <v>1.4999999999999999E-8</v>
      </c>
    </row>
    <row r="9" spans="1:29" ht="14.45" x14ac:dyDescent="0.3">
      <c r="A9" s="9" t="s">
        <v>25</v>
      </c>
      <c r="B9" s="8">
        <v>7.5</v>
      </c>
    </row>
    <row r="10" spans="1:29" s="9" customFormat="1" ht="14.45" x14ac:dyDescent="0.3">
      <c r="A10" s="9" t="s">
        <v>26</v>
      </c>
      <c r="B10" s="14">
        <v>0.2</v>
      </c>
      <c r="Q10" s="7"/>
      <c r="R10" s="7"/>
      <c r="S10" s="7"/>
      <c r="T10" s="7"/>
    </row>
    <row r="11" spans="1:29" s="9" customFormat="1" ht="14.45" x14ac:dyDescent="0.3">
      <c r="A11" s="9" t="s">
        <v>27</v>
      </c>
      <c r="B11" s="14">
        <v>0.4</v>
      </c>
      <c r="Q11" s="7"/>
      <c r="R11" s="7"/>
      <c r="S11" s="7"/>
      <c r="T11" s="7"/>
    </row>
    <row r="12" spans="1:29" s="9" customFormat="1" ht="14.45" x14ac:dyDescent="0.3">
      <c r="A12" s="9" t="s">
        <v>28</v>
      </c>
      <c r="B12" s="14">
        <v>0.6</v>
      </c>
      <c r="Q12" s="7"/>
      <c r="R12" s="7"/>
      <c r="S12" s="7"/>
      <c r="T12" s="7"/>
    </row>
    <row r="13" spans="1:29" s="9" customFormat="1" ht="14.45" x14ac:dyDescent="0.3">
      <c r="A13" s="9" t="s">
        <v>0</v>
      </c>
      <c r="F13"/>
      <c r="J13" s="9" t="s">
        <v>29</v>
      </c>
      <c r="Q13" s="7"/>
      <c r="R13" s="7"/>
      <c r="S13" s="7"/>
      <c r="T13" s="7"/>
      <c r="U13" s="16" t="s">
        <v>44</v>
      </c>
    </row>
    <row r="14" spans="1:29" s="20" customFormat="1" ht="14.45" x14ac:dyDescent="0.3">
      <c r="A14" s="20" t="s">
        <v>40</v>
      </c>
      <c r="B14" s="20" t="s">
        <v>42</v>
      </c>
      <c r="C14" s="27" t="s">
        <v>41</v>
      </c>
      <c r="D14" s="27"/>
      <c r="E14" s="27"/>
      <c r="F14" s="20" t="s">
        <v>49</v>
      </c>
      <c r="G14" s="20" t="s">
        <v>46</v>
      </c>
      <c r="I14" s="20" t="s">
        <v>45</v>
      </c>
      <c r="J14" s="20" t="s">
        <v>30</v>
      </c>
      <c r="L14" s="20" t="s">
        <v>43</v>
      </c>
      <c r="M14" s="20" t="s">
        <v>44</v>
      </c>
      <c r="N14" s="28" t="s">
        <v>34</v>
      </c>
      <c r="O14" s="28"/>
      <c r="P14" s="28"/>
      <c r="Q14" s="28"/>
      <c r="R14" s="29" t="s">
        <v>36</v>
      </c>
      <c r="S14" s="29"/>
      <c r="T14" s="29"/>
      <c r="U14" s="16" t="s">
        <v>48</v>
      </c>
      <c r="V14" s="20" t="s">
        <v>47</v>
      </c>
    </row>
    <row r="15" spans="1:29" ht="14.45" x14ac:dyDescent="0.3">
      <c r="A15" s="18" t="s">
        <v>1</v>
      </c>
      <c r="B15" s="18" t="str">
        <f>CONCATENATE("var(VIN,", VIN, ")")</f>
        <v>var(VIN,380)</v>
      </c>
      <c r="C15" s="18" t="s">
        <v>10</v>
      </c>
      <c r="D15" s="18" t="s">
        <v>35</v>
      </c>
      <c r="E15" s="18" t="s">
        <v>11</v>
      </c>
      <c r="F15" s="18" t="s">
        <v>17</v>
      </c>
      <c r="G15" s="18" t="s">
        <v>2</v>
      </c>
      <c r="H15" s="18" t="s">
        <v>3</v>
      </c>
      <c r="I15" s="18" t="s">
        <v>12</v>
      </c>
      <c r="J15" s="18" t="s">
        <v>18</v>
      </c>
      <c r="K15" s="18" t="s">
        <v>4</v>
      </c>
      <c r="L15" s="18" t="s">
        <v>5</v>
      </c>
      <c r="M15" s="18" t="s">
        <v>6</v>
      </c>
      <c r="N15" s="18" t="s">
        <v>38</v>
      </c>
      <c r="O15" s="18" t="s">
        <v>13</v>
      </c>
      <c r="P15" s="18" t="s">
        <v>14</v>
      </c>
      <c r="Q15" s="19" t="s">
        <v>15</v>
      </c>
      <c r="R15" s="19"/>
      <c r="S15" s="19"/>
      <c r="T15" s="19"/>
      <c r="U15" s="18" t="s">
        <v>16</v>
      </c>
      <c r="V15" s="18" t="s">
        <v>7</v>
      </c>
      <c r="W15" s="18" t="s">
        <v>8</v>
      </c>
      <c r="X15" s="18" t="s">
        <v>8</v>
      </c>
      <c r="Y15" s="18" t="s">
        <v>8</v>
      </c>
      <c r="Z15" s="18" t="s">
        <v>8</v>
      </c>
      <c r="AA15" s="18" t="s">
        <v>8</v>
      </c>
      <c r="AB15" s="18" t="s">
        <v>8</v>
      </c>
      <c r="AC15" s="18" t="s">
        <v>8</v>
      </c>
    </row>
    <row r="16" spans="1:29" ht="14.45" x14ac:dyDescent="0.3">
      <c r="A16" s="9" t="s">
        <v>19</v>
      </c>
      <c r="B16">
        <f t="shared" ref="B16:B38" si="0">VIN</f>
        <v>380</v>
      </c>
      <c r="C16" s="3">
        <f t="shared" ref="C16:C38" si="1">Lr</f>
        <v>2.34E-4</v>
      </c>
      <c r="D16" s="3">
        <f t="shared" ref="D16:D38" si="2">Lp</f>
        <v>9.9799999999999997E-4</v>
      </c>
      <c r="E16" s="3">
        <f t="shared" ref="E16:E38" si="3">Cr</f>
        <v>1.4999999999999999E-8</v>
      </c>
      <c r="F16" s="17">
        <v>0.4</v>
      </c>
      <c r="G16" t="str">
        <f t="shared" ref="G16:G38" si="4">CONCATENATE("Pop|Q=",H16, "|FSW_by_Fo=",F16)</f>
        <v>Pop|Q=0.2|FSW_by_Fo=0.4</v>
      </c>
      <c r="H16" s="11">
        <f t="shared" ref="H16:H38" si="5">Qa</f>
        <v>0.2</v>
      </c>
      <c r="I16" s="4">
        <f t="shared" ref="I16:I38" si="6">NTurn</f>
        <v>7.5</v>
      </c>
      <c r="J16">
        <f>(SQRT(C16/E16))/H16</f>
        <v>624.49979983983985</v>
      </c>
      <c r="K16">
        <f>J16*PI()^2/(8*I16^2)</f>
        <v>13.696813273286015</v>
      </c>
      <c r="M16" s="1"/>
      <c r="N16" s="2">
        <f t="shared" ref="N16:N38" si="7">(D16+C16)/C16</f>
        <v>5.2649572649572649</v>
      </c>
      <c r="O16" s="3">
        <f t="shared" ref="O16:O38" si="8">1/(2*PI()*SQRT((D16+C16)*E16))</f>
        <v>37022.790388468951</v>
      </c>
      <c r="P16" s="1">
        <f t="shared" ref="P16:P38" si="9">1/(2*PI()*SQRT(C16*E16))</f>
        <v>84950.624020863033</v>
      </c>
      <c r="Q16" s="7">
        <f>(V16/P16)^2*(N16-1)/SQRT((1-(V16^2/O16^2))^2 + ((V16/P16)*(1-V16^2/P16^2)* (N16-1)*H16)^2)</f>
        <v>2.0863082159049777</v>
      </c>
      <c r="R16" s="7" t="str">
        <f>CONCATENATE("var( M1, ", Q16, " )")</f>
        <v>var( M1, 2.08630821590498 )</v>
      </c>
      <c r="U16" s="1">
        <f t="shared" ref="U16:U38" si="10">Q16*VIN/15</f>
        <v>52.853141469592771</v>
      </c>
      <c r="V16" s="1">
        <f t="shared" ref="V16:V38" si="11">F16*P16</f>
        <v>33980.249608345213</v>
      </c>
      <c r="W16" s="9" t="str">
        <f t="shared" ref="W16:W38" si="12">CONCATENATE("Alias( AVG(VOUT)", " , VOUT1 )")</f>
        <v>Alias( AVG(VOUT) , VOUT1 )</v>
      </c>
      <c r="X16" s="9" t="str">
        <f t="shared" ref="X16:X38" si="13">CONCATENATE("Alias( AVG(VIN)", " , VIN1 )")</f>
        <v>Alias( AVG(VIN) , VIN1 )</v>
      </c>
      <c r="Y16" s="9"/>
    </row>
    <row r="17" spans="1:25" ht="14.45" x14ac:dyDescent="0.3">
      <c r="A17" s="9" t="s">
        <v>19</v>
      </c>
      <c r="B17" s="9">
        <f t="shared" si="0"/>
        <v>380</v>
      </c>
      <c r="C17" s="12">
        <f t="shared" si="1"/>
        <v>2.34E-4</v>
      </c>
      <c r="D17" s="12">
        <f t="shared" si="2"/>
        <v>9.9799999999999997E-4</v>
      </c>
      <c r="E17" s="12">
        <f t="shared" si="3"/>
        <v>1.4999999999999999E-8</v>
      </c>
      <c r="F17" s="5">
        <f>F16+0.025</f>
        <v>0.42500000000000004</v>
      </c>
      <c r="G17" s="9" t="str">
        <f t="shared" si="4"/>
        <v>Pop|Q=0.2|FSW_by_Fo=0.425</v>
      </c>
      <c r="H17" s="11">
        <f t="shared" si="5"/>
        <v>0.2</v>
      </c>
      <c r="I17" s="13">
        <f t="shared" si="6"/>
        <v>7.5</v>
      </c>
      <c r="J17">
        <f t="shared" ref="J17:J62" si="14">(SQRT(C17/E17))/H17</f>
        <v>624.49979983983985</v>
      </c>
      <c r="K17">
        <f t="shared" ref="K17:K31" si="15">J17*PI()^2/(8*I17^2)</f>
        <v>13.696813273286015</v>
      </c>
      <c r="M17" s="1"/>
      <c r="N17" s="2">
        <f t="shared" si="7"/>
        <v>5.2649572649572649</v>
      </c>
      <c r="O17" s="3">
        <f t="shared" si="8"/>
        <v>37022.790388468951</v>
      </c>
      <c r="P17" s="1">
        <f t="shared" si="9"/>
        <v>84950.624020863033</v>
      </c>
      <c r="Q17" s="7">
        <f t="shared" ref="Q17:Q38" si="16">(V17/P17)^2*(N17-1)/SQRT((1-(V17^2/O17^2))^2 + ((V17/P17)*(1-V17^2/P17^2)* (N17-1)*H17)^2)</f>
        <v>2.5588344050931253</v>
      </c>
      <c r="R17" s="7" t="str">
        <f t="shared" ref="R17:R38" si="17">CONCATENATE("var( M1, ", Q17, " )")</f>
        <v>var( M1, 2.55883440509313 )</v>
      </c>
      <c r="U17" s="10">
        <f t="shared" si="10"/>
        <v>64.82380492902584</v>
      </c>
      <c r="V17" s="10">
        <f t="shared" si="11"/>
        <v>36104.015208866796</v>
      </c>
      <c r="W17" s="9" t="str">
        <f t="shared" si="12"/>
        <v>Alias( AVG(VOUT) , VOUT1 )</v>
      </c>
      <c r="X17" s="9" t="str">
        <f t="shared" si="13"/>
        <v>Alias( AVG(VIN) , VIN1 )</v>
      </c>
      <c r="Y17" s="9"/>
    </row>
    <row r="18" spans="1:25" ht="14.45" x14ac:dyDescent="0.3">
      <c r="A18" s="9" t="s">
        <v>19</v>
      </c>
      <c r="B18" s="9">
        <f t="shared" si="0"/>
        <v>380</v>
      </c>
      <c r="C18" s="12">
        <f t="shared" si="1"/>
        <v>2.34E-4</v>
      </c>
      <c r="D18" s="12">
        <f t="shared" si="2"/>
        <v>9.9799999999999997E-4</v>
      </c>
      <c r="E18" s="12">
        <f t="shared" si="3"/>
        <v>1.4999999999999999E-8</v>
      </c>
      <c r="F18" s="5">
        <f t="shared" ref="F18:F35" si="18">F17+0.025</f>
        <v>0.45000000000000007</v>
      </c>
      <c r="G18" s="9" t="str">
        <f t="shared" si="4"/>
        <v>Pop|Q=0.2|FSW_by_Fo=0.45</v>
      </c>
      <c r="H18" s="11">
        <f t="shared" si="5"/>
        <v>0.2</v>
      </c>
      <c r="I18" s="13">
        <f t="shared" si="6"/>
        <v>7.5</v>
      </c>
      <c r="J18">
        <f t="shared" si="14"/>
        <v>624.49979983983985</v>
      </c>
      <c r="K18">
        <f t="shared" si="15"/>
        <v>13.696813273286015</v>
      </c>
      <c r="M18" s="1"/>
      <c r="N18" s="2">
        <f t="shared" si="7"/>
        <v>5.2649572649572649</v>
      </c>
      <c r="O18" s="3">
        <f t="shared" si="8"/>
        <v>37022.790388468951</v>
      </c>
      <c r="P18" s="1">
        <f t="shared" si="9"/>
        <v>84950.624020863033</v>
      </c>
      <c r="Q18" s="7">
        <f t="shared" si="16"/>
        <v>2.7576574800751219</v>
      </c>
      <c r="R18" s="7" t="str">
        <f t="shared" si="17"/>
        <v>var( M1, 2.75765748007512 )</v>
      </c>
      <c r="U18" s="10">
        <f t="shared" si="10"/>
        <v>69.860656161903094</v>
      </c>
      <c r="V18" s="10">
        <f t="shared" si="11"/>
        <v>38227.780809388372</v>
      </c>
      <c r="W18" s="9" t="str">
        <f t="shared" si="12"/>
        <v>Alias( AVG(VOUT) , VOUT1 )</v>
      </c>
      <c r="X18" s="9" t="str">
        <f t="shared" si="13"/>
        <v>Alias( AVG(VIN) , VIN1 )</v>
      </c>
      <c r="Y18" s="9"/>
    </row>
    <row r="19" spans="1:25" ht="14.45" x14ac:dyDescent="0.3">
      <c r="A19" s="9" t="s">
        <v>19</v>
      </c>
      <c r="B19" s="9">
        <f t="shared" si="0"/>
        <v>380</v>
      </c>
      <c r="C19" s="12">
        <f t="shared" si="1"/>
        <v>2.34E-4</v>
      </c>
      <c r="D19" s="12">
        <f t="shared" si="2"/>
        <v>9.9799999999999997E-4</v>
      </c>
      <c r="E19" s="12">
        <f t="shared" si="3"/>
        <v>1.4999999999999999E-8</v>
      </c>
      <c r="F19" s="5">
        <f t="shared" si="18"/>
        <v>0.47500000000000009</v>
      </c>
      <c r="G19" s="9" t="str">
        <f t="shared" si="4"/>
        <v>Pop|Q=0.2|FSW_by_Fo=0.475</v>
      </c>
      <c r="H19" s="11">
        <f t="shared" si="5"/>
        <v>0.2</v>
      </c>
      <c r="I19" s="13">
        <f t="shared" si="6"/>
        <v>7.5</v>
      </c>
      <c r="J19">
        <f t="shared" si="14"/>
        <v>624.49979983983985</v>
      </c>
      <c r="K19">
        <f t="shared" si="15"/>
        <v>13.696813273286015</v>
      </c>
      <c r="M19" s="1"/>
      <c r="N19" s="2">
        <f t="shared" si="7"/>
        <v>5.2649572649572649</v>
      </c>
      <c r="O19" s="3">
        <f t="shared" si="8"/>
        <v>37022.790388468951</v>
      </c>
      <c r="P19" s="1">
        <f t="shared" si="9"/>
        <v>84950.624020863033</v>
      </c>
      <c r="Q19" s="7">
        <f t="shared" si="16"/>
        <v>2.6312031562625444</v>
      </c>
      <c r="R19" s="7" t="str">
        <f t="shared" si="17"/>
        <v>var( M1, 2.63120315626254 )</v>
      </c>
      <c r="U19" s="10">
        <f t="shared" si="10"/>
        <v>66.657146625317793</v>
      </c>
      <c r="V19" s="10">
        <f t="shared" si="11"/>
        <v>40351.546409909948</v>
      </c>
      <c r="W19" s="9" t="str">
        <f t="shared" si="12"/>
        <v>Alias( AVG(VOUT) , VOUT1 )</v>
      </c>
      <c r="X19" s="9" t="str">
        <f t="shared" si="13"/>
        <v>Alias( AVG(VIN) , VIN1 )</v>
      </c>
      <c r="Y19" s="9"/>
    </row>
    <row r="20" spans="1:25" ht="14.45" x14ac:dyDescent="0.3">
      <c r="A20" s="9" t="s">
        <v>19</v>
      </c>
      <c r="B20" s="9">
        <f t="shared" si="0"/>
        <v>380</v>
      </c>
      <c r="C20" s="12">
        <f t="shared" si="1"/>
        <v>2.34E-4</v>
      </c>
      <c r="D20" s="12">
        <f t="shared" si="2"/>
        <v>9.9799999999999997E-4</v>
      </c>
      <c r="E20" s="12">
        <f t="shared" si="3"/>
        <v>1.4999999999999999E-8</v>
      </c>
      <c r="F20" s="5">
        <f t="shared" si="18"/>
        <v>0.50000000000000011</v>
      </c>
      <c r="G20" s="9" t="str">
        <f t="shared" si="4"/>
        <v>Pop|Q=0.2|FSW_by_Fo=0.5</v>
      </c>
      <c r="H20" s="11">
        <f t="shared" si="5"/>
        <v>0.2</v>
      </c>
      <c r="I20" s="13">
        <f t="shared" si="6"/>
        <v>7.5</v>
      </c>
      <c r="J20">
        <f t="shared" si="14"/>
        <v>624.49979983983985</v>
      </c>
      <c r="K20">
        <f t="shared" si="15"/>
        <v>13.696813273286015</v>
      </c>
      <c r="M20" s="1"/>
      <c r="N20" s="2">
        <f t="shared" si="7"/>
        <v>5.2649572649572649</v>
      </c>
      <c r="O20" s="3">
        <f t="shared" si="8"/>
        <v>37022.790388468951</v>
      </c>
      <c r="P20" s="1">
        <f>1/(2*PI()*SQRT(C20*E20))</f>
        <v>84950.624020863033</v>
      </c>
      <c r="Q20" s="7">
        <f t="shared" si="16"/>
        <v>2.3704436072212305</v>
      </c>
      <c r="R20" s="7" t="str">
        <f t="shared" si="17"/>
        <v>var( M1, 2.37044360722123 )</v>
      </c>
      <c r="U20" s="10">
        <f t="shared" si="10"/>
        <v>60.051238049604507</v>
      </c>
      <c r="V20" s="10">
        <f t="shared" si="11"/>
        <v>42475.312010431524</v>
      </c>
      <c r="W20" s="9" t="str">
        <f t="shared" si="12"/>
        <v>Alias( AVG(VOUT) , VOUT1 )</v>
      </c>
      <c r="X20" s="9" t="str">
        <f t="shared" si="13"/>
        <v>Alias( AVG(VIN) , VIN1 )</v>
      </c>
      <c r="Y20" s="9"/>
    </row>
    <row r="21" spans="1:25" x14ac:dyDescent="0.25">
      <c r="A21" s="9" t="s">
        <v>19</v>
      </c>
      <c r="B21" s="9">
        <f t="shared" si="0"/>
        <v>380</v>
      </c>
      <c r="C21" s="12">
        <f t="shared" si="1"/>
        <v>2.34E-4</v>
      </c>
      <c r="D21" s="12">
        <f t="shared" si="2"/>
        <v>9.9799999999999997E-4</v>
      </c>
      <c r="E21" s="12">
        <f t="shared" si="3"/>
        <v>1.4999999999999999E-8</v>
      </c>
      <c r="F21" s="5">
        <f t="shared" si="18"/>
        <v>0.52500000000000013</v>
      </c>
      <c r="G21" s="9" t="str">
        <f t="shared" si="4"/>
        <v>Pop|Q=0.2|FSW_by_Fo=0.525</v>
      </c>
      <c r="H21" s="11">
        <f t="shared" si="5"/>
        <v>0.2</v>
      </c>
      <c r="I21" s="13">
        <f t="shared" si="6"/>
        <v>7.5</v>
      </c>
      <c r="J21">
        <f t="shared" si="14"/>
        <v>624.49979983983985</v>
      </c>
      <c r="K21">
        <f t="shared" si="15"/>
        <v>13.696813273286015</v>
      </c>
      <c r="M21" s="1"/>
      <c r="N21" s="2">
        <f t="shared" si="7"/>
        <v>5.2649572649572649</v>
      </c>
      <c r="O21" s="3">
        <f t="shared" si="8"/>
        <v>37022.790388468951</v>
      </c>
      <c r="P21" s="1">
        <f t="shared" si="9"/>
        <v>84950.624020863033</v>
      </c>
      <c r="Q21" s="7">
        <f t="shared" si="16"/>
        <v>2.1155178200846469</v>
      </c>
      <c r="R21" s="7" t="str">
        <f t="shared" si="17"/>
        <v>var( M1, 2.11551782008465 )</v>
      </c>
      <c r="U21" s="10">
        <f t="shared" si="10"/>
        <v>53.593118108811055</v>
      </c>
      <c r="V21" s="10">
        <f t="shared" si="11"/>
        <v>44599.077610953107</v>
      </c>
      <c r="W21" s="9" t="str">
        <f t="shared" si="12"/>
        <v>Alias( AVG(VOUT) , VOUT1 )</v>
      </c>
      <c r="X21" s="9" t="str">
        <f t="shared" si="13"/>
        <v>Alias( AVG(VIN) , VIN1 )</v>
      </c>
      <c r="Y21" s="9"/>
    </row>
    <row r="22" spans="1:25" x14ac:dyDescent="0.25">
      <c r="A22" s="9" t="s">
        <v>19</v>
      </c>
      <c r="B22" s="9">
        <f t="shared" si="0"/>
        <v>380</v>
      </c>
      <c r="C22" s="12">
        <f t="shared" si="1"/>
        <v>2.34E-4</v>
      </c>
      <c r="D22" s="12">
        <f t="shared" si="2"/>
        <v>9.9799999999999997E-4</v>
      </c>
      <c r="E22" s="12">
        <f t="shared" si="3"/>
        <v>1.4999999999999999E-8</v>
      </c>
      <c r="F22" s="5">
        <f t="shared" si="18"/>
        <v>0.55000000000000016</v>
      </c>
      <c r="G22" s="9" t="str">
        <f t="shared" si="4"/>
        <v>Pop|Q=0.2|FSW_by_Fo=0.55</v>
      </c>
      <c r="H22" s="11">
        <f t="shared" si="5"/>
        <v>0.2</v>
      </c>
      <c r="I22" s="13">
        <f t="shared" si="6"/>
        <v>7.5</v>
      </c>
      <c r="J22">
        <f t="shared" si="14"/>
        <v>624.49979983983985</v>
      </c>
      <c r="K22">
        <f t="shared" si="15"/>
        <v>13.696813273286015</v>
      </c>
      <c r="M22" s="1"/>
      <c r="N22" s="2">
        <f t="shared" si="7"/>
        <v>5.2649572649572649</v>
      </c>
      <c r="O22" s="3">
        <f t="shared" si="8"/>
        <v>37022.790388468951</v>
      </c>
      <c r="P22" s="1">
        <f t="shared" si="9"/>
        <v>84950.624020863033</v>
      </c>
      <c r="Q22" s="7">
        <f t="shared" si="16"/>
        <v>1.9057210797471584</v>
      </c>
      <c r="R22" s="7" t="str">
        <f t="shared" si="17"/>
        <v>var( M1, 1.90572107974716 )</v>
      </c>
      <c r="U22" s="10">
        <f t="shared" si="10"/>
        <v>48.278267353594678</v>
      </c>
      <c r="V22" s="10">
        <f t="shared" si="11"/>
        <v>46722.843211474683</v>
      </c>
      <c r="W22" s="9" t="str">
        <f t="shared" si="12"/>
        <v>Alias( AVG(VOUT) , VOUT1 )</v>
      </c>
      <c r="X22" s="9" t="str">
        <f t="shared" si="13"/>
        <v>Alias( AVG(VIN) , VIN1 )</v>
      </c>
      <c r="Y22" s="9"/>
    </row>
    <row r="23" spans="1:25" x14ac:dyDescent="0.25">
      <c r="A23" s="9" t="s">
        <v>19</v>
      </c>
      <c r="B23" s="9">
        <f t="shared" si="0"/>
        <v>380</v>
      </c>
      <c r="C23" s="12">
        <f t="shared" si="1"/>
        <v>2.34E-4</v>
      </c>
      <c r="D23" s="12">
        <f t="shared" si="2"/>
        <v>9.9799999999999997E-4</v>
      </c>
      <c r="E23" s="12">
        <f t="shared" si="3"/>
        <v>1.4999999999999999E-8</v>
      </c>
      <c r="F23" s="5">
        <f t="shared" si="18"/>
        <v>0.57500000000000018</v>
      </c>
      <c r="G23" s="9" t="str">
        <f t="shared" si="4"/>
        <v>Pop|Q=0.2|FSW_by_Fo=0.575</v>
      </c>
      <c r="H23" s="11">
        <f t="shared" si="5"/>
        <v>0.2</v>
      </c>
      <c r="I23" s="13">
        <f t="shared" si="6"/>
        <v>7.5</v>
      </c>
      <c r="J23">
        <f t="shared" si="14"/>
        <v>624.49979983983985</v>
      </c>
      <c r="K23">
        <f t="shared" si="15"/>
        <v>13.696813273286015</v>
      </c>
      <c r="M23" s="1"/>
      <c r="N23" s="2">
        <f t="shared" si="7"/>
        <v>5.2649572649572649</v>
      </c>
      <c r="O23" s="3">
        <f t="shared" si="8"/>
        <v>37022.790388468951</v>
      </c>
      <c r="P23" s="1">
        <f t="shared" si="9"/>
        <v>84950.624020863033</v>
      </c>
      <c r="Q23" s="7">
        <f t="shared" si="16"/>
        <v>1.7403857789893904</v>
      </c>
      <c r="R23" s="7" t="str">
        <f t="shared" si="17"/>
        <v>var( M1, 1.74038577898939 )</v>
      </c>
      <c r="U23" s="10">
        <f t="shared" si="10"/>
        <v>44.089773067731223</v>
      </c>
      <c r="V23" s="10">
        <f t="shared" si="11"/>
        <v>48846.608811996259</v>
      </c>
      <c r="W23" s="9" t="str">
        <f t="shared" si="12"/>
        <v>Alias( AVG(VOUT) , VOUT1 )</v>
      </c>
      <c r="X23" s="9" t="str">
        <f t="shared" si="13"/>
        <v>Alias( AVG(VIN) , VIN1 )</v>
      </c>
      <c r="Y23" s="9"/>
    </row>
    <row r="24" spans="1:25" x14ac:dyDescent="0.25">
      <c r="A24" s="9" t="s">
        <v>19</v>
      </c>
      <c r="B24" s="9">
        <f t="shared" si="0"/>
        <v>380</v>
      </c>
      <c r="C24" s="12">
        <f t="shared" si="1"/>
        <v>2.34E-4</v>
      </c>
      <c r="D24" s="12">
        <f t="shared" si="2"/>
        <v>9.9799999999999997E-4</v>
      </c>
      <c r="E24" s="12">
        <f t="shared" si="3"/>
        <v>1.4999999999999999E-8</v>
      </c>
      <c r="F24" s="5">
        <f t="shared" si="18"/>
        <v>0.6000000000000002</v>
      </c>
      <c r="G24" s="9" t="str">
        <f t="shared" si="4"/>
        <v>Pop|Q=0.2|FSW_by_Fo=0.6</v>
      </c>
      <c r="H24" s="11">
        <f t="shared" si="5"/>
        <v>0.2</v>
      </c>
      <c r="I24" s="13">
        <f t="shared" si="6"/>
        <v>7.5</v>
      </c>
      <c r="J24">
        <f t="shared" si="14"/>
        <v>624.49979983983985</v>
      </c>
      <c r="K24">
        <f t="shared" si="15"/>
        <v>13.696813273286015</v>
      </c>
      <c r="M24" s="1"/>
      <c r="N24" s="2">
        <f t="shared" si="7"/>
        <v>5.2649572649572649</v>
      </c>
      <c r="O24" s="3">
        <f t="shared" si="8"/>
        <v>37022.790388468951</v>
      </c>
      <c r="P24" s="1">
        <f t="shared" si="9"/>
        <v>84950.624020863033</v>
      </c>
      <c r="Q24" s="7">
        <f t="shared" si="16"/>
        <v>1.6104039225053721</v>
      </c>
      <c r="R24" s="7" t="str">
        <f t="shared" si="17"/>
        <v>var( M1, 1.61040392250537 )</v>
      </c>
      <c r="U24" s="10">
        <f t="shared" si="10"/>
        <v>40.796899370136096</v>
      </c>
      <c r="V24" s="10">
        <f t="shared" si="11"/>
        <v>50970.374412517835</v>
      </c>
      <c r="W24" s="9" t="str">
        <f t="shared" si="12"/>
        <v>Alias( AVG(VOUT) , VOUT1 )</v>
      </c>
      <c r="X24" s="9" t="str">
        <f t="shared" si="13"/>
        <v>Alias( AVG(VIN) , VIN1 )</v>
      </c>
      <c r="Y24" s="9"/>
    </row>
    <row r="25" spans="1:25" x14ac:dyDescent="0.25">
      <c r="A25" s="9" t="s">
        <v>19</v>
      </c>
      <c r="B25" s="9">
        <f t="shared" si="0"/>
        <v>380</v>
      </c>
      <c r="C25" s="12">
        <f t="shared" si="1"/>
        <v>2.34E-4</v>
      </c>
      <c r="D25" s="12">
        <f t="shared" si="2"/>
        <v>9.9799999999999997E-4</v>
      </c>
      <c r="E25" s="12">
        <f t="shared" si="3"/>
        <v>1.4999999999999999E-8</v>
      </c>
      <c r="F25" s="5">
        <f t="shared" si="18"/>
        <v>0.62500000000000022</v>
      </c>
      <c r="G25" s="9" t="str">
        <f t="shared" si="4"/>
        <v>Pop|Q=0.2|FSW_by_Fo=0.625</v>
      </c>
      <c r="H25" s="11">
        <f t="shared" si="5"/>
        <v>0.2</v>
      </c>
      <c r="I25" s="13">
        <f t="shared" si="6"/>
        <v>7.5</v>
      </c>
      <c r="J25">
        <f t="shared" si="14"/>
        <v>624.49979983983985</v>
      </c>
      <c r="K25">
        <f t="shared" si="15"/>
        <v>13.696813273286015</v>
      </c>
      <c r="M25" s="1"/>
      <c r="N25" s="2">
        <f t="shared" si="7"/>
        <v>5.2649572649572649</v>
      </c>
      <c r="O25" s="3">
        <f t="shared" si="8"/>
        <v>37022.790388468951</v>
      </c>
      <c r="P25" s="1">
        <f t="shared" si="9"/>
        <v>84950.624020863033</v>
      </c>
      <c r="Q25" s="7">
        <f t="shared" si="16"/>
        <v>1.5070931308934377</v>
      </c>
      <c r="R25" s="7" t="str">
        <f t="shared" si="17"/>
        <v>var( M1, 1.50709313089344 )</v>
      </c>
      <c r="U25" s="10">
        <f t="shared" si="10"/>
        <v>38.179692649300414</v>
      </c>
      <c r="V25" s="10">
        <f t="shared" si="11"/>
        <v>53094.140013039418</v>
      </c>
      <c r="W25" s="9" t="str">
        <f t="shared" si="12"/>
        <v>Alias( AVG(VOUT) , VOUT1 )</v>
      </c>
      <c r="X25" s="9" t="str">
        <f t="shared" si="13"/>
        <v>Alias( AVG(VIN) , VIN1 )</v>
      </c>
      <c r="Y25" s="9"/>
    </row>
    <row r="26" spans="1:25" x14ac:dyDescent="0.25">
      <c r="A26" s="9" t="s">
        <v>19</v>
      </c>
      <c r="B26" s="9">
        <f t="shared" si="0"/>
        <v>380</v>
      </c>
      <c r="C26" s="12">
        <f t="shared" si="1"/>
        <v>2.34E-4</v>
      </c>
      <c r="D26" s="12">
        <f t="shared" si="2"/>
        <v>9.9799999999999997E-4</v>
      </c>
      <c r="E26" s="12">
        <f t="shared" si="3"/>
        <v>1.4999999999999999E-8</v>
      </c>
      <c r="F26" s="5">
        <f t="shared" si="18"/>
        <v>0.65000000000000024</v>
      </c>
      <c r="G26" s="9" t="str">
        <f t="shared" si="4"/>
        <v>Pop|Q=0.2|FSW_by_Fo=0.65</v>
      </c>
      <c r="H26" s="11">
        <f t="shared" si="5"/>
        <v>0.2</v>
      </c>
      <c r="I26" s="13">
        <f t="shared" si="6"/>
        <v>7.5</v>
      </c>
      <c r="J26">
        <f t="shared" si="14"/>
        <v>624.49979983983985</v>
      </c>
      <c r="K26">
        <f t="shared" si="15"/>
        <v>13.696813273286015</v>
      </c>
      <c r="M26" s="1"/>
      <c r="N26" s="2">
        <f t="shared" si="7"/>
        <v>5.2649572649572649</v>
      </c>
      <c r="O26" s="3">
        <f t="shared" si="8"/>
        <v>37022.790388468951</v>
      </c>
      <c r="P26" s="1">
        <f t="shared" si="9"/>
        <v>84950.624020863033</v>
      </c>
      <c r="Q26" s="7">
        <f t="shared" si="16"/>
        <v>1.4237673462368883</v>
      </c>
      <c r="R26" s="7" t="str">
        <f t="shared" si="17"/>
        <v>var( M1, 1.42376734623689 )</v>
      </c>
      <c r="U26" s="10">
        <f t="shared" si="10"/>
        <v>36.068772771334501</v>
      </c>
      <c r="V26" s="10">
        <f t="shared" si="11"/>
        <v>55217.905613560994</v>
      </c>
      <c r="W26" s="9" t="str">
        <f t="shared" si="12"/>
        <v>Alias( AVG(VOUT) , VOUT1 )</v>
      </c>
      <c r="X26" s="9" t="str">
        <f t="shared" si="13"/>
        <v>Alias( AVG(VIN) , VIN1 )</v>
      </c>
      <c r="Y26" s="9"/>
    </row>
    <row r="27" spans="1:25" x14ac:dyDescent="0.25">
      <c r="A27" s="9" t="s">
        <v>19</v>
      </c>
      <c r="B27" s="9">
        <f t="shared" si="0"/>
        <v>380</v>
      </c>
      <c r="C27" s="12">
        <f t="shared" si="1"/>
        <v>2.34E-4</v>
      </c>
      <c r="D27" s="12">
        <f t="shared" si="2"/>
        <v>9.9799999999999997E-4</v>
      </c>
      <c r="E27" s="12">
        <f t="shared" si="3"/>
        <v>1.4999999999999999E-8</v>
      </c>
      <c r="F27" s="5">
        <f t="shared" si="18"/>
        <v>0.67500000000000027</v>
      </c>
      <c r="G27" s="9" t="str">
        <f t="shared" si="4"/>
        <v>Pop|Q=0.2|FSW_by_Fo=0.675</v>
      </c>
      <c r="H27" s="11">
        <f t="shared" si="5"/>
        <v>0.2</v>
      </c>
      <c r="I27" s="13">
        <f t="shared" si="6"/>
        <v>7.5</v>
      </c>
      <c r="J27">
        <f t="shared" si="14"/>
        <v>624.49979983983985</v>
      </c>
      <c r="K27">
        <f t="shared" si="15"/>
        <v>13.696813273286015</v>
      </c>
      <c r="M27" s="1"/>
      <c r="N27" s="2">
        <f t="shared" si="7"/>
        <v>5.2649572649572649</v>
      </c>
      <c r="O27" s="3">
        <f t="shared" si="8"/>
        <v>37022.790388468951</v>
      </c>
      <c r="P27" s="1">
        <f t="shared" si="9"/>
        <v>84950.624020863033</v>
      </c>
      <c r="Q27" s="7">
        <f t="shared" si="16"/>
        <v>1.3555485704717858</v>
      </c>
      <c r="R27" s="7" t="str">
        <f t="shared" si="17"/>
        <v>var( M1, 1.35554857047179 )</v>
      </c>
      <c r="U27" s="10">
        <f t="shared" si="10"/>
        <v>34.340563785285241</v>
      </c>
      <c r="V27" s="10">
        <f t="shared" si="11"/>
        <v>57341.671214082569</v>
      </c>
      <c r="W27" s="9" t="str">
        <f t="shared" si="12"/>
        <v>Alias( AVG(VOUT) , VOUT1 )</v>
      </c>
      <c r="X27" s="9" t="str">
        <f t="shared" si="13"/>
        <v>Alias( AVG(VIN) , VIN1 )</v>
      </c>
      <c r="Y27" s="9"/>
    </row>
    <row r="28" spans="1:25" x14ac:dyDescent="0.25">
      <c r="A28" s="9" t="s">
        <v>19</v>
      </c>
      <c r="B28" s="9">
        <f t="shared" si="0"/>
        <v>380</v>
      </c>
      <c r="C28" s="12">
        <f t="shared" si="1"/>
        <v>2.34E-4</v>
      </c>
      <c r="D28" s="12">
        <f t="shared" si="2"/>
        <v>9.9799999999999997E-4</v>
      </c>
      <c r="E28" s="12">
        <f t="shared" si="3"/>
        <v>1.4999999999999999E-8</v>
      </c>
      <c r="F28" s="5">
        <f t="shared" si="18"/>
        <v>0.70000000000000029</v>
      </c>
      <c r="G28" s="9" t="str">
        <f t="shared" si="4"/>
        <v>Pop|Q=0.2|FSW_by_Fo=0.7</v>
      </c>
      <c r="H28" s="11">
        <f t="shared" si="5"/>
        <v>0.2</v>
      </c>
      <c r="I28" s="13">
        <f t="shared" si="6"/>
        <v>7.5</v>
      </c>
      <c r="J28">
        <f t="shared" si="14"/>
        <v>624.49979983983985</v>
      </c>
      <c r="K28">
        <f t="shared" si="15"/>
        <v>13.696813273286015</v>
      </c>
      <c r="M28" s="1"/>
      <c r="N28" s="2">
        <f t="shared" si="7"/>
        <v>5.2649572649572649</v>
      </c>
      <c r="O28" s="3">
        <f t="shared" si="8"/>
        <v>37022.790388468951</v>
      </c>
      <c r="P28" s="1">
        <f t="shared" si="9"/>
        <v>84950.624020863033</v>
      </c>
      <c r="Q28" s="7">
        <f t="shared" si="16"/>
        <v>1.2989099456136248</v>
      </c>
      <c r="R28" s="7" t="str">
        <f t="shared" si="17"/>
        <v>var( M1, 1.29890994561362 )</v>
      </c>
      <c r="U28" s="10">
        <f t="shared" si="10"/>
        <v>32.905718622211829</v>
      </c>
      <c r="V28" s="10">
        <f t="shared" si="11"/>
        <v>59465.436814604145</v>
      </c>
      <c r="W28" s="9" t="str">
        <f t="shared" si="12"/>
        <v>Alias( AVG(VOUT) , VOUT1 )</v>
      </c>
      <c r="X28" s="9" t="str">
        <f t="shared" si="13"/>
        <v>Alias( AVG(VIN) , VIN1 )</v>
      </c>
      <c r="Y28" s="9"/>
    </row>
    <row r="29" spans="1:25" x14ac:dyDescent="0.25">
      <c r="A29" s="9" t="s">
        <v>19</v>
      </c>
      <c r="B29" s="9">
        <f t="shared" si="0"/>
        <v>380</v>
      </c>
      <c r="C29" s="12">
        <f t="shared" si="1"/>
        <v>2.34E-4</v>
      </c>
      <c r="D29" s="12">
        <f t="shared" si="2"/>
        <v>9.9799999999999997E-4</v>
      </c>
      <c r="E29" s="12">
        <f t="shared" si="3"/>
        <v>1.4999999999999999E-8</v>
      </c>
      <c r="F29" s="5">
        <f t="shared" si="18"/>
        <v>0.72500000000000031</v>
      </c>
      <c r="G29" s="9" t="str">
        <f t="shared" si="4"/>
        <v>Pop|Q=0.2|FSW_by_Fo=0.725</v>
      </c>
      <c r="H29" s="11">
        <f t="shared" si="5"/>
        <v>0.2</v>
      </c>
      <c r="I29" s="13">
        <f t="shared" si="6"/>
        <v>7.5</v>
      </c>
      <c r="J29">
        <f t="shared" si="14"/>
        <v>624.49979983983985</v>
      </c>
      <c r="K29">
        <f t="shared" si="15"/>
        <v>13.696813273286015</v>
      </c>
      <c r="M29" s="1"/>
      <c r="N29" s="2">
        <f t="shared" si="7"/>
        <v>5.2649572649572649</v>
      </c>
      <c r="O29" s="3">
        <f t="shared" si="8"/>
        <v>37022.790388468951</v>
      </c>
      <c r="P29" s="1">
        <f t="shared" si="9"/>
        <v>84950.624020863033</v>
      </c>
      <c r="Q29" s="7">
        <f t="shared" si="16"/>
        <v>1.2512836303060377</v>
      </c>
      <c r="R29" s="7" t="str">
        <f t="shared" si="17"/>
        <v>var( M1, 1.25128363030604 )</v>
      </c>
      <c r="U29" s="10">
        <f t="shared" si="10"/>
        <v>31.699185301086288</v>
      </c>
      <c r="V29" s="10">
        <f t="shared" si="11"/>
        <v>61589.202415125728</v>
      </c>
      <c r="W29" s="9" t="str">
        <f t="shared" si="12"/>
        <v>Alias( AVG(VOUT) , VOUT1 )</v>
      </c>
      <c r="X29" s="9" t="str">
        <f t="shared" si="13"/>
        <v>Alias( AVG(VIN) , VIN1 )</v>
      </c>
      <c r="Y29" s="9"/>
    </row>
    <row r="30" spans="1:25" x14ac:dyDescent="0.25">
      <c r="A30" s="9" t="s">
        <v>19</v>
      </c>
      <c r="B30" s="9">
        <f t="shared" si="0"/>
        <v>380</v>
      </c>
      <c r="C30" s="12">
        <f t="shared" si="1"/>
        <v>2.34E-4</v>
      </c>
      <c r="D30" s="12">
        <f t="shared" si="2"/>
        <v>9.9799999999999997E-4</v>
      </c>
      <c r="E30" s="12">
        <f t="shared" si="3"/>
        <v>1.4999999999999999E-8</v>
      </c>
      <c r="F30" s="5">
        <f t="shared" si="18"/>
        <v>0.75000000000000033</v>
      </c>
      <c r="G30" s="9" t="str">
        <f t="shared" si="4"/>
        <v>Pop|Q=0.2|FSW_by_Fo=0.75</v>
      </c>
      <c r="H30" s="11">
        <f t="shared" si="5"/>
        <v>0.2</v>
      </c>
      <c r="I30" s="13">
        <f t="shared" si="6"/>
        <v>7.5</v>
      </c>
      <c r="J30">
        <f t="shared" si="14"/>
        <v>624.49979983983985</v>
      </c>
      <c r="K30">
        <f t="shared" si="15"/>
        <v>13.696813273286015</v>
      </c>
      <c r="M30" s="1"/>
      <c r="N30" s="2">
        <f t="shared" si="7"/>
        <v>5.2649572649572649</v>
      </c>
      <c r="O30" s="3">
        <f t="shared" si="8"/>
        <v>37022.790388468951</v>
      </c>
      <c r="P30" s="1">
        <f t="shared" si="9"/>
        <v>84950.624020863033</v>
      </c>
      <c r="Q30" s="7">
        <f t="shared" si="16"/>
        <v>1.2107757223238103</v>
      </c>
      <c r="R30" s="7" t="str">
        <f t="shared" si="17"/>
        <v>var( M1, 1.21077572232381 )</v>
      </c>
      <c r="U30" s="10">
        <f t="shared" si="10"/>
        <v>30.672984965536525</v>
      </c>
      <c r="V30" s="10">
        <f t="shared" si="11"/>
        <v>63712.968015647304</v>
      </c>
      <c r="W30" s="9" t="str">
        <f t="shared" si="12"/>
        <v>Alias( AVG(VOUT) , VOUT1 )</v>
      </c>
      <c r="X30" s="9" t="str">
        <f t="shared" si="13"/>
        <v>Alias( AVG(VIN) , VIN1 )</v>
      </c>
      <c r="Y30" s="9"/>
    </row>
    <row r="31" spans="1:25" x14ac:dyDescent="0.25">
      <c r="A31" s="9" t="s">
        <v>19</v>
      </c>
      <c r="B31" s="9">
        <f t="shared" si="0"/>
        <v>380</v>
      </c>
      <c r="C31" s="12">
        <f t="shared" si="1"/>
        <v>2.34E-4</v>
      </c>
      <c r="D31" s="12">
        <f t="shared" si="2"/>
        <v>9.9799999999999997E-4</v>
      </c>
      <c r="E31" s="12">
        <f t="shared" si="3"/>
        <v>1.4999999999999999E-8</v>
      </c>
      <c r="F31" s="5">
        <f t="shared" si="18"/>
        <v>0.77500000000000036</v>
      </c>
      <c r="G31" s="9" t="str">
        <f t="shared" si="4"/>
        <v>Pop|Q=0.2|FSW_by_Fo=0.775</v>
      </c>
      <c r="H31" s="11">
        <f t="shared" si="5"/>
        <v>0.2</v>
      </c>
      <c r="I31" s="13">
        <f t="shared" si="6"/>
        <v>7.5</v>
      </c>
      <c r="J31">
        <f t="shared" si="14"/>
        <v>624.49979983983985</v>
      </c>
      <c r="K31">
        <f t="shared" si="15"/>
        <v>13.696813273286015</v>
      </c>
      <c r="M31" s="1"/>
      <c r="N31" s="2">
        <f t="shared" si="7"/>
        <v>5.2649572649572649</v>
      </c>
      <c r="O31" s="3">
        <f t="shared" si="8"/>
        <v>37022.790388468951</v>
      </c>
      <c r="P31" s="1">
        <f t="shared" si="9"/>
        <v>84950.624020863033</v>
      </c>
      <c r="Q31" s="7">
        <f t="shared" si="16"/>
        <v>1.1759685680924217</v>
      </c>
      <c r="R31" s="7" t="str">
        <f t="shared" si="17"/>
        <v>var( M1, 1.17596856809242 )</v>
      </c>
      <c r="U31" s="10">
        <f t="shared" si="10"/>
        <v>29.791203725008017</v>
      </c>
      <c r="V31" s="10">
        <f t="shared" si="11"/>
        <v>65836.733616168887</v>
      </c>
      <c r="W31" s="9" t="str">
        <f t="shared" si="12"/>
        <v>Alias( AVG(VOUT) , VOUT1 )</v>
      </c>
      <c r="X31" s="9" t="str">
        <f t="shared" si="13"/>
        <v>Alias( AVG(VIN) , VIN1 )</v>
      </c>
      <c r="Y31" s="9"/>
    </row>
    <row r="32" spans="1:25" x14ac:dyDescent="0.25">
      <c r="A32" s="9" t="s">
        <v>19</v>
      </c>
      <c r="B32" s="9">
        <f t="shared" si="0"/>
        <v>380</v>
      </c>
      <c r="C32" s="12">
        <f t="shared" si="1"/>
        <v>2.34E-4</v>
      </c>
      <c r="D32" s="12">
        <f t="shared" si="2"/>
        <v>9.9799999999999997E-4</v>
      </c>
      <c r="E32" s="12">
        <f t="shared" si="3"/>
        <v>1.4999999999999999E-8</v>
      </c>
      <c r="F32" s="5">
        <f t="shared" si="18"/>
        <v>0.80000000000000038</v>
      </c>
      <c r="G32" s="9" t="str">
        <f t="shared" si="4"/>
        <v>Pop|Q=0.2|FSW_by_Fo=0.8</v>
      </c>
      <c r="H32" s="11">
        <f t="shared" si="5"/>
        <v>0.2</v>
      </c>
      <c r="I32" s="13">
        <f t="shared" si="6"/>
        <v>7.5</v>
      </c>
      <c r="J32">
        <f t="shared" si="14"/>
        <v>624.49979983983985</v>
      </c>
      <c r="K32">
        <f>J32*PI()^2/(8*I32^2)</f>
        <v>13.696813273286015</v>
      </c>
      <c r="M32" s="1"/>
      <c r="N32" s="2">
        <f t="shared" si="7"/>
        <v>5.2649572649572649</v>
      </c>
      <c r="O32" s="3">
        <f t="shared" si="8"/>
        <v>37022.790388468951</v>
      </c>
      <c r="P32" s="1">
        <f t="shared" si="9"/>
        <v>84950.624020863033</v>
      </c>
      <c r="Q32" s="7">
        <f t="shared" si="16"/>
        <v>1.1457850435475418</v>
      </c>
      <c r="R32" s="7" t="str">
        <f t="shared" si="17"/>
        <v>var( M1, 1.14578504354754 )</v>
      </c>
      <c r="U32" s="10">
        <f t="shared" si="10"/>
        <v>29.026554436537726</v>
      </c>
      <c r="V32" s="10">
        <f t="shared" si="11"/>
        <v>67960.499216690456</v>
      </c>
      <c r="W32" s="9" t="str">
        <f t="shared" si="12"/>
        <v>Alias( AVG(VOUT) , VOUT1 )</v>
      </c>
      <c r="X32" s="9" t="str">
        <f t="shared" si="13"/>
        <v>Alias( AVG(VIN) , VIN1 )</v>
      </c>
      <c r="Y32" s="9"/>
    </row>
    <row r="33" spans="1:25" x14ac:dyDescent="0.25">
      <c r="A33" s="9" t="s">
        <v>19</v>
      </c>
      <c r="B33" s="9">
        <f t="shared" si="0"/>
        <v>380</v>
      </c>
      <c r="C33" s="12">
        <f t="shared" si="1"/>
        <v>2.34E-4</v>
      </c>
      <c r="D33" s="12">
        <f t="shared" si="2"/>
        <v>9.9799999999999997E-4</v>
      </c>
      <c r="E33" s="12">
        <f t="shared" si="3"/>
        <v>1.4999999999999999E-8</v>
      </c>
      <c r="F33" s="5">
        <f t="shared" si="18"/>
        <v>0.8250000000000004</v>
      </c>
      <c r="G33" s="9" t="str">
        <f t="shared" si="4"/>
        <v>Pop|Q=0.2|FSW_by_Fo=0.825</v>
      </c>
      <c r="H33" s="11">
        <f t="shared" si="5"/>
        <v>0.2</v>
      </c>
      <c r="I33" s="13">
        <f t="shared" si="6"/>
        <v>7.5</v>
      </c>
      <c r="J33">
        <f t="shared" si="14"/>
        <v>624.49979983983985</v>
      </c>
      <c r="K33">
        <f t="shared" ref="K33:K38" si="19">J33*PI()^2/(8*I33^2)</f>
        <v>13.696813273286015</v>
      </c>
      <c r="M33" s="1"/>
      <c r="N33" s="2">
        <f t="shared" si="7"/>
        <v>5.2649572649572649</v>
      </c>
      <c r="O33" s="3">
        <f t="shared" si="8"/>
        <v>37022.790388468951</v>
      </c>
      <c r="P33" s="1">
        <f t="shared" si="9"/>
        <v>84950.624020863033</v>
      </c>
      <c r="Q33" s="7">
        <f t="shared" si="16"/>
        <v>1.1193949548361226</v>
      </c>
      <c r="R33" s="7" t="str">
        <f t="shared" si="17"/>
        <v>var( M1, 1.11939495483612 )</v>
      </c>
      <c r="U33" s="10">
        <f t="shared" si="10"/>
        <v>28.358005522515107</v>
      </c>
      <c r="V33" s="10">
        <f t="shared" si="11"/>
        <v>70084.264817212039</v>
      </c>
      <c r="W33" s="9" t="str">
        <f t="shared" si="12"/>
        <v>Alias( AVG(VOUT) , VOUT1 )</v>
      </c>
      <c r="X33" s="9" t="str">
        <f t="shared" si="13"/>
        <v>Alias( AVG(VIN) , VIN1 )</v>
      </c>
      <c r="Y33" s="9"/>
    </row>
    <row r="34" spans="1:25" x14ac:dyDescent="0.25">
      <c r="A34" s="9" t="s">
        <v>19</v>
      </c>
      <c r="B34" s="9">
        <f t="shared" si="0"/>
        <v>380</v>
      </c>
      <c r="C34" s="12">
        <f t="shared" si="1"/>
        <v>2.34E-4</v>
      </c>
      <c r="D34" s="12">
        <f t="shared" si="2"/>
        <v>9.9799999999999997E-4</v>
      </c>
      <c r="E34" s="12">
        <f t="shared" si="3"/>
        <v>1.4999999999999999E-8</v>
      </c>
      <c r="F34" s="5">
        <f t="shared" si="18"/>
        <v>0.85000000000000042</v>
      </c>
      <c r="G34" s="9" t="str">
        <f t="shared" si="4"/>
        <v>Pop|Q=0.2|FSW_by_Fo=0.85</v>
      </c>
      <c r="H34" s="11">
        <f t="shared" si="5"/>
        <v>0.2</v>
      </c>
      <c r="I34" s="13">
        <f t="shared" si="6"/>
        <v>7.5</v>
      </c>
      <c r="J34">
        <f t="shared" si="14"/>
        <v>624.49979983983985</v>
      </c>
      <c r="K34">
        <f t="shared" si="19"/>
        <v>13.696813273286015</v>
      </c>
      <c r="M34" s="1"/>
      <c r="N34" s="2">
        <f t="shared" si="7"/>
        <v>5.2649572649572649</v>
      </c>
      <c r="O34" s="3">
        <f t="shared" si="8"/>
        <v>37022.790388468951</v>
      </c>
      <c r="P34" s="1">
        <f t="shared" si="9"/>
        <v>84950.624020863033</v>
      </c>
      <c r="Q34" s="7">
        <f t="shared" si="16"/>
        <v>1.0961497917110528</v>
      </c>
      <c r="R34" s="7" t="str">
        <f t="shared" si="17"/>
        <v>var( M1, 1.09614979171105 )</v>
      </c>
      <c r="U34" s="10">
        <f t="shared" si="10"/>
        <v>27.769128056680003</v>
      </c>
      <c r="V34" s="10">
        <f t="shared" si="11"/>
        <v>72208.030417733607</v>
      </c>
      <c r="W34" s="9" t="str">
        <f t="shared" si="12"/>
        <v>Alias( AVG(VOUT) , VOUT1 )</v>
      </c>
      <c r="X34" s="9" t="str">
        <f t="shared" si="13"/>
        <v>Alias( AVG(VIN) , VIN1 )</v>
      </c>
      <c r="Y34" s="9"/>
    </row>
    <row r="35" spans="1:25" x14ac:dyDescent="0.25">
      <c r="A35" s="9" t="s">
        <v>19</v>
      </c>
      <c r="B35" s="9">
        <f t="shared" si="0"/>
        <v>380</v>
      </c>
      <c r="C35" s="12">
        <f t="shared" si="1"/>
        <v>2.34E-4</v>
      </c>
      <c r="D35" s="12">
        <f t="shared" si="2"/>
        <v>9.9799999999999997E-4</v>
      </c>
      <c r="E35" s="12">
        <f t="shared" si="3"/>
        <v>1.4999999999999999E-8</v>
      </c>
      <c r="F35" s="5">
        <f t="shared" si="18"/>
        <v>0.87500000000000044</v>
      </c>
      <c r="G35" s="9" t="str">
        <f t="shared" si="4"/>
        <v>Pop|Q=0.2|FSW_by_Fo=0.875</v>
      </c>
      <c r="H35" s="11">
        <f t="shared" si="5"/>
        <v>0.2</v>
      </c>
      <c r="I35" s="13">
        <f t="shared" si="6"/>
        <v>7.5</v>
      </c>
      <c r="J35">
        <f t="shared" si="14"/>
        <v>624.49979983983985</v>
      </c>
      <c r="K35">
        <f t="shared" si="19"/>
        <v>13.696813273286015</v>
      </c>
      <c r="M35" s="1"/>
      <c r="N35" s="2">
        <f t="shared" si="7"/>
        <v>5.2649572649572649</v>
      </c>
      <c r="O35" s="3">
        <f t="shared" si="8"/>
        <v>37022.790388468951</v>
      </c>
      <c r="P35" s="1">
        <f t="shared" si="9"/>
        <v>84950.624020863033</v>
      </c>
      <c r="Q35" s="7">
        <f t="shared" si="16"/>
        <v>1.0755366399688637</v>
      </c>
      <c r="R35" s="7" t="str">
        <f t="shared" si="17"/>
        <v>var( M1, 1.07553663996886 )</v>
      </c>
      <c r="U35" s="10">
        <f t="shared" si="10"/>
        <v>27.24692821254455</v>
      </c>
      <c r="V35" s="10">
        <f t="shared" si="11"/>
        <v>74331.796018255191</v>
      </c>
      <c r="W35" s="9" t="str">
        <f t="shared" si="12"/>
        <v>Alias( AVG(VOUT) , VOUT1 )</v>
      </c>
      <c r="X35" s="9" t="str">
        <f t="shared" si="13"/>
        <v>Alias( AVG(VIN) , VIN1 )</v>
      </c>
      <c r="Y35" s="9"/>
    </row>
    <row r="36" spans="1:25" x14ac:dyDescent="0.25">
      <c r="A36" s="9" t="s">
        <v>19</v>
      </c>
      <c r="B36" s="9">
        <f t="shared" si="0"/>
        <v>380</v>
      </c>
      <c r="C36" s="12">
        <f t="shared" si="1"/>
        <v>2.34E-4</v>
      </c>
      <c r="D36" s="12">
        <f t="shared" si="2"/>
        <v>9.9799999999999997E-4</v>
      </c>
      <c r="E36" s="12">
        <f t="shared" si="3"/>
        <v>1.4999999999999999E-8</v>
      </c>
      <c r="F36" s="5">
        <v>1</v>
      </c>
      <c r="G36" s="9" t="str">
        <f t="shared" si="4"/>
        <v>Pop|Q=0.2|FSW_by_Fo=1</v>
      </c>
      <c r="H36" s="11">
        <f t="shared" si="5"/>
        <v>0.2</v>
      </c>
      <c r="I36" s="13">
        <f t="shared" si="6"/>
        <v>7.5</v>
      </c>
      <c r="J36">
        <f t="shared" si="14"/>
        <v>624.49979983983985</v>
      </c>
      <c r="K36">
        <f t="shared" si="19"/>
        <v>13.696813273286015</v>
      </c>
      <c r="M36" s="1"/>
      <c r="N36" s="2">
        <f t="shared" si="7"/>
        <v>5.2649572649572649</v>
      </c>
      <c r="O36" s="3">
        <f t="shared" si="8"/>
        <v>37022.790388468951</v>
      </c>
      <c r="P36" s="1">
        <f t="shared" si="9"/>
        <v>84950.624020863033</v>
      </c>
      <c r="Q36" s="7">
        <f t="shared" si="16"/>
        <v>0.99999999999999978</v>
      </c>
      <c r="R36" s="7" t="str">
        <f t="shared" si="17"/>
        <v>var( M1, 1 )</v>
      </c>
      <c r="U36" s="10">
        <f t="shared" si="10"/>
        <v>25.333333333333329</v>
      </c>
      <c r="V36" s="10">
        <f t="shared" si="11"/>
        <v>84950.624020863033</v>
      </c>
      <c r="W36" s="9" t="str">
        <f t="shared" si="12"/>
        <v>Alias( AVG(VOUT) , VOUT1 )</v>
      </c>
      <c r="X36" s="9" t="str">
        <f t="shared" si="13"/>
        <v>Alias( AVG(VIN) , VIN1 )</v>
      </c>
      <c r="Y36" s="9"/>
    </row>
    <row r="37" spans="1:25" x14ac:dyDescent="0.25">
      <c r="A37" s="9" t="s">
        <v>19</v>
      </c>
      <c r="B37" s="9">
        <f t="shared" si="0"/>
        <v>380</v>
      </c>
      <c r="C37" s="12">
        <f t="shared" si="1"/>
        <v>2.34E-4</v>
      </c>
      <c r="D37" s="12">
        <f t="shared" si="2"/>
        <v>9.9799999999999997E-4</v>
      </c>
      <c r="E37" s="12">
        <f t="shared" si="3"/>
        <v>1.4999999999999999E-8</v>
      </c>
      <c r="F37" s="5">
        <v>1.2</v>
      </c>
      <c r="G37" s="9" t="str">
        <f t="shared" si="4"/>
        <v>Pop|Q=0.2|FSW_by_Fo=1.2</v>
      </c>
      <c r="H37" s="11">
        <f t="shared" si="5"/>
        <v>0.2</v>
      </c>
      <c r="I37" s="13">
        <f t="shared" si="6"/>
        <v>7.5</v>
      </c>
      <c r="J37">
        <f t="shared" si="14"/>
        <v>624.49979983983985</v>
      </c>
      <c r="K37">
        <f t="shared" si="19"/>
        <v>13.696813273286015</v>
      </c>
      <c r="M37" s="1"/>
      <c r="N37" s="2">
        <f t="shared" si="7"/>
        <v>5.2649572649572649</v>
      </c>
      <c r="O37" s="3">
        <f t="shared" si="8"/>
        <v>37022.790388468951</v>
      </c>
      <c r="P37" s="1">
        <f t="shared" si="9"/>
        <v>84950.624020863033</v>
      </c>
      <c r="Q37" s="7">
        <f t="shared" si="16"/>
        <v>0.93096912114864527</v>
      </c>
      <c r="R37" s="7" t="str">
        <f t="shared" si="17"/>
        <v>var( M1, 0.930969121148645 )</v>
      </c>
      <c r="U37" s="10">
        <f t="shared" si="10"/>
        <v>23.584551069099014</v>
      </c>
      <c r="V37" s="10">
        <f t="shared" si="11"/>
        <v>101940.74882503564</v>
      </c>
      <c r="W37" s="9" t="str">
        <f t="shared" si="12"/>
        <v>Alias( AVG(VOUT) , VOUT1 )</v>
      </c>
      <c r="X37" s="9" t="str">
        <f t="shared" si="13"/>
        <v>Alias( AVG(VIN) , VIN1 )</v>
      </c>
      <c r="Y37" s="9"/>
    </row>
    <row r="38" spans="1:25" x14ac:dyDescent="0.25">
      <c r="A38" s="9" t="s">
        <v>19</v>
      </c>
      <c r="B38" s="9">
        <f t="shared" si="0"/>
        <v>380</v>
      </c>
      <c r="C38" s="12">
        <f t="shared" si="1"/>
        <v>2.34E-4</v>
      </c>
      <c r="D38" s="12">
        <f t="shared" si="2"/>
        <v>9.9799999999999997E-4</v>
      </c>
      <c r="E38" s="12">
        <f t="shared" si="3"/>
        <v>1.4999999999999999E-8</v>
      </c>
      <c r="F38" s="5">
        <v>1.4</v>
      </c>
      <c r="G38" s="9" t="str">
        <f t="shared" si="4"/>
        <v>Pop|Q=0.2|FSW_by_Fo=1.4</v>
      </c>
      <c r="H38" s="11">
        <f t="shared" si="5"/>
        <v>0.2</v>
      </c>
      <c r="I38" s="13">
        <f t="shared" si="6"/>
        <v>7.5</v>
      </c>
      <c r="J38">
        <f t="shared" si="14"/>
        <v>624.49979983983985</v>
      </c>
      <c r="K38">
        <f t="shared" si="19"/>
        <v>13.696813273286015</v>
      </c>
      <c r="M38" s="1"/>
      <c r="N38" s="2">
        <f t="shared" si="7"/>
        <v>5.2649572649572649</v>
      </c>
      <c r="O38" s="3">
        <f t="shared" si="8"/>
        <v>37022.790388468951</v>
      </c>
      <c r="P38" s="1">
        <f t="shared" si="9"/>
        <v>84950.624020863033</v>
      </c>
      <c r="Q38" s="7">
        <f t="shared" si="16"/>
        <v>0.89027724253677298</v>
      </c>
      <c r="R38" s="7" t="str">
        <f t="shared" si="17"/>
        <v>var( M1, 0.890277242536773 )</v>
      </c>
      <c r="U38" s="10">
        <f t="shared" si="10"/>
        <v>22.553690144264916</v>
      </c>
      <c r="V38" s="10">
        <f t="shared" si="11"/>
        <v>118930.87362920823</v>
      </c>
      <c r="W38" s="9" t="str">
        <f t="shared" si="12"/>
        <v>Alias( AVG(VOUT) , VOUT1 )</v>
      </c>
      <c r="X38" s="9" t="str">
        <f t="shared" si="13"/>
        <v>Alias( AVG(VIN) , VIN1 )</v>
      </c>
      <c r="Y38" s="9"/>
    </row>
    <row r="39" spans="1:25" x14ac:dyDescent="0.25">
      <c r="A39" s="9" t="s">
        <v>0</v>
      </c>
      <c r="B39" s="9"/>
      <c r="C39" s="3"/>
      <c r="D39" s="3"/>
      <c r="E39" s="3"/>
      <c r="H39" s="11"/>
      <c r="I39" s="4"/>
      <c r="M39" s="1"/>
      <c r="N39" s="1"/>
      <c r="O39" s="1"/>
      <c r="P39" s="1"/>
      <c r="U39" s="1"/>
      <c r="V39" s="1"/>
      <c r="W39" s="9"/>
      <c r="X39" s="9"/>
      <c r="Y39" s="9"/>
    </row>
    <row r="40" spans="1:25" x14ac:dyDescent="0.25">
      <c r="A40" s="9" t="s">
        <v>19</v>
      </c>
      <c r="B40" s="9">
        <f t="shared" ref="B40:B62" si="20">VIN</f>
        <v>380</v>
      </c>
      <c r="C40" s="12">
        <f t="shared" ref="C40:C62" si="21">Lr</f>
        <v>2.34E-4</v>
      </c>
      <c r="D40" s="12">
        <f t="shared" ref="D40:D62" si="22">Lp</f>
        <v>9.9799999999999997E-4</v>
      </c>
      <c r="E40" s="12">
        <f t="shared" ref="E40:E62" si="23">Cr</f>
        <v>1.4999999999999999E-8</v>
      </c>
      <c r="F40" s="5">
        <v>0.4</v>
      </c>
      <c r="G40" s="9" t="str">
        <f t="shared" ref="G40:G62" si="24">CONCATENATE("Pop|Q=",H40, "|FSW_by_Fo=",F40)</f>
        <v>Pop|Q=0.4|FSW_by_Fo=0.4</v>
      </c>
      <c r="H40" s="11">
        <f t="shared" ref="H40:H62" si="25">Qb</f>
        <v>0.4</v>
      </c>
      <c r="I40" s="13">
        <f t="shared" ref="I40:I62" si="26">NTurn</f>
        <v>7.5</v>
      </c>
      <c r="J40">
        <f t="shared" si="14"/>
        <v>312.24989991991993</v>
      </c>
      <c r="K40">
        <f>J40*PI()^2/(8*I40^2)</f>
        <v>6.8484066366430074</v>
      </c>
      <c r="M40" s="1"/>
      <c r="N40" s="2">
        <f t="shared" ref="N40:N62" si="27">(D40+C40)/C40</f>
        <v>5.2649572649572649</v>
      </c>
      <c r="O40" s="3">
        <f t="shared" ref="O40:O62" si="28">1/(2*PI()*SQRT((D40+C40)*E40))</f>
        <v>37022.790388468951</v>
      </c>
      <c r="P40" s="1">
        <f t="shared" ref="P40:P62" si="29">1/(2*PI()*SQRT(C40*E40))</f>
        <v>84950.624020863033</v>
      </c>
      <c r="Q40" s="7">
        <f t="shared" ref="Q40:Q62" si="30">(V40/P40)^2*(N40-1)/SQRT((1-(V40^2/O40^2))^2 + ((V40/P40)*(1-V40^2/P40^2)* (N40-1)*H40)^2)</f>
        <v>1.1478768645754853</v>
      </c>
      <c r="S40" s="7" t="str">
        <f>CONCATENATE("var( M2, ", Q40, " )")</f>
        <v>var( M2, 1.14787686457549 )</v>
      </c>
      <c r="U40" s="10">
        <f t="shared" ref="U40:U62" si="31">Q40*VIN/15</f>
        <v>29.079547235912294</v>
      </c>
      <c r="V40" s="10">
        <f t="shared" ref="V40:V62" si="32">F40*P40</f>
        <v>33980.249608345213</v>
      </c>
      <c r="W40" s="9" t="str">
        <f t="shared" ref="W40:W62" si="33">CONCATENATE("Alias( AVG(VOUT)", " , VOUT2 )")</f>
        <v>Alias( AVG(VOUT) , VOUT2 )</v>
      </c>
      <c r="X40" s="9" t="str">
        <f t="shared" ref="X40:X62" si="34">CONCATENATE("Alias( AVG(VIN)", " , VIN2 )")</f>
        <v>Alias( AVG(VIN) , VIN2 )</v>
      </c>
      <c r="Y40" s="9"/>
    </row>
    <row r="41" spans="1:25" x14ac:dyDescent="0.25">
      <c r="A41" s="9" t="s">
        <v>19</v>
      </c>
      <c r="B41" s="9">
        <f t="shared" si="20"/>
        <v>380</v>
      </c>
      <c r="C41" s="12">
        <f t="shared" si="21"/>
        <v>2.34E-4</v>
      </c>
      <c r="D41" s="12">
        <f t="shared" si="22"/>
        <v>9.9799999999999997E-4</v>
      </c>
      <c r="E41" s="12">
        <f t="shared" si="23"/>
        <v>1.4999999999999999E-8</v>
      </c>
      <c r="F41" s="5">
        <f>F40+0.025</f>
        <v>0.42500000000000004</v>
      </c>
      <c r="G41" s="9" t="str">
        <f t="shared" si="24"/>
        <v>Pop|Q=0.4|FSW_by_Fo=0.425</v>
      </c>
      <c r="H41" s="11">
        <f t="shared" si="25"/>
        <v>0.4</v>
      </c>
      <c r="I41" s="13">
        <f t="shared" si="26"/>
        <v>7.5</v>
      </c>
      <c r="J41">
        <f t="shared" si="14"/>
        <v>312.24989991991993</v>
      </c>
      <c r="K41">
        <f t="shared" ref="K41:K55" si="35">J41*PI()^2/(8*I41^2)</f>
        <v>6.8484066366430074</v>
      </c>
      <c r="M41" s="1"/>
      <c r="N41" s="2">
        <f t="shared" si="27"/>
        <v>5.2649572649572649</v>
      </c>
      <c r="O41" s="3">
        <f t="shared" si="28"/>
        <v>37022.790388468951</v>
      </c>
      <c r="P41" s="1">
        <f t="shared" si="29"/>
        <v>84950.624020863033</v>
      </c>
      <c r="Q41" s="7">
        <f t="shared" si="30"/>
        <v>1.2923286084685914</v>
      </c>
      <c r="S41" s="7" t="str">
        <f t="shared" ref="S41:S62" si="36">CONCATENATE("var( M2, ", Q41, " )")</f>
        <v>var( M2, 1.29232860846859 )</v>
      </c>
      <c r="U41" s="10">
        <f t="shared" si="31"/>
        <v>32.738991414537651</v>
      </c>
      <c r="V41" s="10">
        <f t="shared" si="32"/>
        <v>36104.015208866796</v>
      </c>
      <c r="W41" s="9" t="str">
        <f t="shared" si="33"/>
        <v>Alias( AVG(VOUT) , VOUT2 )</v>
      </c>
      <c r="X41" s="9" t="str">
        <f t="shared" si="34"/>
        <v>Alias( AVG(VIN) , VIN2 )</v>
      </c>
      <c r="Y41" s="9"/>
    </row>
    <row r="42" spans="1:25" x14ac:dyDescent="0.25">
      <c r="A42" s="9" t="s">
        <v>19</v>
      </c>
      <c r="B42" s="9">
        <f t="shared" si="20"/>
        <v>380</v>
      </c>
      <c r="C42" s="12">
        <f t="shared" si="21"/>
        <v>2.34E-4</v>
      </c>
      <c r="D42" s="12">
        <f t="shared" si="22"/>
        <v>9.9799999999999997E-4</v>
      </c>
      <c r="E42" s="12">
        <f t="shared" si="23"/>
        <v>1.4999999999999999E-8</v>
      </c>
      <c r="F42" s="5">
        <f t="shared" ref="F42:F59" si="37">F41+0.025</f>
        <v>0.45000000000000007</v>
      </c>
      <c r="G42" s="9" t="str">
        <f t="shared" si="24"/>
        <v>Pop|Q=0.4|FSW_by_Fo=0.45</v>
      </c>
      <c r="H42" s="11">
        <f t="shared" si="25"/>
        <v>0.4</v>
      </c>
      <c r="I42" s="13">
        <f t="shared" si="26"/>
        <v>7.5</v>
      </c>
      <c r="J42">
        <f t="shared" si="14"/>
        <v>312.24989991991993</v>
      </c>
      <c r="K42">
        <f t="shared" si="35"/>
        <v>6.8484066366430074</v>
      </c>
      <c r="M42" s="1"/>
      <c r="N42" s="2">
        <f t="shared" si="27"/>
        <v>5.2649572649572649</v>
      </c>
      <c r="O42" s="3">
        <f t="shared" si="28"/>
        <v>37022.790388468951</v>
      </c>
      <c r="P42" s="1">
        <f t="shared" si="29"/>
        <v>84950.624020863033</v>
      </c>
      <c r="Q42" s="7">
        <f t="shared" si="30"/>
        <v>1.4024946731791528</v>
      </c>
      <c r="S42" s="7" t="str">
        <f t="shared" si="36"/>
        <v>var( M2, 1.40249467317915 )</v>
      </c>
      <c r="U42" s="10">
        <f t="shared" si="31"/>
        <v>35.529865053871866</v>
      </c>
      <c r="V42" s="10">
        <f t="shared" si="32"/>
        <v>38227.780809388372</v>
      </c>
      <c r="W42" s="9" t="str">
        <f t="shared" si="33"/>
        <v>Alias( AVG(VOUT) , VOUT2 )</v>
      </c>
      <c r="X42" s="9" t="str">
        <f t="shared" si="34"/>
        <v>Alias( AVG(VIN) , VIN2 )</v>
      </c>
      <c r="Y42" s="9"/>
    </row>
    <row r="43" spans="1:25" x14ac:dyDescent="0.25">
      <c r="A43" s="9" t="s">
        <v>19</v>
      </c>
      <c r="B43" s="9">
        <f t="shared" si="20"/>
        <v>380</v>
      </c>
      <c r="C43" s="12">
        <f t="shared" si="21"/>
        <v>2.34E-4</v>
      </c>
      <c r="D43" s="12">
        <f t="shared" si="22"/>
        <v>9.9799999999999997E-4</v>
      </c>
      <c r="E43" s="12">
        <f t="shared" si="23"/>
        <v>1.4999999999999999E-8</v>
      </c>
      <c r="F43" s="5">
        <f t="shared" si="37"/>
        <v>0.47500000000000009</v>
      </c>
      <c r="G43" s="9" t="str">
        <f t="shared" si="24"/>
        <v>Pop|Q=0.4|FSW_by_Fo=0.475</v>
      </c>
      <c r="H43" s="11">
        <f t="shared" si="25"/>
        <v>0.4</v>
      </c>
      <c r="I43" s="13">
        <f t="shared" si="26"/>
        <v>7.5</v>
      </c>
      <c r="J43">
        <f t="shared" si="14"/>
        <v>312.24989991991993</v>
      </c>
      <c r="K43">
        <f t="shared" si="35"/>
        <v>6.8484066366430074</v>
      </c>
      <c r="M43" s="1"/>
      <c r="N43" s="2">
        <f t="shared" si="27"/>
        <v>5.2649572649572649</v>
      </c>
      <c r="O43" s="3">
        <f t="shared" si="28"/>
        <v>37022.790388468951</v>
      </c>
      <c r="P43" s="1">
        <f t="shared" si="29"/>
        <v>84950.624020863033</v>
      </c>
      <c r="Q43" s="7">
        <f t="shared" si="30"/>
        <v>1.4690446981327612</v>
      </c>
      <c r="S43" s="7" t="str">
        <f t="shared" si="36"/>
        <v>var( M2, 1.46904469813276 )</v>
      </c>
      <c r="U43" s="10">
        <f t="shared" si="31"/>
        <v>37.215799019363288</v>
      </c>
      <c r="V43" s="10">
        <f t="shared" si="32"/>
        <v>40351.546409909948</v>
      </c>
      <c r="W43" s="9" t="str">
        <f t="shared" si="33"/>
        <v>Alias( AVG(VOUT) , VOUT2 )</v>
      </c>
      <c r="X43" s="9" t="str">
        <f t="shared" si="34"/>
        <v>Alias( AVG(VIN) , VIN2 )</v>
      </c>
      <c r="Y43" s="9"/>
    </row>
    <row r="44" spans="1:25" x14ac:dyDescent="0.25">
      <c r="A44" s="9" t="s">
        <v>19</v>
      </c>
      <c r="B44" s="9">
        <f t="shared" si="20"/>
        <v>380</v>
      </c>
      <c r="C44" s="12">
        <f t="shared" si="21"/>
        <v>2.34E-4</v>
      </c>
      <c r="D44" s="12">
        <f t="shared" si="22"/>
        <v>9.9799999999999997E-4</v>
      </c>
      <c r="E44" s="12">
        <f t="shared" si="23"/>
        <v>1.4999999999999999E-8</v>
      </c>
      <c r="F44" s="5">
        <f t="shared" si="37"/>
        <v>0.50000000000000011</v>
      </c>
      <c r="G44" s="9" t="str">
        <f t="shared" si="24"/>
        <v>Pop|Q=0.4|FSW_by_Fo=0.5</v>
      </c>
      <c r="H44" s="11">
        <f t="shared" si="25"/>
        <v>0.4</v>
      </c>
      <c r="I44" s="13">
        <f t="shared" si="26"/>
        <v>7.5</v>
      </c>
      <c r="J44">
        <f t="shared" si="14"/>
        <v>312.24989991991993</v>
      </c>
      <c r="K44">
        <f t="shared" si="35"/>
        <v>6.8484066366430074</v>
      </c>
      <c r="M44" s="1"/>
      <c r="N44" s="2">
        <f t="shared" si="27"/>
        <v>5.2649572649572649</v>
      </c>
      <c r="O44" s="3">
        <f t="shared" si="28"/>
        <v>37022.790388468951</v>
      </c>
      <c r="P44" s="1">
        <f t="shared" si="29"/>
        <v>84950.624020863033</v>
      </c>
      <c r="Q44" s="7">
        <f t="shared" si="30"/>
        <v>1.4940899264065857</v>
      </c>
      <c r="S44" s="7" t="str">
        <f t="shared" si="36"/>
        <v>var( M2, 1.49408992640659 )</v>
      </c>
      <c r="U44" s="10">
        <f t="shared" si="31"/>
        <v>37.850278135633502</v>
      </c>
      <c r="V44" s="10">
        <f t="shared" si="32"/>
        <v>42475.312010431524</v>
      </c>
      <c r="W44" s="9" t="str">
        <f t="shared" si="33"/>
        <v>Alias( AVG(VOUT) , VOUT2 )</v>
      </c>
      <c r="X44" s="9" t="str">
        <f t="shared" si="34"/>
        <v>Alias( AVG(VIN) , VIN2 )</v>
      </c>
      <c r="Y44" s="9"/>
    </row>
    <row r="45" spans="1:25" x14ac:dyDescent="0.25">
      <c r="A45" s="9" t="s">
        <v>19</v>
      </c>
      <c r="B45" s="9">
        <f t="shared" si="20"/>
        <v>380</v>
      </c>
      <c r="C45" s="12">
        <f t="shared" si="21"/>
        <v>2.34E-4</v>
      </c>
      <c r="D45" s="12">
        <f t="shared" si="22"/>
        <v>9.9799999999999997E-4</v>
      </c>
      <c r="E45" s="12">
        <f t="shared" si="23"/>
        <v>1.4999999999999999E-8</v>
      </c>
      <c r="F45" s="5">
        <f t="shared" si="37"/>
        <v>0.52500000000000013</v>
      </c>
      <c r="G45" s="9" t="str">
        <f t="shared" si="24"/>
        <v>Pop|Q=0.4|FSW_by_Fo=0.525</v>
      </c>
      <c r="H45" s="11">
        <f t="shared" si="25"/>
        <v>0.4</v>
      </c>
      <c r="I45" s="13">
        <f t="shared" si="26"/>
        <v>7.5</v>
      </c>
      <c r="J45">
        <f t="shared" si="14"/>
        <v>312.24989991991993</v>
      </c>
      <c r="K45">
        <f t="shared" si="35"/>
        <v>6.8484066366430074</v>
      </c>
      <c r="M45" s="1"/>
      <c r="N45" s="2">
        <f t="shared" si="27"/>
        <v>5.2649572649572649</v>
      </c>
      <c r="O45" s="3">
        <f t="shared" si="28"/>
        <v>37022.790388468951</v>
      </c>
      <c r="P45" s="1">
        <f t="shared" si="29"/>
        <v>84950.624020863033</v>
      </c>
      <c r="Q45" s="7">
        <f t="shared" si="30"/>
        <v>1.4875878880061169</v>
      </c>
      <c r="S45" s="7" t="str">
        <f t="shared" si="36"/>
        <v>var( M2, 1.48758788800612 )</v>
      </c>
      <c r="U45" s="10">
        <f t="shared" si="31"/>
        <v>37.685559829488291</v>
      </c>
      <c r="V45" s="10">
        <f t="shared" si="32"/>
        <v>44599.077610953107</v>
      </c>
      <c r="W45" s="9" t="str">
        <f t="shared" si="33"/>
        <v>Alias( AVG(VOUT) , VOUT2 )</v>
      </c>
      <c r="X45" s="9" t="str">
        <f t="shared" si="34"/>
        <v>Alias( AVG(VIN) , VIN2 )</v>
      </c>
      <c r="Y45" s="9"/>
    </row>
    <row r="46" spans="1:25" x14ac:dyDescent="0.25">
      <c r="A46" s="9" t="s">
        <v>19</v>
      </c>
      <c r="B46" s="9">
        <f t="shared" si="20"/>
        <v>380</v>
      </c>
      <c r="C46" s="12">
        <f t="shared" si="21"/>
        <v>2.34E-4</v>
      </c>
      <c r="D46" s="12">
        <f t="shared" si="22"/>
        <v>9.9799999999999997E-4</v>
      </c>
      <c r="E46" s="12">
        <f t="shared" si="23"/>
        <v>1.4999999999999999E-8</v>
      </c>
      <c r="F46" s="5">
        <f t="shared" si="37"/>
        <v>0.55000000000000016</v>
      </c>
      <c r="G46" s="9" t="str">
        <f t="shared" si="24"/>
        <v>Pop|Q=0.4|FSW_by_Fo=0.55</v>
      </c>
      <c r="H46" s="11">
        <f t="shared" si="25"/>
        <v>0.4</v>
      </c>
      <c r="I46" s="13">
        <f t="shared" si="26"/>
        <v>7.5</v>
      </c>
      <c r="J46">
        <f t="shared" si="14"/>
        <v>312.24989991991993</v>
      </c>
      <c r="K46">
        <f t="shared" si="35"/>
        <v>6.8484066366430074</v>
      </c>
      <c r="M46" s="1"/>
      <c r="N46" s="2">
        <f t="shared" si="27"/>
        <v>5.2649572649572649</v>
      </c>
      <c r="O46" s="3">
        <f t="shared" si="28"/>
        <v>37022.790388468951</v>
      </c>
      <c r="P46" s="1">
        <f t="shared" si="29"/>
        <v>84950.624020863033</v>
      </c>
      <c r="Q46" s="7">
        <f t="shared" si="30"/>
        <v>1.4612298124617962</v>
      </c>
      <c r="S46" s="7" t="str">
        <f t="shared" si="36"/>
        <v>var( M2, 1.4612298124618 )</v>
      </c>
      <c r="U46" s="10">
        <f t="shared" si="31"/>
        <v>37.017821915698839</v>
      </c>
      <c r="V46" s="10">
        <f t="shared" si="32"/>
        <v>46722.843211474683</v>
      </c>
      <c r="W46" s="9" t="str">
        <f t="shared" si="33"/>
        <v>Alias( AVG(VOUT) , VOUT2 )</v>
      </c>
      <c r="X46" s="9" t="str">
        <f t="shared" si="34"/>
        <v>Alias( AVG(VIN) , VIN2 )</v>
      </c>
      <c r="Y46" s="9"/>
    </row>
    <row r="47" spans="1:25" x14ac:dyDescent="0.25">
      <c r="A47" s="9" t="s">
        <v>19</v>
      </c>
      <c r="B47" s="9">
        <f t="shared" si="20"/>
        <v>380</v>
      </c>
      <c r="C47" s="12">
        <f t="shared" si="21"/>
        <v>2.34E-4</v>
      </c>
      <c r="D47" s="12">
        <f t="shared" si="22"/>
        <v>9.9799999999999997E-4</v>
      </c>
      <c r="E47" s="12">
        <f t="shared" si="23"/>
        <v>1.4999999999999999E-8</v>
      </c>
      <c r="F47" s="5">
        <f t="shared" si="37"/>
        <v>0.57500000000000018</v>
      </c>
      <c r="G47" s="9" t="str">
        <f t="shared" si="24"/>
        <v>Pop|Q=0.4|FSW_by_Fo=0.575</v>
      </c>
      <c r="H47" s="11">
        <f t="shared" si="25"/>
        <v>0.4</v>
      </c>
      <c r="I47" s="13">
        <f t="shared" si="26"/>
        <v>7.5</v>
      </c>
      <c r="J47">
        <f t="shared" si="14"/>
        <v>312.24989991991993</v>
      </c>
      <c r="K47">
        <f t="shared" si="35"/>
        <v>6.8484066366430074</v>
      </c>
      <c r="M47" s="1"/>
      <c r="N47" s="2">
        <f t="shared" si="27"/>
        <v>5.2649572649572649</v>
      </c>
      <c r="O47" s="3">
        <f t="shared" si="28"/>
        <v>37022.790388468951</v>
      </c>
      <c r="P47" s="1">
        <f t="shared" si="29"/>
        <v>84950.624020863033</v>
      </c>
      <c r="Q47" s="7">
        <f t="shared" si="30"/>
        <v>1.4245474289717015</v>
      </c>
      <c r="S47" s="7" t="str">
        <f t="shared" si="36"/>
        <v>var( M2, 1.4245474289717 )</v>
      </c>
      <c r="U47" s="10">
        <f t="shared" si="31"/>
        <v>36.088534867283101</v>
      </c>
      <c r="V47" s="10">
        <f t="shared" si="32"/>
        <v>48846.608811996259</v>
      </c>
      <c r="W47" s="9" t="str">
        <f t="shared" si="33"/>
        <v>Alias( AVG(VOUT) , VOUT2 )</v>
      </c>
      <c r="X47" s="9" t="str">
        <f t="shared" si="34"/>
        <v>Alias( AVG(VIN) , VIN2 )</v>
      </c>
      <c r="Y47" s="9"/>
    </row>
    <row r="48" spans="1:25" x14ac:dyDescent="0.25">
      <c r="A48" s="9" t="s">
        <v>19</v>
      </c>
      <c r="B48" s="9">
        <f t="shared" si="20"/>
        <v>380</v>
      </c>
      <c r="C48" s="12">
        <f t="shared" si="21"/>
        <v>2.34E-4</v>
      </c>
      <c r="D48" s="12">
        <f t="shared" si="22"/>
        <v>9.9799999999999997E-4</v>
      </c>
      <c r="E48" s="12">
        <f t="shared" si="23"/>
        <v>1.4999999999999999E-8</v>
      </c>
      <c r="F48" s="5">
        <f t="shared" si="37"/>
        <v>0.6000000000000002</v>
      </c>
      <c r="G48" s="9" t="str">
        <f t="shared" si="24"/>
        <v>Pop|Q=0.4|FSW_by_Fo=0.6</v>
      </c>
      <c r="H48" s="11">
        <f t="shared" si="25"/>
        <v>0.4</v>
      </c>
      <c r="I48" s="13">
        <f t="shared" si="26"/>
        <v>7.5</v>
      </c>
      <c r="J48">
        <f t="shared" si="14"/>
        <v>312.24989991991993</v>
      </c>
      <c r="K48">
        <f t="shared" si="35"/>
        <v>6.8484066366430074</v>
      </c>
      <c r="M48" s="1"/>
      <c r="N48" s="2">
        <f t="shared" si="27"/>
        <v>5.2649572649572649</v>
      </c>
      <c r="O48" s="3">
        <f t="shared" si="28"/>
        <v>37022.790388468951</v>
      </c>
      <c r="P48" s="1">
        <f t="shared" si="29"/>
        <v>84950.624020863033</v>
      </c>
      <c r="Q48" s="7">
        <f t="shared" si="30"/>
        <v>1.3839224390367657</v>
      </c>
      <c r="S48" s="7" t="str">
        <f t="shared" si="36"/>
        <v>var( M2, 1.38392243903677 )</v>
      </c>
      <c r="U48" s="10">
        <f t="shared" si="31"/>
        <v>35.059368455598062</v>
      </c>
      <c r="V48" s="10">
        <f t="shared" si="32"/>
        <v>50970.374412517835</v>
      </c>
      <c r="W48" s="9" t="str">
        <f t="shared" si="33"/>
        <v>Alias( AVG(VOUT) , VOUT2 )</v>
      </c>
      <c r="X48" s="9" t="str">
        <f t="shared" si="34"/>
        <v>Alias( AVG(VIN) , VIN2 )</v>
      </c>
      <c r="Y48" s="9"/>
    </row>
    <row r="49" spans="1:25" x14ac:dyDescent="0.25">
      <c r="A49" s="9" t="s">
        <v>19</v>
      </c>
      <c r="B49" s="9">
        <f t="shared" si="20"/>
        <v>380</v>
      </c>
      <c r="C49" s="12">
        <f t="shared" si="21"/>
        <v>2.34E-4</v>
      </c>
      <c r="D49" s="12">
        <f t="shared" si="22"/>
        <v>9.9799999999999997E-4</v>
      </c>
      <c r="E49" s="12">
        <f t="shared" si="23"/>
        <v>1.4999999999999999E-8</v>
      </c>
      <c r="F49" s="5">
        <f t="shared" si="37"/>
        <v>0.62500000000000022</v>
      </c>
      <c r="G49" s="9" t="str">
        <f t="shared" si="24"/>
        <v>Pop|Q=0.4|FSW_by_Fo=0.625</v>
      </c>
      <c r="H49" s="11">
        <f t="shared" si="25"/>
        <v>0.4</v>
      </c>
      <c r="I49" s="13">
        <f t="shared" si="26"/>
        <v>7.5</v>
      </c>
      <c r="J49">
        <f t="shared" si="14"/>
        <v>312.24989991991993</v>
      </c>
      <c r="K49">
        <f t="shared" si="35"/>
        <v>6.8484066366430074</v>
      </c>
      <c r="M49" s="1"/>
      <c r="N49" s="2">
        <f t="shared" si="27"/>
        <v>5.2649572649572649</v>
      </c>
      <c r="O49" s="3">
        <f t="shared" si="28"/>
        <v>37022.790388468951</v>
      </c>
      <c r="P49" s="1">
        <f t="shared" si="29"/>
        <v>84950.624020863033</v>
      </c>
      <c r="Q49" s="7">
        <f t="shared" si="30"/>
        <v>1.3431040062140414</v>
      </c>
      <c r="S49" s="7" t="str">
        <f t="shared" si="36"/>
        <v>var( M2, 1.34310400621404 )</v>
      </c>
      <c r="U49" s="10">
        <f t="shared" si="31"/>
        <v>34.025301490755716</v>
      </c>
      <c r="V49" s="10">
        <f t="shared" si="32"/>
        <v>53094.140013039418</v>
      </c>
      <c r="W49" s="9" t="str">
        <f t="shared" si="33"/>
        <v>Alias( AVG(VOUT) , VOUT2 )</v>
      </c>
      <c r="X49" s="9" t="str">
        <f t="shared" si="34"/>
        <v>Alias( AVG(VIN) , VIN2 )</v>
      </c>
      <c r="Y49" s="9"/>
    </row>
    <row r="50" spans="1:25" x14ac:dyDescent="0.25">
      <c r="A50" s="9" t="s">
        <v>19</v>
      </c>
      <c r="B50" s="9">
        <f t="shared" si="20"/>
        <v>380</v>
      </c>
      <c r="C50" s="12">
        <f t="shared" si="21"/>
        <v>2.34E-4</v>
      </c>
      <c r="D50" s="12">
        <f t="shared" si="22"/>
        <v>9.9799999999999997E-4</v>
      </c>
      <c r="E50" s="12">
        <f t="shared" si="23"/>
        <v>1.4999999999999999E-8</v>
      </c>
      <c r="F50" s="5">
        <f t="shared" si="37"/>
        <v>0.65000000000000024</v>
      </c>
      <c r="G50" s="9" t="str">
        <f t="shared" si="24"/>
        <v>Pop|Q=0.4|FSW_by_Fo=0.65</v>
      </c>
      <c r="H50" s="11">
        <f t="shared" si="25"/>
        <v>0.4</v>
      </c>
      <c r="I50" s="13">
        <f t="shared" si="26"/>
        <v>7.5</v>
      </c>
      <c r="J50">
        <f t="shared" si="14"/>
        <v>312.24989991991993</v>
      </c>
      <c r="K50">
        <f t="shared" si="35"/>
        <v>6.8484066366430074</v>
      </c>
      <c r="M50" s="1"/>
      <c r="N50" s="2">
        <f t="shared" si="27"/>
        <v>5.2649572649572649</v>
      </c>
      <c r="O50" s="3">
        <f t="shared" si="28"/>
        <v>37022.790388468951</v>
      </c>
      <c r="P50" s="1">
        <f t="shared" si="29"/>
        <v>84950.624020863033</v>
      </c>
      <c r="Q50" s="7">
        <f t="shared" si="30"/>
        <v>1.3040614433209052</v>
      </c>
      <c r="S50" s="7" t="str">
        <f t="shared" si="36"/>
        <v>var( M2, 1.30406144332091 )</v>
      </c>
      <c r="U50" s="10">
        <f t="shared" si="31"/>
        <v>33.036223230796267</v>
      </c>
      <c r="V50" s="10">
        <f t="shared" si="32"/>
        <v>55217.905613560994</v>
      </c>
      <c r="W50" s="9" t="str">
        <f t="shared" si="33"/>
        <v>Alias( AVG(VOUT) , VOUT2 )</v>
      </c>
      <c r="X50" s="9" t="str">
        <f t="shared" si="34"/>
        <v>Alias( AVG(VIN) , VIN2 )</v>
      </c>
      <c r="Y50" s="9"/>
    </row>
    <row r="51" spans="1:25" x14ac:dyDescent="0.25">
      <c r="A51" s="9" t="s">
        <v>19</v>
      </c>
      <c r="B51" s="9">
        <f t="shared" si="20"/>
        <v>380</v>
      </c>
      <c r="C51" s="12">
        <f t="shared" si="21"/>
        <v>2.34E-4</v>
      </c>
      <c r="D51" s="12">
        <f t="shared" si="22"/>
        <v>9.9799999999999997E-4</v>
      </c>
      <c r="E51" s="12">
        <f t="shared" si="23"/>
        <v>1.4999999999999999E-8</v>
      </c>
      <c r="F51" s="5">
        <f t="shared" si="37"/>
        <v>0.67500000000000027</v>
      </c>
      <c r="G51" s="9" t="str">
        <f t="shared" si="24"/>
        <v>Pop|Q=0.4|FSW_by_Fo=0.675</v>
      </c>
      <c r="H51" s="11">
        <f t="shared" si="25"/>
        <v>0.4</v>
      </c>
      <c r="I51" s="13">
        <f t="shared" si="26"/>
        <v>7.5</v>
      </c>
      <c r="J51">
        <f t="shared" si="14"/>
        <v>312.24989991991993</v>
      </c>
      <c r="K51">
        <f t="shared" si="35"/>
        <v>6.8484066366430074</v>
      </c>
      <c r="M51" s="1"/>
      <c r="N51" s="2">
        <f t="shared" si="27"/>
        <v>5.2649572649572649</v>
      </c>
      <c r="O51" s="3">
        <f t="shared" si="28"/>
        <v>37022.790388468951</v>
      </c>
      <c r="P51" s="1">
        <f t="shared" si="29"/>
        <v>84950.624020863033</v>
      </c>
      <c r="Q51" s="7">
        <f t="shared" si="30"/>
        <v>1.2676891911095016</v>
      </c>
      <c r="S51" s="7" t="str">
        <f t="shared" si="36"/>
        <v>var( M2, 1.2676891911095 )</v>
      </c>
      <c r="U51" s="10">
        <f t="shared" si="31"/>
        <v>32.11479284144071</v>
      </c>
      <c r="V51" s="10">
        <f t="shared" si="32"/>
        <v>57341.671214082569</v>
      </c>
      <c r="W51" s="9" t="str">
        <f t="shared" si="33"/>
        <v>Alias( AVG(VOUT) , VOUT2 )</v>
      </c>
      <c r="X51" s="9" t="str">
        <f t="shared" si="34"/>
        <v>Alias( AVG(VIN) , VIN2 )</v>
      </c>
      <c r="Y51" s="9"/>
    </row>
    <row r="52" spans="1:25" x14ac:dyDescent="0.25">
      <c r="A52" s="9" t="s">
        <v>19</v>
      </c>
      <c r="B52" s="9">
        <f t="shared" si="20"/>
        <v>380</v>
      </c>
      <c r="C52" s="12">
        <f t="shared" si="21"/>
        <v>2.34E-4</v>
      </c>
      <c r="D52" s="12">
        <f t="shared" si="22"/>
        <v>9.9799999999999997E-4</v>
      </c>
      <c r="E52" s="12">
        <f t="shared" si="23"/>
        <v>1.4999999999999999E-8</v>
      </c>
      <c r="F52" s="5">
        <f t="shared" si="37"/>
        <v>0.70000000000000029</v>
      </c>
      <c r="G52" s="9" t="str">
        <f t="shared" si="24"/>
        <v>Pop|Q=0.4|FSW_by_Fo=0.7</v>
      </c>
      <c r="H52" s="11">
        <f t="shared" si="25"/>
        <v>0.4</v>
      </c>
      <c r="I52" s="13">
        <f t="shared" si="26"/>
        <v>7.5</v>
      </c>
      <c r="J52">
        <f t="shared" si="14"/>
        <v>312.24989991991993</v>
      </c>
      <c r="K52">
        <f t="shared" si="35"/>
        <v>6.8484066366430074</v>
      </c>
      <c r="M52" s="1"/>
      <c r="N52" s="2">
        <f t="shared" si="27"/>
        <v>5.2649572649572649</v>
      </c>
      <c r="O52" s="3">
        <f t="shared" si="28"/>
        <v>37022.790388468951</v>
      </c>
      <c r="P52" s="1">
        <f t="shared" si="29"/>
        <v>84950.624020863033</v>
      </c>
      <c r="Q52" s="7">
        <f t="shared" si="30"/>
        <v>1.2342786982583094</v>
      </c>
      <c r="S52" s="7" t="str">
        <f t="shared" si="36"/>
        <v>var( M2, 1.23427869825831 )</v>
      </c>
      <c r="U52" s="10">
        <f t="shared" si="31"/>
        <v>31.268393689210502</v>
      </c>
      <c r="V52" s="10">
        <f t="shared" si="32"/>
        <v>59465.436814604145</v>
      </c>
      <c r="W52" s="9" t="str">
        <f t="shared" si="33"/>
        <v>Alias( AVG(VOUT) , VOUT2 )</v>
      </c>
      <c r="X52" s="9" t="str">
        <f t="shared" si="34"/>
        <v>Alias( AVG(VIN) , VIN2 )</v>
      </c>
      <c r="Y52" s="9"/>
    </row>
    <row r="53" spans="1:25" x14ac:dyDescent="0.25">
      <c r="A53" s="9" t="s">
        <v>19</v>
      </c>
      <c r="B53" s="9">
        <f t="shared" si="20"/>
        <v>380</v>
      </c>
      <c r="C53" s="12">
        <f t="shared" si="21"/>
        <v>2.34E-4</v>
      </c>
      <c r="D53" s="12">
        <f t="shared" si="22"/>
        <v>9.9799999999999997E-4</v>
      </c>
      <c r="E53" s="12">
        <f t="shared" si="23"/>
        <v>1.4999999999999999E-8</v>
      </c>
      <c r="F53" s="5">
        <f t="shared" si="37"/>
        <v>0.72500000000000031</v>
      </c>
      <c r="G53" s="9" t="str">
        <f t="shared" si="24"/>
        <v>Pop|Q=0.4|FSW_by_Fo=0.725</v>
      </c>
      <c r="H53" s="11">
        <f t="shared" si="25"/>
        <v>0.4</v>
      </c>
      <c r="I53" s="13">
        <f t="shared" si="26"/>
        <v>7.5</v>
      </c>
      <c r="J53">
        <f t="shared" si="14"/>
        <v>312.24989991991993</v>
      </c>
      <c r="K53">
        <f t="shared" si="35"/>
        <v>6.8484066366430074</v>
      </c>
      <c r="M53" s="1"/>
      <c r="N53" s="2">
        <f t="shared" si="27"/>
        <v>5.2649572649572649</v>
      </c>
      <c r="O53" s="3">
        <f t="shared" si="28"/>
        <v>37022.790388468951</v>
      </c>
      <c r="P53" s="1">
        <f t="shared" si="29"/>
        <v>84950.624020863033</v>
      </c>
      <c r="Q53" s="7">
        <f t="shared" si="30"/>
        <v>1.2038042494234076</v>
      </c>
      <c r="S53" s="7" t="str">
        <f t="shared" si="36"/>
        <v>var( M2, 1.20380424942341 )</v>
      </c>
      <c r="U53" s="10">
        <f t="shared" si="31"/>
        <v>30.496374318726325</v>
      </c>
      <c r="V53" s="10">
        <f t="shared" si="32"/>
        <v>61589.202415125728</v>
      </c>
      <c r="W53" s="9" t="str">
        <f t="shared" si="33"/>
        <v>Alias( AVG(VOUT) , VOUT2 )</v>
      </c>
      <c r="X53" s="9" t="str">
        <f t="shared" si="34"/>
        <v>Alias( AVG(VIN) , VIN2 )</v>
      </c>
      <c r="Y53" s="9"/>
    </row>
    <row r="54" spans="1:25" x14ac:dyDescent="0.25">
      <c r="A54" s="9" t="s">
        <v>19</v>
      </c>
      <c r="B54" s="9">
        <f t="shared" si="20"/>
        <v>380</v>
      </c>
      <c r="C54" s="12">
        <f t="shared" si="21"/>
        <v>2.34E-4</v>
      </c>
      <c r="D54" s="12">
        <f t="shared" si="22"/>
        <v>9.9799999999999997E-4</v>
      </c>
      <c r="E54" s="12">
        <f t="shared" si="23"/>
        <v>1.4999999999999999E-8</v>
      </c>
      <c r="F54" s="5">
        <f t="shared" si="37"/>
        <v>0.75000000000000033</v>
      </c>
      <c r="G54" s="9" t="str">
        <f t="shared" si="24"/>
        <v>Pop|Q=0.4|FSW_by_Fo=0.75</v>
      </c>
      <c r="H54" s="11">
        <f t="shared" si="25"/>
        <v>0.4</v>
      </c>
      <c r="I54" s="13">
        <f t="shared" si="26"/>
        <v>7.5</v>
      </c>
      <c r="J54">
        <f t="shared" si="14"/>
        <v>312.24989991991993</v>
      </c>
      <c r="K54">
        <f t="shared" si="35"/>
        <v>6.8484066366430074</v>
      </c>
      <c r="M54" s="1"/>
      <c r="N54" s="2">
        <f t="shared" si="27"/>
        <v>5.2649572649572649</v>
      </c>
      <c r="O54" s="3">
        <f t="shared" si="28"/>
        <v>37022.790388468951</v>
      </c>
      <c r="P54" s="1">
        <f t="shared" si="29"/>
        <v>84950.624020863033</v>
      </c>
      <c r="Q54" s="7">
        <f t="shared" si="30"/>
        <v>1.1760865873748823</v>
      </c>
      <c r="S54" s="7" t="str">
        <f t="shared" si="36"/>
        <v>var( M2, 1.17608658737488 )</v>
      </c>
      <c r="U54" s="10">
        <f t="shared" si="31"/>
        <v>29.79419354683035</v>
      </c>
      <c r="V54" s="10">
        <f t="shared" si="32"/>
        <v>63712.968015647304</v>
      </c>
      <c r="W54" s="9" t="str">
        <f t="shared" si="33"/>
        <v>Alias( AVG(VOUT) , VOUT2 )</v>
      </c>
      <c r="X54" s="9" t="str">
        <f t="shared" si="34"/>
        <v>Alias( AVG(VIN) , VIN2 )</v>
      </c>
      <c r="Y54" s="9"/>
    </row>
    <row r="55" spans="1:25" x14ac:dyDescent="0.25">
      <c r="A55" s="9" t="s">
        <v>19</v>
      </c>
      <c r="B55" s="9">
        <f t="shared" si="20"/>
        <v>380</v>
      </c>
      <c r="C55" s="12">
        <f t="shared" si="21"/>
        <v>2.34E-4</v>
      </c>
      <c r="D55" s="12">
        <f t="shared" si="22"/>
        <v>9.9799999999999997E-4</v>
      </c>
      <c r="E55" s="12">
        <f t="shared" si="23"/>
        <v>1.4999999999999999E-8</v>
      </c>
      <c r="F55" s="5">
        <f t="shared" si="37"/>
        <v>0.77500000000000036</v>
      </c>
      <c r="G55" s="9" t="str">
        <f t="shared" si="24"/>
        <v>Pop|Q=0.4|FSW_by_Fo=0.775</v>
      </c>
      <c r="H55" s="11">
        <f t="shared" si="25"/>
        <v>0.4</v>
      </c>
      <c r="I55" s="13">
        <f t="shared" si="26"/>
        <v>7.5</v>
      </c>
      <c r="J55">
        <f t="shared" si="14"/>
        <v>312.24989991991993</v>
      </c>
      <c r="K55">
        <f t="shared" si="35"/>
        <v>6.8484066366430074</v>
      </c>
      <c r="M55" s="1"/>
      <c r="N55" s="2">
        <f t="shared" si="27"/>
        <v>5.2649572649572649</v>
      </c>
      <c r="O55" s="3">
        <f t="shared" si="28"/>
        <v>37022.790388468951</v>
      </c>
      <c r="P55" s="1">
        <f t="shared" si="29"/>
        <v>84950.624020863033</v>
      </c>
      <c r="Q55" s="7">
        <f t="shared" si="30"/>
        <v>1.1508829581077773</v>
      </c>
      <c r="S55" s="7" t="str">
        <f t="shared" si="36"/>
        <v>var( M2, 1.15088295810778 )</v>
      </c>
      <c r="U55" s="10">
        <f t="shared" si="31"/>
        <v>29.155701605397027</v>
      </c>
      <c r="V55" s="10">
        <f t="shared" si="32"/>
        <v>65836.733616168887</v>
      </c>
      <c r="W55" s="9" t="str">
        <f t="shared" si="33"/>
        <v>Alias( AVG(VOUT) , VOUT2 )</v>
      </c>
      <c r="X55" s="9" t="str">
        <f t="shared" si="34"/>
        <v>Alias( AVG(VIN) , VIN2 )</v>
      </c>
      <c r="Y55" s="9"/>
    </row>
    <row r="56" spans="1:25" x14ac:dyDescent="0.25">
      <c r="A56" s="9" t="s">
        <v>19</v>
      </c>
      <c r="B56" s="9">
        <f t="shared" si="20"/>
        <v>380</v>
      </c>
      <c r="C56" s="12">
        <f t="shared" si="21"/>
        <v>2.34E-4</v>
      </c>
      <c r="D56" s="12">
        <f t="shared" si="22"/>
        <v>9.9799999999999997E-4</v>
      </c>
      <c r="E56" s="12">
        <f t="shared" si="23"/>
        <v>1.4999999999999999E-8</v>
      </c>
      <c r="F56" s="5">
        <f t="shared" si="37"/>
        <v>0.80000000000000038</v>
      </c>
      <c r="G56" s="9" t="str">
        <f t="shared" si="24"/>
        <v>Pop|Q=0.4|FSW_by_Fo=0.8</v>
      </c>
      <c r="H56" s="11">
        <f t="shared" si="25"/>
        <v>0.4</v>
      </c>
      <c r="I56" s="13">
        <f t="shared" si="26"/>
        <v>7.5</v>
      </c>
      <c r="J56">
        <f t="shared" si="14"/>
        <v>312.24989991991993</v>
      </c>
      <c r="K56">
        <f>J56*PI()^2/(8*I56^2)</f>
        <v>6.8484066366430074</v>
      </c>
      <c r="M56" s="1"/>
      <c r="N56" s="2">
        <f t="shared" si="27"/>
        <v>5.2649572649572649</v>
      </c>
      <c r="O56" s="3">
        <f t="shared" si="28"/>
        <v>37022.790388468951</v>
      </c>
      <c r="P56" s="1">
        <f t="shared" si="29"/>
        <v>84950.624020863033</v>
      </c>
      <c r="Q56" s="7">
        <f t="shared" si="30"/>
        <v>1.1279348214554339</v>
      </c>
      <c r="S56" s="7" t="str">
        <f t="shared" si="36"/>
        <v>var( M2, 1.12793482145543 )</v>
      </c>
      <c r="U56" s="10">
        <f t="shared" si="31"/>
        <v>28.574348810204324</v>
      </c>
      <c r="V56" s="10">
        <f t="shared" si="32"/>
        <v>67960.499216690456</v>
      </c>
      <c r="W56" s="9" t="str">
        <f t="shared" si="33"/>
        <v>Alias( AVG(VOUT) , VOUT2 )</v>
      </c>
      <c r="X56" s="9" t="str">
        <f t="shared" si="34"/>
        <v>Alias( AVG(VIN) , VIN2 )</v>
      </c>
      <c r="Y56" s="9"/>
    </row>
    <row r="57" spans="1:25" x14ac:dyDescent="0.25">
      <c r="A57" s="9" t="s">
        <v>19</v>
      </c>
      <c r="B57" s="9">
        <f t="shared" si="20"/>
        <v>380</v>
      </c>
      <c r="C57" s="12">
        <f t="shared" si="21"/>
        <v>2.34E-4</v>
      </c>
      <c r="D57" s="12">
        <f t="shared" si="22"/>
        <v>9.9799999999999997E-4</v>
      </c>
      <c r="E57" s="12">
        <f t="shared" si="23"/>
        <v>1.4999999999999999E-8</v>
      </c>
      <c r="F57" s="5">
        <f t="shared" si="37"/>
        <v>0.8250000000000004</v>
      </c>
      <c r="G57" s="9" t="str">
        <f t="shared" si="24"/>
        <v>Pop|Q=0.4|FSW_by_Fo=0.825</v>
      </c>
      <c r="H57" s="11">
        <f t="shared" si="25"/>
        <v>0.4</v>
      </c>
      <c r="I57" s="13">
        <f t="shared" si="26"/>
        <v>7.5</v>
      </c>
      <c r="J57">
        <f t="shared" si="14"/>
        <v>312.24989991991993</v>
      </c>
      <c r="K57">
        <f t="shared" ref="K57:K62" si="38">J57*PI()^2/(8*I57^2)</f>
        <v>6.8484066366430074</v>
      </c>
      <c r="M57" s="1"/>
      <c r="N57" s="2">
        <f t="shared" si="27"/>
        <v>5.2649572649572649</v>
      </c>
      <c r="O57" s="3">
        <f t="shared" si="28"/>
        <v>37022.790388468951</v>
      </c>
      <c r="P57" s="1">
        <f t="shared" si="29"/>
        <v>84950.624020863033</v>
      </c>
      <c r="Q57" s="7">
        <f t="shared" si="30"/>
        <v>1.1069918587821421</v>
      </c>
      <c r="S57" s="7" t="str">
        <f t="shared" si="36"/>
        <v>var( M2, 1.10699185878214 )</v>
      </c>
      <c r="U57" s="10">
        <f t="shared" si="31"/>
        <v>28.043793755814267</v>
      </c>
      <c r="V57" s="10">
        <f t="shared" si="32"/>
        <v>70084.264817212039</v>
      </c>
      <c r="W57" s="9" t="str">
        <f t="shared" si="33"/>
        <v>Alias( AVG(VOUT) , VOUT2 )</v>
      </c>
      <c r="X57" s="9" t="str">
        <f t="shared" si="34"/>
        <v>Alias( AVG(VIN) , VIN2 )</v>
      </c>
      <c r="Y57" s="9"/>
    </row>
    <row r="58" spans="1:25" x14ac:dyDescent="0.25">
      <c r="A58" s="9" t="s">
        <v>19</v>
      </c>
      <c r="B58" s="9">
        <f t="shared" si="20"/>
        <v>380</v>
      </c>
      <c r="C58" s="12">
        <f t="shared" si="21"/>
        <v>2.34E-4</v>
      </c>
      <c r="D58" s="12">
        <f t="shared" si="22"/>
        <v>9.9799999999999997E-4</v>
      </c>
      <c r="E58" s="12">
        <f t="shared" si="23"/>
        <v>1.4999999999999999E-8</v>
      </c>
      <c r="F58" s="5">
        <f t="shared" si="37"/>
        <v>0.85000000000000042</v>
      </c>
      <c r="G58" s="9" t="str">
        <f t="shared" si="24"/>
        <v>Pop|Q=0.4|FSW_by_Fo=0.85</v>
      </c>
      <c r="H58" s="11">
        <f t="shared" si="25"/>
        <v>0.4</v>
      </c>
      <c r="I58" s="13">
        <f t="shared" si="26"/>
        <v>7.5</v>
      </c>
      <c r="J58">
        <f t="shared" si="14"/>
        <v>312.24989991991993</v>
      </c>
      <c r="K58">
        <f t="shared" si="38"/>
        <v>6.8484066366430074</v>
      </c>
      <c r="M58" s="1"/>
      <c r="N58" s="2">
        <f t="shared" si="27"/>
        <v>5.2649572649572649</v>
      </c>
      <c r="O58" s="3">
        <f t="shared" si="28"/>
        <v>37022.790388468951</v>
      </c>
      <c r="P58" s="1">
        <f t="shared" si="29"/>
        <v>84950.624020863033</v>
      </c>
      <c r="Q58" s="7">
        <f t="shared" si="30"/>
        <v>1.0878229861634172</v>
      </c>
      <c r="S58" s="7" t="str">
        <f t="shared" si="36"/>
        <v>var( M2, 1.08782298616342 )</v>
      </c>
      <c r="U58" s="10">
        <f t="shared" si="31"/>
        <v>27.558182316139902</v>
      </c>
      <c r="V58" s="10">
        <f t="shared" si="32"/>
        <v>72208.030417733607</v>
      </c>
      <c r="W58" s="9" t="str">
        <f t="shared" si="33"/>
        <v>Alias( AVG(VOUT) , VOUT2 )</v>
      </c>
      <c r="X58" s="9" t="str">
        <f t="shared" si="34"/>
        <v>Alias( AVG(VIN) , VIN2 )</v>
      </c>
      <c r="Y58" s="9"/>
    </row>
    <row r="59" spans="1:25" x14ac:dyDescent="0.25">
      <c r="A59" s="9" t="s">
        <v>19</v>
      </c>
      <c r="B59" s="9">
        <f t="shared" si="20"/>
        <v>380</v>
      </c>
      <c r="C59" s="12">
        <f t="shared" si="21"/>
        <v>2.34E-4</v>
      </c>
      <c r="D59" s="12">
        <f t="shared" si="22"/>
        <v>9.9799999999999997E-4</v>
      </c>
      <c r="E59" s="12">
        <f t="shared" si="23"/>
        <v>1.4999999999999999E-8</v>
      </c>
      <c r="F59" s="5">
        <f t="shared" si="37"/>
        <v>0.87500000000000044</v>
      </c>
      <c r="G59" s="9" t="str">
        <f t="shared" si="24"/>
        <v>Pop|Q=0.4|FSW_by_Fo=0.875</v>
      </c>
      <c r="H59" s="11">
        <f t="shared" si="25"/>
        <v>0.4</v>
      </c>
      <c r="I59" s="13">
        <f t="shared" si="26"/>
        <v>7.5</v>
      </c>
      <c r="J59">
        <f t="shared" si="14"/>
        <v>312.24989991991993</v>
      </c>
      <c r="K59">
        <f t="shared" si="38"/>
        <v>6.8484066366430074</v>
      </c>
      <c r="M59" s="1"/>
      <c r="N59" s="2">
        <f t="shared" si="27"/>
        <v>5.2649572649572649</v>
      </c>
      <c r="O59" s="3">
        <f t="shared" si="28"/>
        <v>37022.790388468951</v>
      </c>
      <c r="P59" s="1">
        <f t="shared" si="29"/>
        <v>84950.624020863033</v>
      </c>
      <c r="Q59" s="7">
        <f t="shared" si="30"/>
        <v>1.0702204065885113</v>
      </c>
      <c r="S59" s="7" t="str">
        <f t="shared" si="36"/>
        <v>var( M2, 1.07022040658851 )</v>
      </c>
      <c r="U59" s="10">
        <f t="shared" si="31"/>
        <v>27.112250300242287</v>
      </c>
      <c r="V59" s="10">
        <f t="shared" si="32"/>
        <v>74331.796018255191</v>
      </c>
      <c r="W59" s="9" t="str">
        <f t="shared" si="33"/>
        <v>Alias( AVG(VOUT) , VOUT2 )</v>
      </c>
      <c r="X59" s="9" t="str">
        <f t="shared" si="34"/>
        <v>Alias( AVG(VIN) , VIN2 )</v>
      </c>
      <c r="Y59" s="9"/>
    </row>
    <row r="60" spans="1:25" x14ac:dyDescent="0.25">
      <c r="A60" s="9" t="s">
        <v>19</v>
      </c>
      <c r="B60" s="9">
        <f t="shared" si="20"/>
        <v>380</v>
      </c>
      <c r="C60" s="12">
        <f t="shared" si="21"/>
        <v>2.34E-4</v>
      </c>
      <c r="D60" s="12">
        <f t="shared" si="22"/>
        <v>9.9799999999999997E-4</v>
      </c>
      <c r="E60" s="12">
        <f t="shared" si="23"/>
        <v>1.4999999999999999E-8</v>
      </c>
      <c r="F60" s="5">
        <v>1</v>
      </c>
      <c r="G60" s="9" t="str">
        <f t="shared" si="24"/>
        <v>Pop|Q=0.4|FSW_by_Fo=1</v>
      </c>
      <c r="H60" s="11">
        <f t="shared" si="25"/>
        <v>0.4</v>
      </c>
      <c r="I60" s="13">
        <f t="shared" si="26"/>
        <v>7.5</v>
      </c>
      <c r="J60">
        <f t="shared" si="14"/>
        <v>312.24989991991993</v>
      </c>
      <c r="K60">
        <f t="shared" si="38"/>
        <v>6.8484066366430074</v>
      </c>
      <c r="M60" s="1"/>
      <c r="N60" s="2">
        <f t="shared" si="27"/>
        <v>5.2649572649572649</v>
      </c>
      <c r="O60" s="3">
        <f t="shared" si="28"/>
        <v>37022.790388468951</v>
      </c>
      <c r="P60" s="1">
        <f t="shared" si="29"/>
        <v>84950.624020863033</v>
      </c>
      <c r="Q60" s="7">
        <f t="shared" si="30"/>
        <v>0.99999999999999978</v>
      </c>
      <c r="S60" s="7" t="str">
        <f t="shared" si="36"/>
        <v>var( M2, 1 )</v>
      </c>
      <c r="U60" s="10">
        <f t="shared" si="31"/>
        <v>25.333333333333329</v>
      </c>
      <c r="V60" s="10">
        <f t="shared" si="32"/>
        <v>84950.624020863033</v>
      </c>
      <c r="W60" s="9" t="str">
        <f t="shared" si="33"/>
        <v>Alias( AVG(VOUT) , VOUT2 )</v>
      </c>
      <c r="X60" s="9" t="str">
        <f t="shared" si="34"/>
        <v>Alias( AVG(VIN) , VIN2 )</v>
      </c>
      <c r="Y60" s="9"/>
    </row>
    <row r="61" spans="1:25" x14ac:dyDescent="0.25">
      <c r="A61" s="9" t="s">
        <v>19</v>
      </c>
      <c r="B61" s="9">
        <f t="shared" si="20"/>
        <v>380</v>
      </c>
      <c r="C61" s="12">
        <f t="shared" si="21"/>
        <v>2.34E-4</v>
      </c>
      <c r="D61" s="12">
        <f t="shared" si="22"/>
        <v>9.9799999999999997E-4</v>
      </c>
      <c r="E61" s="12">
        <f t="shared" si="23"/>
        <v>1.4999999999999999E-8</v>
      </c>
      <c r="F61" s="5">
        <v>1.2</v>
      </c>
      <c r="G61" s="9" t="str">
        <f t="shared" si="24"/>
        <v>Pop|Q=0.4|FSW_by_Fo=1.2</v>
      </c>
      <c r="H61" s="11">
        <f t="shared" si="25"/>
        <v>0.4</v>
      </c>
      <c r="I61" s="13">
        <f t="shared" si="26"/>
        <v>7.5</v>
      </c>
      <c r="J61">
        <f t="shared" si="14"/>
        <v>312.24989991991993</v>
      </c>
      <c r="K61">
        <f t="shared" si="38"/>
        <v>6.8484066366430074</v>
      </c>
      <c r="M61" s="1"/>
      <c r="N61" s="2">
        <f t="shared" si="27"/>
        <v>5.2649572649572649</v>
      </c>
      <c r="O61" s="3">
        <f t="shared" si="28"/>
        <v>37022.790388468951</v>
      </c>
      <c r="P61" s="1">
        <f t="shared" si="29"/>
        <v>84950.624020863033</v>
      </c>
      <c r="Q61" s="7">
        <f t="shared" si="30"/>
        <v>0.92452780853845595</v>
      </c>
      <c r="S61" s="7" t="str">
        <f t="shared" si="36"/>
        <v>var( M2, 0.924527808538456 )</v>
      </c>
      <c r="U61" s="10">
        <f t="shared" si="31"/>
        <v>23.421371149640883</v>
      </c>
      <c r="V61" s="10">
        <f t="shared" si="32"/>
        <v>101940.74882503564</v>
      </c>
      <c r="W61" s="9" t="str">
        <f t="shared" si="33"/>
        <v>Alias( AVG(VOUT) , VOUT2 )</v>
      </c>
      <c r="X61" s="9" t="str">
        <f t="shared" si="34"/>
        <v>Alias( AVG(VIN) , VIN2 )</v>
      </c>
      <c r="Y61" s="9"/>
    </row>
    <row r="62" spans="1:25" x14ac:dyDescent="0.25">
      <c r="A62" s="9" t="s">
        <v>19</v>
      </c>
      <c r="B62" s="9">
        <f t="shared" si="20"/>
        <v>380</v>
      </c>
      <c r="C62" s="12">
        <f t="shared" si="21"/>
        <v>2.34E-4</v>
      </c>
      <c r="D62" s="12">
        <f t="shared" si="22"/>
        <v>9.9799999999999997E-4</v>
      </c>
      <c r="E62" s="12">
        <f t="shared" si="23"/>
        <v>1.4999999999999999E-8</v>
      </c>
      <c r="F62" s="5">
        <v>1.4</v>
      </c>
      <c r="G62" s="9" t="str">
        <f t="shared" si="24"/>
        <v>Pop|Q=0.4|FSW_by_Fo=1.4</v>
      </c>
      <c r="H62" s="11">
        <f t="shared" si="25"/>
        <v>0.4</v>
      </c>
      <c r="I62" s="13">
        <f t="shared" si="26"/>
        <v>7.5</v>
      </c>
      <c r="J62">
        <f t="shared" si="14"/>
        <v>312.24989991991993</v>
      </c>
      <c r="K62">
        <f t="shared" si="38"/>
        <v>6.8484066366430074</v>
      </c>
      <c r="M62" s="1"/>
      <c r="N62" s="2">
        <f t="shared" si="27"/>
        <v>5.2649572649572649</v>
      </c>
      <c r="O62" s="3">
        <f t="shared" si="28"/>
        <v>37022.790388468951</v>
      </c>
      <c r="P62" s="1">
        <f t="shared" si="29"/>
        <v>84950.624020863033</v>
      </c>
      <c r="Q62" s="7">
        <f t="shared" si="30"/>
        <v>0.87101366141962722</v>
      </c>
      <c r="S62" s="7" t="str">
        <f t="shared" si="36"/>
        <v>var( M2, 0.871013661419627 )</v>
      </c>
      <c r="U62" s="10">
        <f t="shared" si="31"/>
        <v>22.065679422630559</v>
      </c>
      <c r="V62" s="10">
        <f t="shared" si="32"/>
        <v>118930.87362920823</v>
      </c>
      <c r="W62" s="9" t="str">
        <f t="shared" si="33"/>
        <v>Alias( AVG(VOUT) , VOUT2 )</v>
      </c>
      <c r="X62" s="9" t="str">
        <f t="shared" si="34"/>
        <v>Alias( AVG(VIN) , VIN2 )</v>
      </c>
      <c r="Y62" s="9"/>
    </row>
    <row r="63" spans="1:25" x14ac:dyDescent="0.25">
      <c r="A63" t="s">
        <v>0</v>
      </c>
      <c r="B63" s="9"/>
      <c r="C63" s="3"/>
      <c r="D63" s="3"/>
      <c r="E63" s="3"/>
      <c r="H63" s="11"/>
      <c r="I63" s="4"/>
      <c r="M63" s="1"/>
      <c r="N63" s="1"/>
      <c r="O63" s="1"/>
      <c r="P63" s="1"/>
      <c r="U63" s="1"/>
      <c r="V63" s="1"/>
      <c r="W63" s="9"/>
      <c r="X63" s="9"/>
      <c r="Y63" s="9"/>
    </row>
    <row r="64" spans="1:25" x14ac:dyDescent="0.25">
      <c r="A64" s="9" t="s">
        <v>31</v>
      </c>
      <c r="B64" s="9">
        <f t="shared" ref="B64:B86" si="39">VIN</f>
        <v>380</v>
      </c>
      <c r="C64" s="12">
        <f t="shared" ref="C64:C86" si="40">Lr</f>
        <v>2.34E-4</v>
      </c>
      <c r="D64" s="12">
        <f t="shared" ref="D64:D86" si="41">Lp</f>
        <v>9.9799999999999997E-4</v>
      </c>
      <c r="E64" s="12">
        <f t="shared" ref="E64:E86" si="42">Cr</f>
        <v>1.4999999999999999E-8</v>
      </c>
      <c r="F64" s="5">
        <v>0.4</v>
      </c>
      <c r="G64" s="9" t="str">
        <f t="shared" ref="G64:G86" si="43">CONCATENATE("Pop|Q=",H64, "|FSW_by_Fo=",F64)</f>
        <v>Pop|Q=0.6|FSW_by_Fo=0.4</v>
      </c>
      <c r="H64" s="11">
        <f t="shared" ref="H64:H86" si="44">Qc</f>
        <v>0.6</v>
      </c>
      <c r="I64" s="13">
        <f t="shared" ref="I64:I86" si="45">NTurn</f>
        <v>7.5</v>
      </c>
      <c r="J64">
        <f t="shared" ref="J64:J79" si="46">(SQRT(C64/E64))/H64</f>
        <v>208.1665999466133</v>
      </c>
      <c r="K64">
        <f>J64*PI()^2/(8*I64^2)</f>
        <v>4.5656044244286722</v>
      </c>
      <c r="M64" s="1"/>
      <c r="N64" s="2">
        <f t="shared" ref="N64:N86" si="47">(D64+C64)/C64</f>
        <v>5.2649572649572649</v>
      </c>
      <c r="O64" s="3">
        <f t="shared" ref="O64:O86" si="48">1/(2*PI()*SQRT((D64+C64)*E64))</f>
        <v>37022.790388468951</v>
      </c>
      <c r="P64" s="1">
        <f t="shared" ref="P64:P86" si="49">1/(2*PI()*SQRT(C64*E64))</f>
        <v>84950.624020863033</v>
      </c>
      <c r="Q64" s="7">
        <f t="shared" ref="Q64:Q86" si="50">(V64/P64)^2*(N64-1)/SQRT((1-(V64^2/O64^2))^2 + ((V64/P64)*(1-V64^2/P64^2)* (N64-1)*H64)^2)</f>
        <v>0.78064430884141178</v>
      </c>
      <c r="T64" s="7" t="str">
        <f>CONCATENATE("var( M3, ", Q64, " )")</f>
        <v>var( M3, 0.780644308841412 )</v>
      </c>
      <c r="U64" s="10">
        <f t="shared" ref="U64:U79" si="51">Q64*VIN/15</f>
        <v>19.776322490649097</v>
      </c>
      <c r="V64" s="10">
        <f t="shared" ref="V64:V86" si="52">F64*P64</f>
        <v>33980.249608345213</v>
      </c>
      <c r="W64" s="9" t="str">
        <f t="shared" ref="W64:W86" si="53">CONCATENATE("Alias( AVG(VOUT)", " , VOUT3 )")</f>
        <v>Alias( AVG(VOUT) , VOUT3 )</v>
      </c>
      <c r="X64" s="9" t="str">
        <f t="shared" ref="X64:X86" si="54">CONCATENATE("Alias( AVG(VIN)", " , VIN3 )")</f>
        <v>Alias( AVG(VIN) , VIN3 )</v>
      </c>
      <c r="Y64" s="9"/>
    </row>
    <row r="65" spans="1:25" x14ac:dyDescent="0.25">
      <c r="A65" s="9" t="s">
        <v>31</v>
      </c>
      <c r="B65" s="9">
        <f t="shared" si="39"/>
        <v>380</v>
      </c>
      <c r="C65" s="12">
        <f t="shared" si="40"/>
        <v>2.34E-4</v>
      </c>
      <c r="D65" s="12">
        <f t="shared" si="41"/>
        <v>9.9799999999999997E-4</v>
      </c>
      <c r="E65" s="12">
        <f t="shared" si="42"/>
        <v>1.4999999999999999E-8</v>
      </c>
      <c r="F65" s="5">
        <f>F64+0.025</f>
        <v>0.42500000000000004</v>
      </c>
      <c r="G65" s="9" t="str">
        <f t="shared" si="43"/>
        <v>Pop|Q=0.6|FSW_by_Fo=0.425</v>
      </c>
      <c r="H65" s="11">
        <f t="shared" si="44"/>
        <v>0.6</v>
      </c>
      <c r="I65" s="13">
        <f t="shared" si="45"/>
        <v>7.5</v>
      </c>
      <c r="J65">
        <f t="shared" si="46"/>
        <v>208.1665999466133</v>
      </c>
      <c r="K65">
        <f t="shared" ref="K65:K79" si="55">J65*PI()^2/(8*I65^2)</f>
        <v>4.5656044244286722</v>
      </c>
      <c r="M65" s="1"/>
      <c r="N65" s="2">
        <f t="shared" si="47"/>
        <v>5.2649572649572649</v>
      </c>
      <c r="O65" s="3">
        <f t="shared" si="48"/>
        <v>37022.790388468951</v>
      </c>
      <c r="P65" s="1">
        <f t="shared" si="49"/>
        <v>84950.624020863033</v>
      </c>
      <c r="Q65" s="7">
        <f t="shared" si="50"/>
        <v>0.86317519007097387</v>
      </c>
      <c r="T65" s="7" t="str">
        <f t="shared" ref="T65:T86" si="56">CONCATENATE("var( M3, ", Q65, " )")</f>
        <v>var( M3, 0.863175190070974 )</v>
      </c>
      <c r="U65" s="10">
        <f t="shared" si="51"/>
        <v>21.867104815131338</v>
      </c>
      <c r="V65" s="10">
        <f t="shared" si="52"/>
        <v>36104.015208866796</v>
      </c>
      <c r="W65" s="9" t="str">
        <f t="shared" si="53"/>
        <v>Alias( AVG(VOUT) , VOUT3 )</v>
      </c>
      <c r="X65" s="9" t="str">
        <f t="shared" si="54"/>
        <v>Alias( AVG(VIN) , VIN3 )</v>
      </c>
      <c r="Y65" s="9"/>
    </row>
    <row r="66" spans="1:25" x14ac:dyDescent="0.25">
      <c r="A66" s="9" t="s">
        <v>31</v>
      </c>
      <c r="B66" s="9">
        <f t="shared" si="39"/>
        <v>380</v>
      </c>
      <c r="C66" s="12">
        <f t="shared" si="40"/>
        <v>2.34E-4</v>
      </c>
      <c r="D66" s="12">
        <f t="shared" si="41"/>
        <v>9.9799999999999997E-4</v>
      </c>
      <c r="E66" s="12">
        <f t="shared" si="42"/>
        <v>1.4999999999999999E-8</v>
      </c>
      <c r="F66" s="5">
        <f t="shared" ref="F66:F83" si="57">F65+0.025</f>
        <v>0.45000000000000007</v>
      </c>
      <c r="G66" s="9" t="str">
        <f t="shared" si="43"/>
        <v>Pop|Q=0.6|FSW_by_Fo=0.45</v>
      </c>
      <c r="H66" s="11">
        <f t="shared" si="44"/>
        <v>0.6</v>
      </c>
      <c r="I66" s="13">
        <f t="shared" si="45"/>
        <v>7.5</v>
      </c>
      <c r="J66">
        <f t="shared" si="46"/>
        <v>208.1665999466133</v>
      </c>
      <c r="K66">
        <f t="shared" si="55"/>
        <v>4.5656044244286722</v>
      </c>
      <c r="M66" s="1"/>
      <c r="N66" s="2">
        <f t="shared" si="47"/>
        <v>5.2649572649572649</v>
      </c>
      <c r="O66" s="3">
        <f t="shared" si="48"/>
        <v>37022.790388468951</v>
      </c>
      <c r="P66" s="1">
        <f t="shared" si="49"/>
        <v>84950.624020863033</v>
      </c>
      <c r="Q66" s="7">
        <f t="shared" si="50"/>
        <v>0.93800831171436905</v>
      </c>
      <c r="T66" s="7" t="str">
        <f t="shared" si="56"/>
        <v>var( M3, 0.938008311714369 )</v>
      </c>
      <c r="U66" s="10">
        <f t="shared" si="51"/>
        <v>23.762877230097349</v>
      </c>
      <c r="V66" s="10">
        <f t="shared" si="52"/>
        <v>38227.780809388372</v>
      </c>
      <c r="W66" s="9" t="str">
        <f t="shared" si="53"/>
        <v>Alias( AVG(VOUT) , VOUT3 )</v>
      </c>
      <c r="X66" s="9" t="str">
        <f t="shared" si="54"/>
        <v>Alias( AVG(VIN) , VIN3 )</v>
      </c>
      <c r="Y66" s="9"/>
    </row>
    <row r="67" spans="1:25" x14ac:dyDescent="0.25">
      <c r="A67" s="9" t="s">
        <v>31</v>
      </c>
      <c r="B67" s="9">
        <f t="shared" si="39"/>
        <v>380</v>
      </c>
      <c r="C67" s="12">
        <f t="shared" si="40"/>
        <v>2.34E-4</v>
      </c>
      <c r="D67" s="12">
        <f t="shared" si="41"/>
        <v>9.9799999999999997E-4</v>
      </c>
      <c r="E67" s="12">
        <f t="shared" si="42"/>
        <v>1.4999999999999999E-8</v>
      </c>
      <c r="F67" s="5">
        <f t="shared" si="57"/>
        <v>0.47500000000000009</v>
      </c>
      <c r="G67" s="9" t="str">
        <f t="shared" si="43"/>
        <v>Pop|Q=0.6|FSW_by_Fo=0.475</v>
      </c>
      <c r="H67" s="11">
        <f t="shared" si="44"/>
        <v>0.6</v>
      </c>
      <c r="I67" s="13">
        <f t="shared" si="45"/>
        <v>7.5</v>
      </c>
      <c r="J67">
        <f t="shared" si="46"/>
        <v>208.1665999466133</v>
      </c>
      <c r="K67">
        <f t="shared" si="55"/>
        <v>4.5656044244286722</v>
      </c>
      <c r="M67" s="1"/>
      <c r="N67" s="2">
        <f t="shared" si="47"/>
        <v>5.2649572649572649</v>
      </c>
      <c r="O67" s="3">
        <f t="shared" si="48"/>
        <v>37022.790388468951</v>
      </c>
      <c r="P67" s="1">
        <f t="shared" si="49"/>
        <v>84950.624020863033</v>
      </c>
      <c r="Q67" s="7">
        <f t="shared" si="50"/>
        <v>1.002547804927219</v>
      </c>
      <c r="T67" s="7" t="str">
        <f t="shared" si="56"/>
        <v>var( M3, 1.00254780492722 )</v>
      </c>
      <c r="U67" s="10">
        <f t="shared" si="51"/>
        <v>25.39787772482288</v>
      </c>
      <c r="V67" s="10">
        <f t="shared" si="52"/>
        <v>40351.546409909948</v>
      </c>
      <c r="W67" s="9" t="str">
        <f t="shared" si="53"/>
        <v>Alias( AVG(VOUT) , VOUT3 )</v>
      </c>
      <c r="X67" s="9" t="str">
        <f t="shared" si="54"/>
        <v>Alias( AVG(VIN) , VIN3 )</v>
      </c>
      <c r="Y67" s="9"/>
    </row>
    <row r="68" spans="1:25" x14ac:dyDescent="0.25">
      <c r="A68" s="9" t="s">
        <v>31</v>
      </c>
      <c r="B68" s="9">
        <f t="shared" si="39"/>
        <v>380</v>
      </c>
      <c r="C68" s="12">
        <f t="shared" si="40"/>
        <v>2.34E-4</v>
      </c>
      <c r="D68" s="12">
        <f t="shared" si="41"/>
        <v>9.9799999999999997E-4</v>
      </c>
      <c r="E68" s="12">
        <f t="shared" si="42"/>
        <v>1.4999999999999999E-8</v>
      </c>
      <c r="F68" s="5">
        <f t="shared" si="57"/>
        <v>0.50000000000000011</v>
      </c>
      <c r="G68" s="9" t="str">
        <f t="shared" si="43"/>
        <v>Pop|Q=0.6|FSW_by_Fo=0.5</v>
      </c>
      <c r="H68" s="11">
        <f t="shared" si="44"/>
        <v>0.6</v>
      </c>
      <c r="I68" s="13">
        <f t="shared" si="45"/>
        <v>7.5</v>
      </c>
      <c r="J68">
        <f t="shared" si="46"/>
        <v>208.1665999466133</v>
      </c>
      <c r="K68">
        <f t="shared" si="55"/>
        <v>4.5656044244286722</v>
      </c>
      <c r="M68" s="1"/>
      <c r="N68" s="2">
        <f t="shared" si="47"/>
        <v>5.2649572649572649</v>
      </c>
      <c r="O68" s="3">
        <f t="shared" si="48"/>
        <v>37022.790388468951</v>
      </c>
      <c r="P68" s="1">
        <f t="shared" si="49"/>
        <v>84950.624020863033</v>
      </c>
      <c r="Q68" s="7">
        <f t="shared" si="50"/>
        <v>1.0552848086493989</v>
      </c>
      <c r="T68" s="7" t="str">
        <f t="shared" si="56"/>
        <v>var( M3, 1.0552848086494 )</v>
      </c>
      <c r="U68" s="10">
        <f t="shared" si="51"/>
        <v>26.733881819118103</v>
      </c>
      <c r="V68" s="10">
        <f t="shared" si="52"/>
        <v>42475.312010431524</v>
      </c>
      <c r="W68" s="9" t="str">
        <f t="shared" si="53"/>
        <v>Alias( AVG(VOUT) , VOUT3 )</v>
      </c>
      <c r="X68" s="9" t="str">
        <f t="shared" si="54"/>
        <v>Alias( AVG(VIN) , VIN3 )</v>
      </c>
      <c r="Y68" s="9"/>
    </row>
    <row r="69" spans="1:25" x14ac:dyDescent="0.25">
      <c r="A69" s="9" t="s">
        <v>31</v>
      </c>
      <c r="B69" s="9">
        <f t="shared" si="39"/>
        <v>380</v>
      </c>
      <c r="C69" s="12">
        <f t="shared" si="40"/>
        <v>2.34E-4</v>
      </c>
      <c r="D69" s="12">
        <f t="shared" si="41"/>
        <v>9.9799999999999997E-4</v>
      </c>
      <c r="E69" s="12">
        <f t="shared" si="42"/>
        <v>1.4999999999999999E-8</v>
      </c>
      <c r="F69" s="5">
        <f t="shared" si="57"/>
        <v>0.52500000000000013</v>
      </c>
      <c r="G69" s="9" t="str">
        <f t="shared" si="43"/>
        <v>Pop|Q=0.6|FSW_by_Fo=0.525</v>
      </c>
      <c r="H69" s="11">
        <f t="shared" si="44"/>
        <v>0.6</v>
      </c>
      <c r="I69" s="13">
        <f t="shared" si="45"/>
        <v>7.5</v>
      </c>
      <c r="J69">
        <f t="shared" si="46"/>
        <v>208.1665999466133</v>
      </c>
      <c r="K69">
        <f t="shared" si="55"/>
        <v>4.5656044244286722</v>
      </c>
      <c r="M69" s="1"/>
      <c r="N69" s="2">
        <f t="shared" si="47"/>
        <v>5.2649572649572649</v>
      </c>
      <c r="O69" s="3">
        <f t="shared" si="48"/>
        <v>37022.790388468951</v>
      </c>
      <c r="P69" s="1">
        <f t="shared" si="49"/>
        <v>84950.624020863033</v>
      </c>
      <c r="Q69" s="7">
        <f t="shared" si="50"/>
        <v>1.0959006666179367</v>
      </c>
      <c r="T69" s="7" t="str">
        <f t="shared" si="56"/>
        <v>var( M3, 1.09590066661794 )</v>
      </c>
      <c r="U69" s="10">
        <f t="shared" si="51"/>
        <v>27.762816887654399</v>
      </c>
      <c r="V69" s="10">
        <f t="shared" si="52"/>
        <v>44599.077610953107</v>
      </c>
      <c r="W69" s="9" t="str">
        <f t="shared" si="53"/>
        <v>Alias( AVG(VOUT) , VOUT3 )</v>
      </c>
      <c r="X69" s="9" t="str">
        <f t="shared" si="54"/>
        <v>Alias( AVG(VIN) , VIN3 )</v>
      </c>
      <c r="Y69" s="9"/>
    </row>
    <row r="70" spans="1:25" x14ac:dyDescent="0.25">
      <c r="A70" s="9" t="s">
        <v>31</v>
      </c>
      <c r="B70" s="9">
        <f t="shared" si="39"/>
        <v>380</v>
      </c>
      <c r="C70" s="12">
        <f t="shared" si="40"/>
        <v>2.34E-4</v>
      </c>
      <c r="D70" s="12">
        <f t="shared" si="41"/>
        <v>9.9799999999999997E-4</v>
      </c>
      <c r="E70" s="12">
        <f t="shared" si="42"/>
        <v>1.4999999999999999E-8</v>
      </c>
      <c r="F70" s="5">
        <f t="shared" si="57"/>
        <v>0.55000000000000016</v>
      </c>
      <c r="G70" s="9" t="str">
        <f t="shared" si="43"/>
        <v>Pop|Q=0.6|FSW_by_Fo=0.55</v>
      </c>
      <c r="H70" s="11">
        <f t="shared" si="44"/>
        <v>0.6</v>
      </c>
      <c r="I70" s="13">
        <f t="shared" si="45"/>
        <v>7.5</v>
      </c>
      <c r="J70">
        <f t="shared" si="46"/>
        <v>208.1665999466133</v>
      </c>
      <c r="K70">
        <f t="shared" si="55"/>
        <v>4.5656044244286722</v>
      </c>
      <c r="M70" s="1"/>
      <c r="N70" s="2">
        <f t="shared" si="47"/>
        <v>5.2649572649572649</v>
      </c>
      <c r="O70" s="3">
        <f t="shared" si="48"/>
        <v>37022.790388468951</v>
      </c>
      <c r="P70" s="1">
        <f t="shared" si="49"/>
        <v>84950.624020863033</v>
      </c>
      <c r="Q70" s="7">
        <f t="shared" si="50"/>
        <v>1.1250887141434498</v>
      </c>
      <c r="T70" s="7" t="str">
        <f t="shared" si="56"/>
        <v>var( M3, 1.12508871414345 )</v>
      </c>
      <c r="U70" s="10">
        <f t="shared" si="51"/>
        <v>28.502247424967393</v>
      </c>
      <c r="V70" s="10">
        <f t="shared" si="52"/>
        <v>46722.843211474683</v>
      </c>
      <c r="W70" s="9" t="str">
        <f t="shared" si="53"/>
        <v>Alias( AVG(VOUT) , VOUT3 )</v>
      </c>
      <c r="X70" s="9" t="str">
        <f t="shared" si="54"/>
        <v>Alias( AVG(VIN) , VIN3 )</v>
      </c>
      <c r="Y70" s="9"/>
    </row>
    <row r="71" spans="1:25" x14ac:dyDescent="0.25">
      <c r="A71" s="9" t="s">
        <v>31</v>
      </c>
      <c r="B71" s="9">
        <f t="shared" si="39"/>
        <v>380</v>
      </c>
      <c r="C71" s="12">
        <f t="shared" si="40"/>
        <v>2.34E-4</v>
      </c>
      <c r="D71" s="12">
        <f t="shared" si="41"/>
        <v>9.9799999999999997E-4</v>
      </c>
      <c r="E71" s="12">
        <f t="shared" si="42"/>
        <v>1.4999999999999999E-8</v>
      </c>
      <c r="F71" s="5">
        <f t="shared" si="57"/>
        <v>0.57500000000000018</v>
      </c>
      <c r="G71" s="9" t="str">
        <f t="shared" si="43"/>
        <v>Pop|Q=0.6|FSW_by_Fo=0.575</v>
      </c>
      <c r="H71" s="11">
        <f t="shared" si="44"/>
        <v>0.6</v>
      </c>
      <c r="I71" s="13">
        <f t="shared" si="45"/>
        <v>7.5</v>
      </c>
      <c r="J71">
        <f t="shared" si="46"/>
        <v>208.1665999466133</v>
      </c>
      <c r="K71">
        <f t="shared" si="55"/>
        <v>4.5656044244286722</v>
      </c>
      <c r="M71" s="1"/>
      <c r="N71" s="2">
        <f t="shared" si="47"/>
        <v>5.2649572649572649</v>
      </c>
      <c r="O71" s="3">
        <f t="shared" si="48"/>
        <v>37022.790388468951</v>
      </c>
      <c r="P71" s="1">
        <f t="shared" si="49"/>
        <v>84950.624020863033</v>
      </c>
      <c r="Q71" s="7">
        <f t="shared" si="50"/>
        <v>1.1442126149770291</v>
      </c>
      <c r="T71" s="7" t="str">
        <f t="shared" si="56"/>
        <v>var( M3, 1.14421261497703 )</v>
      </c>
      <c r="U71" s="10">
        <f t="shared" si="51"/>
        <v>28.986719579418072</v>
      </c>
      <c r="V71" s="10">
        <f t="shared" si="52"/>
        <v>48846.608811996259</v>
      </c>
      <c r="W71" s="9" t="str">
        <f t="shared" si="53"/>
        <v>Alias( AVG(VOUT) , VOUT3 )</v>
      </c>
      <c r="X71" s="9" t="str">
        <f t="shared" si="54"/>
        <v>Alias( AVG(VIN) , VIN3 )</v>
      </c>
      <c r="Y71" s="9"/>
    </row>
    <row r="72" spans="1:25" x14ac:dyDescent="0.25">
      <c r="A72" s="9" t="s">
        <v>31</v>
      </c>
      <c r="B72" s="9">
        <f t="shared" si="39"/>
        <v>380</v>
      </c>
      <c r="C72" s="12">
        <f t="shared" si="40"/>
        <v>2.34E-4</v>
      </c>
      <c r="D72" s="12">
        <f t="shared" si="41"/>
        <v>9.9799999999999997E-4</v>
      </c>
      <c r="E72" s="12">
        <f t="shared" si="42"/>
        <v>1.4999999999999999E-8</v>
      </c>
      <c r="F72" s="5">
        <f t="shared" si="57"/>
        <v>0.6000000000000002</v>
      </c>
      <c r="G72" s="9" t="str">
        <f t="shared" si="43"/>
        <v>Pop|Q=0.6|FSW_by_Fo=0.6</v>
      </c>
      <c r="H72" s="11">
        <f t="shared" si="44"/>
        <v>0.6</v>
      </c>
      <c r="I72" s="13">
        <f t="shared" si="45"/>
        <v>7.5</v>
      </c>
      <c r="J72">
        <f t="shared" si="46"/>
        <v>208.1665999466133</v>
      </c>
      <c r="K72">
        <f t="shared" si="55"/>
        <v>4.5656044244286722</v>
      </c>
      <c r="M72" s="1"/>
      <c r="N72" s="2">
        <f t="shared" si="47"/>
        <v>5.2649572649572649</v>
      </c>
      <c r="O72" s="3">
        <f t="shared" si="48"/>
        <v>37022.790388468951</v>
      </c>
      <c r="P72" s="1">
        <f t="shared" si="49"/>
        <v>84950.624020863033</v>
      </c>
      <c r="Q72" s="7">
        <f t="shared" si="50"/>
        <v>1.1549446643881311</v>
      </c>
      <c r="T72" s="7" t="str">
        <f t="shared" si="56"/>
        <v>var( M3, 1.15494466438813 )</v>
      </c>
      <c r="U72" s="10">
        <f t="shared" si="51"/>
        <v>29.258598164499325</v>
      </c>
      <c r="V72" s="10">
        <f t="shared" si="52"/>
        <v>50970.374412517835</v>
      </c>
      <c r="W72" s="9" t="str">
        <f t="shared" si="53"/>
        <v>Alias( AVG(VOUT) , VOUT3 )</v>
      </c>
      <c r="X72" s="9" t="str">
        <f t="shared" si="54"/>
        <v>Alias( AVG(VIN) , VIN3 )</v>
      </c>
      <c r="Y72" s="9"/>
    </row>
    <row r="73" spans="1:25" x14ac:dyDescent="0.25">
      <c r="A73" s="9" t="s">
        <v>31</v>
      </c>
      <c r="B73" s="9">
        <f t="shared" si="39"/>
        <v>380</v>
      </c>
      <c r="C73" s="12">
        <f t="shared" si="40"/>
        <v>2.34E-4</v>
      </c>
      <c r="D73" s="12">
        <f t="shared" si="41"/>
        <v>9.9799999999999997E-4</v>
      </c>
      <c r="E73" s="12">
        <f t="shared" si="42"/>
        <v>1.4999999999999999E-8</v>
      </c>
      <c r="F73" s="5">
        <f t="shared" si="57"/>
        <v>0.62500000000000022</v>
      </c>
      <c r="G73" s="9" t="str">
        <f t="shared" si="43"/>
        <v>Pop|Q=0.6|FSW_by_Fo=0.625</v>
      </c>
      <c r="H73" s="11">
        <f t="shared" si="44"/>
        <v>0.6</v>
      </c>
      <c r="I73" s="13">
        <f t="shared" si="45"/>
        <v>7.5</v>
      </c>
      <c r="J73">
        <f t="shared" si="46"/>
        <v>208.1665999466133</v>
      </c>
      <c r="K73">
        <f t="shared" si="55"/>
        <v>4.5656044244286722</v>
      </c>
      <c r="M73" s="1"/>
      <c r="N73" s="2">
        <f t="shared" si="47"/>
        <v>5.2649572649572649</v>
      </c>
      <c r="O73" s="3">
        <f t="shared" si="48"/>
        <v>37022.790388468951</v>
      </c>
      <c r="P73" s="1">
        <f t="shared" si="49"/>
        <v>84950.624020863033</v>
      </c>
      <c r="Q73" s="7">
        <f t="shared" si="50"/>
        <v>1.1589806485846939</v>
      </c>
      <c r="T73" s="7" t="str">
        <f t="shared" si="56"/>
        <v>var( M3, 1.15898064858469 )</v>
      </c>
      <c r="U73" s="10">
        <f t="shared" si="51"/>
        <v>29.360843097478909</v>
      </c>
      <c r="V73" s="10">
        <f t="shared" si="52"/>
        <v>53094.140013039418</v>
      </c>
      <c r="W73" s="9" t="str">
        <f t="shared" si="53"/>
        <v>Alias( AVG(VOUT) , VOUT3 )</v>
      </c>
      <c r="X73" s="9" t="str">
        <f t="shared" si="54"/>
        <v>Alias( AVG(VIN) , VIN3 )</v>
      </c>
      <c r="Y73" s="9"/>
    </row>
    <row r="74" spans="1:25" x14ac:dyDescent="0.25">
      <c r="A74" s="9" t="s">
        <v>31</v>
      </c>
      <c r="B74" s="9">
        <f t="shared" si="39"/>
        <v>380</v>
      </c>
      <c r="C74" s="12">
        <f t="shared" si="40"/>
        <v>2.34E-4</v>
      </c>
      <c r="D74" s="12">
        <f t="shared" si="41"/>
        <v>9.9799999999999997E-4</v>
      </c>
      <c r="E74" s="12">
        <f t="shared" si="42"/>
        <v>1.4999999999999999E-8</v>
      </c>
      <c r="F74" s="5">
        <f t="shared" si="57"/>
        <v>0.65000000000000024</v>
      </c>
      <c r="G74" s="9" t="str">
        <f t="shared" si="43"/>
        <v>Pop|Q=0.6|FSW_by_Fo=0.65</v>
      </c>
      <c r="H74" s="11">
        <f t="shared" si="44"/>
        <v>0.6</v>
      </c>
      <c r="I74" s="13">
        <f t="shared" si="45"/>
        <v>7.5</v>
      </c>
      <c r="J74">
        <f t="shared" si="46"/>
        <v>208.1665999466133</v>
      </c>
      <c r="K74">
        <f t="shared" si="55"/>
        <v>4.5656044244286722</v>
      </c>
      <c r="M74" s="1"/>
      <c r="N74" s="2">
        <f t="shared" si="47"/>
        <v>5.2649572649572649</v>
      </c>
      <c r="O74" s="3">
        <f t="shared" si="48"/>
        <v>37022.790388468951</v>
      </c>
      <c r="P74" s="1">
        <f t="shared" si="49"/>
        <v>84950.624020863033</v>
      </c>
      <c r="Q74" s="7">
        <f t="shared" si="50"/>
        <v>1.1578629289048235</v>
      </c>
      <c r="T74" s="7" t="str">
        <f t="shared" si="56"/>
        <v>var( M3, 1.15786292890482 )</v>
      </c>
      <c r="U74" s="10">
        <f t="shared" si="51"/>
        <v>29.332527532255529</v>
      </c>
      <c r="V74" s="10">
        <f t="shared" si="52"/>
        <v>55217.905613560994</v>
      </c>
      <c r="W74" s="9" t="str">
        <f t="shared" si="53"/>
        <v>Alias( AVG(VOUT) , VOUT3 )</v>
      </c>
      <c r="X74" s="9" t="str">
        <f t="shared" si="54"/>
        <v>Alias( AVG(VIN) , VIN3 )</v>
      </c>
      <c r="Y74" s="9"/>
    </row>
    <row r="75" spans="1:25" x14ac:dyDescent="0.25">
      <c r="A75" s="9" t="s">
        <v>31</v>
      </c>
      <c r="B75" s="9">
        <f t="shared" si="39"/>
        <v>380</v>
      </c>
      <c r="C75" s="12">
        <f t="shared" si="40"/>
        <v>2.34E-4</v>
      </c>
      <c r="D75" s="12">
        <f t="shared" si="41"/>
        <v>9.9799999999999997E-4</v>
      </c>
      <c r="E75" s="12">
        <f t="shared" si="42"/>
        <v>1.4999999999999999E-8</v>
      </c>
      <c r="F75" s="5">
        <f t="shared" si="57"/>
        <v>0.67500000000000027</v>
      </c>
      <c r="G75" s="9" t="str">
        <f t="shared" si="43"/>
        <v>Pop|Q=0.6|FSW_by_Fo=0.675</v>
      </c>
      <c r="H75" s="11">
        <f t="shared" si="44"/>
        <v>0.6</v>
      </c>
      <c r="I75" s="13">
        <f t="shared" si="45"/>
        <v>7.5</v>
      </c>
      <c r="J75">
        <f t="shared" si="46"/>
        <v>208.1665999466133</v>
      </c>
      <c r="K75">
        <f t="shared" si="55"/>
        <v>4.5656044244286722</v>
      </c>
      <c r="M75" s="1"/>
      <c r="N75" s="2">
        <f t="shared" si="47"/>
        <v>5.2649572649572649</v>
      </c>
      <c r="O75" s="3">
        <f t="shared" si="48"/>
        <v>37022.790388468951</v>
      </c>
      <c r="P75" s="1">
        <f t="shared" si="49"/>
        <v>84950.624020863033</v>
      </c>
      <c r="Q75" s="7">
        <f t="shared" si="50"/>
        <v>1.1528987234057684</v>
      </c>
      <c r="T75" s="7" t="str">
        <f t="shared" si="56"/>
        <v>var( M3, 1.15289872340577 )</v>
      </c>
      <c r="U75" s="10">
        <f t="shared" si="51"/>
        <v>29.206767659612801</v>
      </c>
      <c r="V75" s="10">
        <f t="shared" si="52"/>
        <v>57341.671214082569</v>
      </c>
      <c r="W75" s="9" t="str">
        <f t="shared" si="53"/>
        <v>Alias( AVG(VOUT) , VOUT3 )</v>
      </c>
      <c r="X75" s="9" t="str">
        <f t="shared" si="54"/>
        <v>Alias( AVG(VIN) , VIN3 )</v>
      </c>
      <c r="Y75" s="9"/>
    </row>
    <row r="76" spans="1:25" x14ac:dyDescent="0.25">
      <c r="A76" s="9" t="s">
        <v>31</v>
      </c>
      <c r="B76" s="9">
        <f t="shared" si="39"/>
        <v>380</v>
      </c>
      <c r="C76" s="12">
        <f t="shared" si="40"/>
        <v>2.34E-4</v>
      </c>
      <c r="D76" s="12">
        <f t="shared" si="41"/>
        <v>9.9799999999999997E-4</v>
      </c>
      <c r="E76" s="12">
        <f t="shared" si="42"/>
        <v>1.4999999999999999E-8</v>
      </c>
      <c r="F76" s="5">
        <f t="shared" si="57"/>
        <v>0.70000000000000029</v>
      </c>
      <c r="G76" s="9" t="str">
        <f t="shared" si="43"/>
        <v>Pop|Q=0.6|FSW_by_Fo=0.7</v>
      </c>
      <c r="H76" s="11">
        <f t="shared" si="44"/>
        <v>0.6</v>
      </c>
      <c r="I76" s="13">
        <f t="shared" si="45"/>
        <v>7.5</v>
      </c>
      <c r="J76">
        <f t="shared" si="46"/>
        <v>208.1665999466133</v>
      </c>
      <c r="K76">
        <f t="shared" si="55"/>
        <v>4.5656044244286722</v>
      </c>
      <c r="M76" s="1"/>
      <c r="N76" s="2">
        <f t="shared" si="47"/>
        <v>5.2649572649572649</v>
      </c>
      <c r="O76" s="3">
        <f t="shared" si="48"/>
        <v>37022.790388468951</v>
      </c>
      <c r="P76" s="1">
        <f t="shared" si="49"/>
        <v>84950.624020863033</v>
      </c>
      <c r="Q76" s="7">
        <f t="shared" si="50"/>
        <v>1.1451435337073945</v>
      </c>
      <c r="T76" s="7" t="str">
        <f t="shared" si="56"/>
        <v>var( M3, 1.14514353370739 )</v>
      </c>
      <c r="U76" s="10">
        <f t="shared" si="51"/>
        <v>29.010302853920663</v>
      </c>
      <c r="V76" s="10">
        <f t="shared" si="52"/>
        <v>59465.436814604145</v>
      </c>
      <c r="W76" s="9" t="str">
        <f t="shared" si="53"/>
        <v>Alias( AVG(VOUT) , VOUT3 )</v>
      </c>
      <c r="X76" s="9" t="str">
        <f t="shared" si="54"/>
        <v>Alias( AVG(VIN) , VIN3 )</v>
      </c>
      <c r="Y76" s="9"/>
    </row>
    <row r="77" spans="1:25" x14ac:dyDescent="0.25">
      <c r="A77" s="9" t="s">
        <v>31</v>
      </c>
      <c r="B77" s="9">
        <f t="shared" si="39"/>
        <v>380</v>
      </c>
      <c r="C77" s="12">
        <f t="shared" si="40"/>
        <v>2.34E-4</v>
      </c>
      <c r="D77" s="12">
        <f t="shared" si="41"/>
        <v>9.9799999999999997E-4</v>
      </c>
      <c r="E77" s="12">
        <f t="shared" si="42"/>
        <v>1.4999999999999999E-8</v>
      </c>
      <c r="F77" s="5">
        <f t="shared" si="57"/>
        <v>0.72500000000000031</v>
      </c>
      <c r="G77" s="9" t="str">
        <f t="shared" si="43"/>
        <v>Pop|Q=0.6|FSW_by_Fo=0.725</v>
      </c>
      <c r="H77" s="11">
        <f t="shared" si="44"/>
        <v>0.6</v>
      </c>
      <c r="I77" s="13">
        <f t="shared" si="45"/>
        <v>7.5</v>
      </c>
      <c r="J77">
        <f t="shared" si="46"/>
        <v>208.1665999466133</v>
      </c>
      <c r="K77">
        <f t="shared" si="55"/>
        <v>4.5656044244286722</v>
      </c>
      <c r="M77" s="1"/>
      <c r="N77" s="2">
        <f t="shared" si="47"/>
        <v>5.2649572649572649</v>
      </c>
      <c r="O77" s="3">
        <f t="shared" si="48"/>
        <v>37022.790388468951</v>
      </c>
      <c r="P77" s="1">
        <f t="shared" si="49"/>
        <v>84950.624020863033</v>
      </c>
      <c r="Q77" s="7">
        <f t="shared" si="50"/>
        <v>1.1354208007060311</v>
      </c>
      <c r="T77" s="7" t="str">
        <f t="shared" si="56"/>
        <v>var( M3, 1.13542080070603 )</v>
      </c>
      <c r="U77" s="10">
        <f t="shared" si="51"/>
        <v>28.763993617886122</v>
      </c>
      <c r="V77" s="10">
        <f t="shared" si="52"/>
        <v>61589.202415125728</v>
      </c>
      <c r="W77" s="9" t="str">
        <f t="shared" si="53"/>
        <v>Alias( AVG(VOUT) , VOUT3 )</v>
      </c>
      <c r="X77" s="9" t="str">
        <f t="shared" si="54"/>
        <v>Alias( AVG(VIN) , VIN3 )</v>
      </c>
      <c r="Y77" s="9"/>
    </row>
    <row r="78" spans="1:25" x14ac:dyDescent="0.25">
      <c r="A78" s="9" t="s">
        <v>31</v>
      </c>
      <c r="B78" s="9">
        <f t="shared" si="39"/>
        <v>380</v>
      </c>
      <c r="C78" s="12">
        <f t="shared" si="40"/>
        <v>2.34E-4</v>
      </c>
      <c r="D78" s="12">
        <f t="shared" si="41"/>
        <v>9.9799999999999997E-4</v>
      </c>
      <c r="E78" s="12">
        <f t="shared" si="42"/>
        <v>1.4999999999999999E-8</v>
      </c>
      <c r="F78" s="5">
        <f t="shared" si="57"/>
        <v>0.75000000000000033</v>
      </c>
      <c r="G78" s="9" t="str">
        <f t="shared" si="43"/>
        <v>Pop|Q=0.6|FSW_by_Fo=0.75</v>
      </c>
      <c r="H78" s="11">
        <f t="shared" si="44"/>
        <v>0.6</v>
      </c>
      <c r="I78" s="13">
        <f t="shared" si="45"/>
        <v>7.5</v>
      </c>
      <c r="J78">
        <f t="shared" si="46"/>
        <v>208.1665999466133</v>
      </c>
      <c r="K78">
        <f t="shared" si="55"/>
        <v>4.5656044244286722</v>
      </c>
      <c r="M78" s="1"/>
      <c r="N78" s="2">
        <f t="shared" si="47"/>
        <v>5.2649572649572649</v>
      </c>
      <c r="O78" s="3">
        <f t="shared" si="48"/>
        <v>37022.790388468951</v>
      </c>
      <c r="P78" s="1">
        <f t="shared" si="49"/>
        <v>84950.624020863033</v>
      </c>
      <c r="Q78" s="7">
        <f t="shared" si="50"/>
        <v>1.124356996441551</v>
      </c>
      <c r="T78" s="7" t="str">
        <f t="shared" si="56"/>
        <v>var( M3, 1.12435699644155 )</v>
      </c>
      <c r="U78" s="10">
        <f t="shared" si="51"/>
        <v>28.48371057651929</v>
      </c>
      <c r="V78" s="10">
        <f t="shared" si="52"/>
        <v>63712.968015647304</v>
      </c>
      <c r="W78" s="9" t="str">
        <f t="shared" si="53"/>
        <v>Alias( AVG(VOUT) , VOUT3 )</v>
      </c>
      <c r="X78" s="9" t="str">
        <f t="shared" si="54"/>
        <v>Alias( AVG(VIN) , VIN3 )</v>
      </c>
      <c r="Y78" s="9"/>
    </row>
    <row r="79" spans="1:25" x14ac:dyDescent="0.25">
      <c r="A79" s="9" t="s">
        <v>31</v>
      </c>
      <c r="B79" s="9">
        <f t="shared" si="39"/>
        <v>380</v>
      </c>
      <c r="C79" s="12">
        <f t="shared" si="40"/>
        <v>2.34E-4</v>
      </c>
      <c r="D79" s="12">
        <f t="shared" si="41"/>
        <v>9.9799999999999997E-4</v>
      </c>
      <c r="E79" s="12">
        <f t="shared" si="42"/>
        <v>1.4999999999999999E-8</v>
      </c>
      <c r="F79" s="5">
        <f t="shared" si="57"/>
        <v>0.77500000000000036</v>
      </c>
      <c r="G79" s="9" t="str">
        <f t="shared" si="43"/>
        <v>Pop|Q=0.6|FSW_by_Fo=0.775</v>
      </c>
      <c r="H79" s="11">
        <f t="shared" si="44"/>
        <v>0.6</v>
      </c>
      <c r="I79" s="13">
        <f t="shared" si="45"/>
        <v>7.5</v>
      </c>
      <c r="J79">
        <f t="shared" si="46"/>
        <v>208.1665999466133</v>
      </c>
      <c r="K79">
        <f t="shared" si="55"/>
        <v>4.5656044244286722</v>
      </c>
      <c r="M79" s="1"/>
      <c r="N79" s="2">
        <f t="shared" si="47"/>
        <v>5.2649572649572649</v>
      </c>
      <c r="O79" s="3">
        <f t="shared" si="48"/>
        <v>37022.790388468951</v>
      </c>
      <c r="P79" s="1">
        <f t="shared" si="49"/>
        <v>84950.624020863033</v>
      </c>
      <c r="Q79" s="7">
        <f t="shared" si="50"/>
        <v>1.1124197589336913</v>
      </c>
      <c r="T79" s="7" t="str">
        <f t="shared" si="56"/>
        <v>var( M3, 1.11241975893369 )</v>
      </c>
      <c r="U79" s="10">
        <f t="shared" si="51"/>
        <v>28.181300559653511</v>
      </c>
      <c r="V79" s="10">
        <f t="shared" si="52"/>
        <v>65836.733616168887</v>
      </c>
      <c r="W79" s="9" t="str">
        <f t="shared" si="53"/>
        <v>Alias( AVG(VOUT) , VOUT3 )</v>
      </c>
      <c r="X79" s="9" t="str">
        <f t="shared" si="54"/>
        <v>Alias( AVG(VIN) , VIN3 )</v>
      </c>
      <c r="Y79" s="9"/>
    </row>
    <row r="80" spans="1:25" s="9" customFormat="1" x14ac:dyDescent="0.25">
      <c r="A80" s="9" t="s">
        <v>31</v>
      </c>
      <c r="B80" s="9">
        <f t="shared" si="39"/>
        <v>380</v>
      </c>
      <c r="C80" s="12">
        <f t="shared" si="40"/>
        <v>2.34E-4</v>
      </c>
      <c r="D80" s="12">
        <f t="shared" si="41"/>
        <v>9.9799999999999997E-4</v>
      </c>
      <c r="E80" s="12">
        <f t="shared" si="42"/>
        <v>1.4999999999999999E-8</v>
      </c>
      <c r="F80" s="5">
        <f t="shared" si="57"/>
        <v>0.80000000000000038</v>
      </c>
      <c r="G80" s="9" t="str">
        <f t="shared" si="43"/>
        <v>Pop|Q=0.6|FSW_by_Fo=0.8</v>
      </c>
      <c r="H80" s="11">
        <f t="shared" si="44"/>
        <v>0.6</v>
      </c>
      <c r="I80" s="13">
        <f t="shared" si="45"/>
        <v>7.5</v>
      </c>
      <c r="J80" s="9">
        <f t="shared" ref="J80:J86" si="58">(SQRT(C80/E80))/H80</f>
        <v>208.1665999466133</v>
      </c>
      <c r="K80" s="9">
        <f>J80*PI()^2/(8*I80^2)</f>
        <v>4.5656044244286722</v>
      </c>
      <c r="M80" s="10"/>
      <c r="N80" s="11">
        <f t="shared" si="47"/>
        <v>5.2649572649572649</v>
      </c>
      <c r="O80" s="12">
        <f t="shared" si="48"/>
        <v>37022.790388468951</v>
      </c>
      <c r="P80" s="10">
        <f t="shared" si="49"/>
        <v>84950.624020863033</v>
      </c>
      <c r="Q80" s="7">
        <f t="shared" si="50"/>
        <v>1.0999528766153985</v>
      </c>
      <c r="R80" s="7"/>
      <c r="S80" s="7"/>
      <c r="T80" s="7" t="str">
        <f t="shared" si="56"/>
        <v>var( M3, 1.0999528766154 )</v>
      </c>
      <c r="U80" s="10">
        <f t="shared" ref="U80:U86" si="59">Q80*VIN/15</f>
        <v>27.86547287425676</v>
      </c>
      <c r="V80" s="10">
        <f t="shared" si="52"/>
        <v>67960.499216690456</v>
      </c>
      <c r="W80" s="9" t="str">
        <f t="shared" si="53"/>
        <v>Alias( AVG(VOUT) , VOUT3 )</v>
      </c>
      <c r="X80" s="9" t="str">
        <f t="shared" si="54"/>
        <v>Alias( AVG(VIN) , VIN3 )</v>
      </c>
    </row>
    <row r="81" spans="1:29" s="9" customFormat="1" x14ac:dyDescent="0.25">
      <c r="A81" s="9" t="s">
        <v>31</v>
      </c>
      <c r="B81" s="9">
        <f t="shared" si="39"/>
        <v>380</v>
      </c>
      <c r="C81" s="12">
        <f t="shared" si="40"/>
        <v>2.34E-4</v>
      </c>
      <c r="D81" s="12">
        <f t="shared" si="41"/>
        <v>9.9799999999999997E-4</v>
      </c>
      <c r="E81" s="12">
        <f t="shared" si="42"/>
        <v>1.4999999999999999E-8</v>
      </c>
      <c r="F81" s="5">
        <f t="shared" si="57"/>
        <v>0.8250000000000004</v>
      </c>
      <c r="G81" s="9" t="str">
        <f t="shared" si="43"/>
        <v>Pop|Q=0.6|FSW_by_Fo=0.825</v>
      </c>
      <c r="H81" s="11">
        <f t="shared" si="44"/>
        <v>0.6</v>
      </c>
      <c r="I81" s="13">
        <f t="shared" si="45"/>
        <v>7.5</v>
      </c>
      <c r="J81" s="9">
        <f t="shared" si="58"/>
        <v>208.1665999466133</v>
      </c>
      <c r="K81" s="9">
        <f t="shared" ref="K81:K86" si="60">J81*PI()^2/(8*I81^2)</f>
        <v>4.5656044244286722</v>
      </c>
      <c r="M81" s="10"/>
      <c r="N81" s="11">
        <f t="shared" si="47"/>
        <v>5.2649572649572649</v>
      </c>
      <c r="O81" s="12">
        <f t="shared" si="48"/>
        <v>37022.790388468951</v>
      </c>
      <c r="P81" s="10">
        <f t="shared" si="49"/>
        <v>84950.624020863033</v>
      </c>
      <c r="Q81" s="7">
        <f t="shared" si="50"/>
        <v>1.0872057438475771</v>
      </c>
      <c r="R81" s="7"/>
      <c r="S81" s="7"/>
      <c r="T81" s="7" t="str">
        <f t="shared" si="56"/>
        <v>var( M3, 1.08720574384758 )</v>
      </c>
      <c r="U81" s="10">
        <f t="shared" si="59"/>
        <v>27.542545510805283</v>
      </c>
      <c r="V81" s="10">
        <f t="shared" si="52"/>
        <v>70084.264817212039</v>
      </c>
      <c r="W81" s="9" t="str">
        <f t="shared" si="53"/>
        <v>Alias( AVG(VOUT) , VOUT3 )</v>
      </c>
      <c r="X81" s="9" t="str">
        <f t="shared" si="54"/>
        <v>Alias( AVG(VIN) , VIN3 )</v>
      </c>
    </row>
    <row r="82" spans="1:29" s="9" customFormat="1" x14ac:dyDescent="0.25">
      <c r="A82" s="9" t="s">
        <v>31</v>
      </c>
      <c r="B82" s="9">
        <f t="shared" si="39"/>
        <v>380</v>
      </c>
      <c r="C82" s="12">
        <f t="shared" si="40"/>
        <v>2.34E-4</v>
      </c>
      <c r="D82" s="12">
        <f t="shared" si="41"/>
        <v>9.9799999999999997E-4</v>
      </c>
      <c r="E82" s="12">
        <f t="shared" si="42"/>
        <v>1.4999999999999999E-8</v>
      </c>
      <c r="F82" s="5">
        <f t="shared" si="57"/>
        <v>0.85000000000000042</v>
      </c>
      <c r="G82" s="9" t="str">
        <f t="shared" si="43"/>
        <v>Pop|Q=0.6|FSW_by_Fo=0.85</v>
      </c>
      <c r="H82" s="11">
        <f t="shared" si="44"/>
        <v>0.6</v>
      </c>
      <c r="I82" s="13">
        <f t="shared" si="45"/>
        <v>7.5</v>
      </c>
      <c r="J82" s="9">
        <f t="shared" si="58"/>
        <v>208.1665999466133</v>
      </c>
      <c r="K82" s="9">
        <f t="shared" si="60"/>
        <v>4.5656044244286722</v>
      </c>
      <c r="M82" s="10"/>
      <c r="N82" s="11">
        <f t="shared" si="47"/>
        <v>5.2649572649572649</v>
      </c>
      <c r="O82" s="12">
        <f t="shared" si="48"/>
        <v>37022.790388468951</v>
      </c>
      <c r="P82" s="10">
        <f t="shared" si="49"/>
        <v>84950.624020863033</v>
      </c>
      <c r="Q82" s="7">
        <f t="shared" si="50"/>
        <v>1.0743569448951134</v>
      </c>
      <c r="R82" s="7"/>
      <c r="S82" s="7"/>
      <c r="T82" s="7" t="str">
        <f t="shared" si="56"/>
        <v>var( M3, 1.07435694489511 )</v>
      </c>
      <c r="U82" s="10">
        <f t="shared" si="59"/>
        <v>27.217042604009539</v>
      </c>
      <c r="V82" s="10">
        <f t="shared" si="52"/>
        <v>72208.030417733607</v>
      </c>
      <c r="W82" s="9" t="str">
        <f t="shared" si="53"/>
        <v>Alias( AVG(VOUT) , VOUT3 )</v>
      </c>
      <c r="X82" s="9" t="str">
        <f t="shared" si="54"/>
        <v>Alias( AVG(VIN) , VIN3 )</v>
      </c>
    </row>
    <row r="83" spans="1:29" s="9" customFormat="1" x14ac:dyDescent="0.25">
      <c r="A83" s="9" t="s">
        <v>31</v>
      </c>
      <c r="B83" s="9">
        <f t="shared" si="39"/>
        <v>380</v>
      </c>
      <c r="C83" s="12">
        <f t="shared" si="40"/>
        <v>2.34E-4</v>
      </c>
      <c r="D83" s="12">
        <f t="shared" si="41"/>
        <v>9.9799999999999997E-4</v>
      </c>
      <c r="E83" s="12">
        <f t="shared" si="42"/>
        <v>1.4999999999999999E-8</v>
      </c>
      <c r="F83" s="5">
        <f t="shared" si="57"/>
        <v>0.87500000000000044</v>
      </c>
      <c r="G83" s="9" t="str">
        <f t="shared" si="43"/>
        <v>Pop|Q=0.6|FSW_by_Fo=0.875</v>
      </c>
      <c r="H83" s="11">
        <f t="shared" si="44"/>
        <v>0.6</v>
      </c>
      <c r="I83" s="13">
        <f t="shared" si="45"/>
        <v>7.5</v>
      </c>
      <c r="J83" s="9">
        <f t="shared" si="58"/>
        <v>208.1665999466133</v>
      </c>
      <c r="K83" s="9">
        <f t="shared" si="60"/>
        <v>4.5656044244286722</v>
      </c>
      <c r="M83" s="10"/>
      <c r="N83" s="11">
        <f t="shared" si="47"/>
        <v>5.2649572649572649</v>
      </c>
      <c r="O83" s="12">
        <f t="shared" si="48"/>
        <v>37022.790388468951</v>
      </c>
      <c r="P83" s="10">
        <f t="shared" si="49"/>
        <v>84950.624020863033</v>
      </c>
      <c r="Q83" s="7">
        <f t="shared" si="50"/>
        <v>1.0615325494279841</v>
      </c>
      <c r="R83" s="7"/>
      <c r="S83" s="7"/>
      <c r="T83" s="7" t="str">
        <f t="shared" si="56"/>
        <v>var( M3, 1.06153254942798 )</v>
      </c>
      <c r="U83" s="10">
        <f t="shared" si="59"/>
        <v>26.892157918842265</v>
      </c>
      <c r="V83" s="10">
        <f t="shared" si="52"/>
        <v>74331.796018255191</v>
      </c>
      <c r="W83" s="9" t="str">
        <f t="shared" si="53"/>
        <v>Alias( AVG(VOUT) , VOUT3 )</v>
      </c>
      <c r="X83" s="9" t="str">
        <f t="shared" si="54"/>
        <v>Alias( AVG(VIN) , VIN3 )</v>
      </c>
    </row>
    <row r="84" spans="1:29" s="9" customFormat="1" x14ac:dyDescent="0.25">
      <c r="A84" s="9" t="s">
        <v>31</v>
      </c>
      <c r="B84" s="9">
        <f t="shared" si="39"/>
        <v>380</v>
      </c>
      <c r="C84" s="12">
        <f t="shared" si="40"/>
        <v>2.34E-4</v>
      </c>
      <c r="D84" s="12">
        <f t="shared" si="41"/>
        <v>9.9799999999999997E-4</v>
      </c>
      <c r="E84" s="12">
        <f t="shared" si="42"/>
        <v>1.4999999999999999E-8</v>
      </c>
      <c r="F84" s="5">
        <v>1</v>
      </c>
      <c r="G84" s="9" t="str">
        <f t="shared" si="43"/>
        <v>Pop|Q=0.6|FSW_by_Fo=1</v>
      </c>
      <c r="H84" s="11">
        <f t="shared" si="44"/>
        <v>0.6</v>
      </c>
      <c r="I84" s="13">
        <f t="shared" si="45"/>
        <v>7.5</v>
      </c>
      <c r="J84" s="9">
        <f t="shared" si="58"/>
        <v>208.1665999466133</v>
      </c>
      <c r="K84" s="9">
        <f t="shared" si="60"/>
        <v>4.5656044244286722</v>
      </c>
      <c r="M84" s="10"/>
      <c r="N84" s="11">
        <f t="shared" si="47"/>
        <v>5.2649572649572649</v>
      </c>
      <c r="O84" s="12">
        <f t="shared" si="48"/>
        <v>37022.790388468951</v>
      </c>
      <c r="P84" s="10">
        <f t="shared" si="49"/>
        <v>84950.624020863033</v>
      </c>
      <c r="Q84" s="7">
        <f t="shared" si="50"/>
        <v>0.99999999999999978</v>
      </c>
      <c r="R84" s="7"/>
      <c r="S84" s="7"/>
      <c r="T84" s="7" t="str">
        <f t="shared" si="56"/>
        <v>var( M3, 1 )</v>
      </c>
      <c r="U84" s="10">
        <f t="shared" si="59"/>
        <v>25.333333333333329</v>
      </c>
      <c r="V84" s="10">
        <f t="shared" si="52"/>
        <v>84950.624020863033</v>
      </c>
      <c r="W84" s="9" t="str">
        <f t="shared" si="53"/>
        <v>Alias( AVG(VOUT) , VOUT3 )</v>
      </c>
      <c r="X84" s="9" t="str">
        <f t="shared" si="54"/>
        <v>Alias( AVG(VIN) , VIN3 )</v>
      </c>
    </row>
    <row r="85" spans="1:29" s="9" customFormat="1" x14ac:dyDescent="0.25">
      <c r="A85" s="9" t="s">
        <v>31</v>
      </c>
      <c r="B85" s="9">
        <f t="shared" si="39"/>
        <v>380</v>
      </c>
      <c r="C85" s="12">
        <f t="shared" si="40"/>
        <v>2.34E-4</v>
      </c>
      <c r="D85" s="12">
        <f t="shared" si="41"/>
        <v>9.9799999999999997E-4</v>
      </c>
      <c r="E85" s="12">
        <f t="shared" si="42"/>
        <v>1.4999999999999999E-8</v>
      </c>
      <c r="F85" s="5">
        <v>1.2</v>
      </c>
      <c r="G85" s="9" t="str">
        <f t="shared" si="43"/>
        <v>Pop|Q=0.6|FSW_by_Fo=1.2</v>
      </c>
      <c r="H85" s="11">
        <f t="shared" si="44"/>
        <v>0.6</v>
      </c>
      <c r="I85" s="13">
        <f t="shared" si="45"/>
        <v>7.5</v>
      </c>
      <c r="J85" s="9">
        <f t="shared" si="58"/>
        <v>208.1665999466133</v>
      </c>
      <c r="K85" s="9">
        <f t="shared" si="60"/>
        <v>4.5656044244286722</v>
      </c>
      <c r="M85" s="10"/>
      <c r="N85" s="11">
        <f t="shared" si="47"/>
        <v>5.2649572649572649</v>
      </c>
      <c r="O85" s="12">
        <f t="shared" si="48"/>
        <v>37022.790388468951</v>
      </c>
      <c r="P85" s="10">
        <f t="shared" si="49"/>
        <v>84950.624020863033</v>
      </c>
      <c r="Q85" s="7">
        <f t="shared" si="50"/>
        <v>0.91408314692907988</v>
      </c>
      <c r="R85" s="7"/>
      <c r="S85" s="7"/>
      <c r="T85" s="7" t="str">
        <f t="shared" si="56"/>
        <v>var( M3, 0.91408314692908 )</v>
      </c>
      <c r="U85" s="10">
        <f t="shared" si="59"/>
        <v>23.156773055536689</v>
      </c>
      <c r="V85" s="10">
        <f t="shared" si="52"/>
        <v>101940.74882503564</v>
      </c>
      <c r="W85" s="9" t="str">
        <f t="shared" si="53"/>
        <v>Alias( AVG(VOUT) , VOUT3 )</v>
      </c>
      <c r="X85" s="9" t="str">
        <f t="shared" si="54"/>
        <v>Alias( AVG(VIN) , VIN3 )</v>
      </c>
    </row>
    <row r="86" spans="1:29" s="9" customFormat="1" x14ac:dyDescent="0.25">
      <c r="A86" s="9" t="s">
        <v>31</v>
      </c>
      <c r="B86" s="9">
        <f t="shared" si="39"/>
        <v>380</v>
      </c>
      <c r="C86" s="12">
        <f t="shared" si="40"/>
        <v>2.34E-4</v>
      </c>
      <c r="D86" s="12">
        <f t="shared" si="41"/>
        <v>9.9799999999999997E-4</v>
      </c>
      <c r="E86" s="12">
        <f t="shared" si="42"/>
        <v>1.4999999999999999E-8</v>
      </c>
      <c r="F86" s="5">
        <v>1.4</v>
      </c>
      <c r="G86" s="9" t="str">
        <f t="shared" si="43"/>
        <v>Pop|Q=0.6|FSW_by_Fo=1.4</v>
      </c>
      <c r="H86" s="11">
        <f t="shared" si="44"/>
        <v>0.6</v>
      </c>
      <c r="I86" s="13">
        <f t="shared" si="45"/>
        <v>7.5</v>
      </c>
      <c r="J86" s="9">
        <f t="shared" si="58"/>
        <v>208.1665999466133</v>
      </c>
      <c r="K86" s="9">
        <f t="shared" si="60"/>
        <v>4.5656044244286722</v>
      </c>
      <c r="M86" s="10"/>
      <c r="N86" s="11">
        <f t="shared" si="47"/>
        <v>5.2649572649572649</v>
      </c>
      <c r="O86" s="12">
        <f t="shared" si="48"/>
        <v>37022.790388468951</v>
      </c>
      <c r="P86" s="10">
        <f t="shared" si="49"/>
        <v>84950.624020863033</v>
      </c>
      <c r="Q86" s="7">
        <f t="shared" si="50"/>
        <v>0.84151178138995364</v>
      </c>
      <c r="R86" s="7"/>
      <c r="S86" s="7"/>
      <c r="T86" s="7" t="str">
        <f t="shared" si="56"/>
        <v>var( M3, 0.841511781389954 )</v>
      </c>
      <c r="U86" s="10">
        <f t="shared" si="59"/>
        <v>21.318298461878825</v>
      </c>
      <c r="V86" s="10">
        <f t="shared" si="52"/>
        <v>118930.87362920823</v>
      </c>
      <c r="W86" s="9" t="str">
        <f t="shared" si="53"/>
        <v>Alias( AVG(VOUT) , VOUT3 )</v>
      </c>
      <c r="X86" s="9" t="str">
        <f t="shared" si="54"/>
        <v>Alias( AVG(VIN) , VIN3 )</v>
      </c>
    </row>
    <row r="87" spans="1:29" x14ac:dyDescent="0.25">
      <c r="A87" t="s">
        <v>37</v>
      </c>
      <c r="D87" s="1"/>
      <c r="E87" s="1"/>
      <c r="M87" s="1"/>
      <c r="N87" s="1"/>
      <c r="O87" s="1"/>
      <c r="P87" s="1"/>
      <c r="U87" s="1"/>
      <c r="V87" s="1"/>
      <c r="W87" t="str">
        <f>CONCATENATE( "In the cell below is a graphing statement which graphs the calculated gain curve with Q = ", Qa )</f>
        <v>In the cell below is a graphing statement which graphs the calculated gain curve with Q = 0.2</v>
      </c>
      <c r="Y87" s="9" t="str">
        <f>CONCATENATE( "In the cell below is a graphing statement which graphs the calculated gain curve with Q = ", Qb )</f>
        <v>In the cell below is a graphing statement which graphs the calculated gain curve with Q = 0.4</v>
      </c>
      <c r="AA87" s="9" t="str">
        <f>CONCATENATE( "In the cell below is a graphing statement which graphs the calculated gain curve with Q = ", Qc )</f>
        <v>In the cell below is a graphing statement which graphs the calculated gain curve with Q = 0.6</v>
      </c>
    </row>
    <row r="88" spans="1:29" x14ac:dyDescent="0.25">
      <c r="A88" t="s">
        <v>53</v>
      </c>
      <c r="B88" s="9">
        <f>VIN</f>
        <v>380</v>
      </c>
      <c r="C88" s="12">
        <f t="shared" ref="C88" si="61">$B$7</f>
        <v>2.34E-4</v>
      </c>
      <c r="D88" s="12">
        <f t="shared" ref="D88" si="62">$B$6</f>
        <v>9.9799999999999997E-4</v>
      </c>
      <c r="E88" s="12">
        <f t="shared" ref="E88" si="63">$B$8</f>
        <v>1.4999999999999999E-8</v>
      </c>
      <c r="F88" s="15">
        <v>1</v>
      </c>
      <c r="G88" t="s">
        <v>32</v>
      </c>
      <c r="H88" s="11">
        <f>Qc</f>
        <v>0.6</v>
      </c>
      <c r="I88" s="13">
        <f t="shared" ref="I88" si="64">$B$9</f>
        <v>7.5</v>
      </c>
      <c r="J88" s="9">
        <f t="shared" ref="J88" si="65">(SQRT(C88/E88))/H88</f>
        <v>208.1665999466133</v>
      </c>
      <c r="K88" s="9">
        <f t="shared" ref="K88" si="66">J88*PI()^2/(8*I88^2)</f>
        <v>4.5656044244286722</v>
      </c>
      <c r="N88" s="11">
        <f>(D88+C88)/C88</f>
        <v>5.2649572649572649</v>
      </c>
      <c r="O88" s="12">
        <f>1/(2*PI()*SQRT((D88+C88)*E88))</f>
        <v>37022.790388468951</v>
      </c>
      <c r="P88" s="10">
        <f>1/(2*PI()*SQRT(C88*E88))</f>
        <v>84950.624020863033</v>
      </c>
      <c r="Q88" s="7">
        <f>(V88/P88)^2*(N88-1)/SQRT((1-(V88^2/O88^2))^2 + ((V88/P88)*(1-V88^2/P88^2)* (N88-1)*H88)^2)</f>
        <v>0.99999999999999978</v>
      </c>
      <c r="U88" s="10">
        <f t="shared" ref="U88" si="67">Q88*VIN/15</f>
        <v>25.333333333333329</v>
      </c>
      <c r="V88" s="10">
        <f>F88*P88</f>
        <v>84950.624020863033</v>
      </c>
      <c r="W88" t="str">
        <f>CONCATENATE("CreateXYScalarPlot( Fnormalized * VIN1/VIN1 , M1 , VIN1 , DVM 1st Harmonic Approx(Q=", Qa, ") , DVM Gain , A1, vert, showpoints=true color=green)")</f>
        <v>CreateXYScalarPlot( Fnormalized * VIN1/VIN1 , M1 , VIN1 , DVM 1st Harmonic Approx(Q=0.2) , DVM Gain , A1, vert, showpoints=true color=green)</v>
      </c>
      <c r="X88" s="9" t="str">
        <f>CONCATENATE("CreateXYScalarPlot( Fnormalized , 2 * N * VOUT1 / VIN1 , VOUT1 VIN1 , DVM SIMPLIS(Q=", Qa,") , DVM Gain , A1, vert, showpoints=true color=red)")</f>
        <v>CreateXYScalarPlot( Fnormalized , 2 * N * VOUT1 / VIN1 , VOUT1 VIN1 , DVM SIMPLIS(Q=0.2) , DVM Gain , A1, vert, showpoints=true color=red)</v>
      </c>
      <c r="Y88" s="9" t="str">
        <f>CONCATENATE("CreateXYScalarPlot( Fnormalized * VIN2/VIN2 , M2 , VIN2 , DVM 1st Harmonic Approx(Q=", Qb, ") , DVM Gain , A1, vert, showpoints=true color=green)")</f>
        <v>CreateXYScalarPlot( Fnormalized * VIN2/VIN2 , M2 , VIN2 , DVM 1st Harmonic Approx(Q=0.4) , DVM Gain , A1, vert, showpoints=true color=green)</v>
      </c>
      <c r="Z88" s="9" t="str">
        <f>CONCATENATE("CreateXYScalarPlot( Fnormalized , 2 * N * VOUT2 / VIN2 , VOUT2 VIN2 , DVM SIMPLIS(Q=", Qb, ") , DVM Gain , A1, vert, showpoints=true color=red)")</f>
        <v>CreateXYScalarPlot( Fnormalized , 2 * N * VOUT2 / VIN2 , VOUT2 VIN2 , DVM SIMPLIS(Q=0.4) , DVM Gain , A1, vert, showpoints=true color=red)</v>
      </c>
      <c r="AA88" s="9" t="str">
        <f>CONCATENATE("CreateXYScalarPlot( Fnormalized * VIN3/VIN3 , M3 , VIN3 , DVM 1st Harmonic Approx(Q=", Qc,") , DVM Gain , A1, vert, showpoints=true color=green)")</f>
        <v>CreateXYScalarPlot( Fnormalized * VIN3/VIN3 , M3 , VIN3 , DVM 1st Harmonic Approx(Q=0.6) , DVM Gain , A1, vert, showpoints=true color=green)</v>
      </c>
      <c r="AB88" s="9" t="str">
        <f>CONCATENATE("CreateXYScalarPlot( Fnormalized , 2 * N * VOUT3 / VIN3 , VOUT3 VIN3 , DVM SIMPLIS(Q=", Qc, ") , DVM Gain , A1, vert, ylabel=Voltage Gain yunits=(V/V) xlabel=Normalized Switching Frequency xunits=(Hz/Hz) ygrid=0.4 xgrid=0.2 showpoints=true color=red)" )</f>
        <v>CreateXYScalarPlot( Fnormalized , 2 * N * VOUT3 / VIN3 , VOUT3 VIN3 , DVM SIMPLIS(Q=0.6) , DVM Gain , A1, vert, ylabel=Voltage Gain yunits=(V/V) xlabel=Normalized Switching Frequency xunits=(Hz/Hz) ygrid=0.4 xgrid=0.2 showpoints=true color=red)</v>
      </c>
      <c r="AC88" t="s">
        <v>39</v>
      </c>
    </row>
    <row r="89" spans="1:29" x14ac:dyDescent="0.25">
      <c r="J89" s="9"/>
    </row>
    <row r="90" spans="1:29" x14ac:dyDescent="0.25">
      <c r="J90" s="9"/>
    </row>
  </sheetData>
  <mergeCells count="3">
    <mergeCell ref="N14:Q14"/>
    <mergeCell ref="C14:E14"/>
    <mergeCell ref="R14:T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LLC_Open_Loop_Gain_Multi_Step</vt:lpstr>
      <vt:lpstr>LLC_Open_Loop_Gain_Single_Step</vt:lpstr>
      <vt:lpstr>LLC_Open_Loop_Gain_Multi_Step!Cr</vt:lpstr>
      <vt:lpstr>Cr</vt:lpstr>
      <vt:lpstr>LLC_Open_Loop_Gain_Multi_Step!Lp</vt:lpstr>
      <vt:lpstr>Lp</vt:lpstr>
      <vt:lpstr>LLC_Open_Loop_Gain_Multi_Step!Lr</vt:lpstr>
      <vt:lpstr>Lr</vt:lpstr>
      <vt:lpstr>LLC_Open_Loop_Gain_Multi_Step!NTurn</vt:lpstr>
      <vt:lpstr>NTurn</vt:lpstr>
      <vt:lpstr>Qa</vt:lpstr>
      <vt:lpstr>Qb</vt:lpstr>
      <vt:lpstr>Qc</vt:lpstr>
      <vt:lpstr>LLC_Open_Loop_Gain_Multi_Step!Qd</vt:lpstr>
      <vt:lpstr>Qd</vt:lpstr>
      <vt:lpstr>LLC_Open_Loop_Gain_Multi_Step!VIN</vt:lpstr>
      <vt:lpstr>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Bridge</cp:lastModifiedBy>
  <dcterms:created xsi:type="dcterms:W3CDTF">2012-02-06T14:28:25Z</dcterms:created>
  <dcterms:modified xsi:type="dcterms:W3CDTF">2018-04-13T01:51:19Z</dcterms:modified>
</cp:coreProperties>
</file>