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rchive" sheetId="1" r:id="rId4"/>
    <sheet state="visible" name="Assignment Instructions" sheetId="2" r:id="rId5"/>
    <sheet state="visible" name="Student Data" sheetId="3" r:id="rId6"/>
    <sheet state="visible" name="Learning Data" sheetId="4" r:id="rId7"/>
    <sheet state="visible" name="EMI Data" sheetId="5" r:id="rId8"/>
    <sheet state="visible" name="Pricing Table" sheetId="6" r:id="rId9"/>
    <sheet state="visible" name="Master data" sheetId="7" r:id="rId10"/>
  </sheets>
  <definedNames/>
  <calcPr/>
</workbook>
</file>

<file path=xl/sharedStrings.xml><?xml version="1.0" encoding="utf-8"?>
<sst xmlns="http://schemas.openxmlformats.org/spreadsheetml/2006/main" count="323" uniqueCount="173">
  <si>
    <r>
      <rPr>
        <rFont val="Arial"/>
        <b/>
        <i/>
        <color theme="1"/>
      </rPr>
      <t>Task-4: Mark the priority of users based on learning percentage &amp; EMI Amount</t>
    </r>
    <r>
      <rPr>
        <rFont val="Arial"/>
        <b/>
        <color theme="1"/>
      </rPr>
      <t xml:space="preserve">
Tips:</t>
    </r>
    <r>
      <rPr>
        <rFont val="Arial"/>
        <color theme="1"/>
      </rPr>
      <t xml:space="preserve">
- Can consider 95-100% learning as top priority, 90-95% as next &amp; so on
- The more the EMI amount, the higher the priority
- Combine both these factors &amp; mark the priority sensibly</t>
    </r>
  </si>
  <si>
    <r>
      <rPr>
        <rFont val="Arial"/>
        <b/>
        <i/>
        <color theme="1"/>
      </rPr>
      <t>Task-5: Get distribution of Programs selected, Tenures Selected, EMI Date, Learning Percentages. Also get combined distributions for these 4 factors. List down the patterns observed from these distributions</t>
    </r>
    <r>
      <rPr>
        <rFont val="Arial"/>
        <b/>
        <color theme="1"/>
      </rPr>
      <t xml:space="preserve">
Tips:</t>
    </r>
    <r>
      <rPr>
        <rFont val="Arial"/>
        <color theme="1"/>
      </rPr>
      <t xml:space="preserve">
- Clean the data &amp; use simple formule (or in worst case retort to Pivot Tables)
- Combination of 2 factors can be achieved in Pivot Tables. Try observing the patterns while deriving these</t>
    </r>
  </si>
  <si>
    <t>EXPECTED OUTCOMES</t>
  </si>
  <si>
    <r>
      <rPr>
        <rFont val="Arial"/>
        <b/>
        <i/>
        <color theme="1"/>
      </rPr>
      <t>Task-1: Extract only first name of Student in a cell &amp; first name of Applicant in another cell</t>
    </r>
    <r>
      <rPr>
        <rFont val="Arial"/>
        <color theme="1"/>
      </rPr>
      <t xml:space="preserve">
</t>
    </r>
    <r>
      <rPr>
        <rFont val="Arial"/>
        <b/>
        <color theme="1"/>
      </rPr>
      <t>Tips:</t>
    </r>
    <r>
      <rPr>
        <rFont val="Arial"/>
        <color theme="1"/>
      </rPr>
      <t xml:space="preserve">
- Student Name will be present in the subsheet - Student Data
- Applicant Name will be present in the subsheet - EMI Data
- Explore &amp; understand what formula works better to easily achieve this &amp; use that formula</t>
    </r>
  </si>
  <si>
    <r>
      <rPr>
        <rFont val="Arial"/>
        <b/>
        <i/>
        <color theme="1"/>
      </rPr>
      <t>Task-2: Validate the correctness of EMI amounts that are present in EMI Data subsheet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Tips:
</t>
    </r>
    <r>
      <rPr>
        <rFont val="Arial"/>
        <color theme="1"/>
      </rPr>
      <t>- Use the Pricing Table (subsheet) &amp; obtain the actual fee (to Student Data subsheet) based on the program selected
- Calculate the EMI to be paid based on Total Fee &amp; Tenure selected
- Map EMI Amount to entries present in Student Data from EMI Data sheet 
- Validate the existing EMIs with your calculation &amp; identify which are correct and which are not</t>
    </r>
  </si>
  <si>
    <r>
      <rPr>
        <rFont val="Arial"/>
        <b/>
        <i/>
        <color theme="1"/>
      </rPr>
      <t>Task-3: Create a Master Data</t>
    </r>
    <r>
      <rPr>
        <rFont val="Arial"/>
        <b/>
        <color theme="1"/>
      </rPr>
      <t xml:space="preserve">
Tips:</t>
    </r>
    <r>
      <rPr>
        <rFont val="Arial"/>
        <color theme="1"/>
      </rPr>
      <t xml:space="preserve">
- Combine all the unique columns present in 3 sheets (Student, Learning, EMI) using simple mapping formula
- Make sure that Master Data is properly formatted in every aspect</t>
    </r>
  </si>
  <si>
    <t>INSTRUCTIONS</t>
  </si>
  <si>
    <t>Timeline to complete the assignment is 3 hours</t>
  </si>
  <si>
    <t>You can start learning now &amp; try to achieve the outcomes in as optimised (lesser time &amp; lesser efforts) way as possible</t>
  </si>
  <si>
    <t>Once you are done completing all the 3 tasks, record a video explaining the process you follwed. You can use tools such as Loom or Vidyard (links are provided in the Guide)</t>
  </si>
  <si>
    <t>Submit the sheet you worked on (after giving open access) &amp; also the video you recorded in the Google Form sent to you</t>
  </si>
  <si>
    <t>USEFUL GUIDE</t>
  </si>
  <si>
    <t>20 Google Sheets Formulas You Must Know! - Automate.io Blog</t>
  </si>
  <si>
    <t>A list of 9 useful formulas for Google Sheets (yamm.com)</t>
  </si>
  <si>
    <t>https://www.loom.com/</t>
  </si>
  <si>
    <t>UID</t>
  </si>
  <si>
    <t>Student Name</t>
  </si>
  <si>
    <t>Program - Tenure</t>
  </si>
  <si>
    <t>Student First name</t>
  </si>
  <si>
    <t>Applicant first name</t>
  </si>
  <si>
    <t>program</t>
  </si>
  <si>
    <t>tenure</t>
  </si>
  <si>
    <t xml:space="preserve">Emi </t>
  </si>
  <si>
    <t>e6adb35f-360a-4844-a19a-dff001377b53</t>
  </si>
  <si>
    <t>Abhishek Erugadindla</t>
  </si>
  <si>
    <t>Genius - 36 EMI</t>
  </si>
  <si>
    <t>e6adb35f-360a-4844-a19a-dff001377b54</t>
  </si>
  <si>
    <t>Anbalagan Neelayathatchi</t>
  </si>
  <si>
    <t>Smart - 48 EMI</t>
  </si>
  <si>
    <t>e6adb35f-360a-4844-a19a-dff001377b55</t>
  </si>
  <si>
    <t>Naveen Reddy Kothakapu</t>
  </si>
  <si>
    <t>e6adb35f-360a-4844-a19a-dff001377b59</t>
  </si>
  <si>
    <t>Deepthi Priya Boini</t>
  </si>
  <si>
    <t>e6adb35f-360a-4844-a19a-dff001377b60</t>
  </si>
  <si>
    <t>Parthiban J</t>
  </si>
  <si>
    <t>e6adb35f-360a-4844-a19a-dff001377b61</t>
  </si>
  <si>
    <t>Lokesh Chethula</t>
  </si>
  <si>
    <t>e6adb35f-360a-4844-a19a-dff001377b62</t>
  </si>
  <si>
    <t>Chandu Thalluri</t>
  </si>
  <si>
    <t>Genius - 48 EMI</t>
  </si>
  <si>
    <t>e6adb35f-360a-4844-a19a-dff001377b56</t>
  </si>
  <si>
    <t>Nithya Ganesh M</t>
  </si>
  <si>
    <t>e6adb35f-360a-4844-a19a-dff001377b57</t>
  </si>
  <si>
    <t>Sudalai Muthu M</t>
  </si>
  <si>
    <t>e6adb35f-360a-4844-a19a-dff001377b58</t>
  </si>
  <si>
    <t>Kannadhasan S</t>
  </si>
  <si>
    <t>e6adb35f-360a-4844-a19a-dff001377b63</t>
  </si>
  <si>
    <t>Venkatesh Gyadanaveni Venkatesh</t>
  </si>
  <si>
    <t>e6adb35f-360a-4844-a19a-dff001377b64</t>
  </si>
  <si>
    <t>Sai Ram Naraboina</t>
  </si>
  <si>
    <t>e6adb35f-360a-4844-a19a-dff001377b65</t>
  </si>
  <si>
    <t>Prabhakaran S Prabhakaran S</t>
  </si>
  <si>
    <t>e6adb35f-360a-4844-a19a-dff001377b66</t>
  </si>
  <si>
    <t>Pavan Mutyala</t>
  </si>
  <si>
    <t>Smart - 36</t>
  </si>
  <si>
    <t>e6adb35f-360a-4844-a19a-dff001377b67</t>
  </si>
  <si>
    <t>Rakesh Thodeti</t>
  </si>
  <si>
    <t>36 - Smart</t>
  </si>
  <si>
    <t>e6adb35f-360a-4844-a19a-dff001377b68</t>
  </si>
  <si>
    <t>Ravindar Gangula</t>
  </si>
  <si>
    <t>e6adb35f-360a-4844-a19a-dff001377b69</t>
  </si>
  <si>
    <t>Mohith Nakka</t>
  </si>
  <si>
    <t>Ge - 48</t>
  </si>
  <si>
    <t>e6adb35f-360a-4844-a19a-dff001377b70</t>
  </si>
  <si>
    <t>K. Navya Laxmi</t>
  </si>
  <si>
    <t>Smart - 36 EMI</t>
  </si>
  <si>
    <t>e6adb35f-360a-4844-a19a-dff001377b71</t>
  </si>
  <si>
    <t>Karreti Hari Chandana Karreti</t>
  </si>
  <si>
    <t>e6adb35f-360a-4844-a19a-dff001377b72</t>
  </si>
  <si>
    <t>Vignesh Ramamoorthy</t>
  </si>
  <si>
    <t>e6adb35f-360a-4844-a19a-dff001377b73</t>
  </si>
  <si>
    <t>Rinki Chauhan</t>
  </si>
  <si>
    <t>e6adb35f-360a-4844-a19a-dff001377b74</t>
  </si>
  <si>
    <t>Tony S</t>
  </si>
  <si>
    <t>e6adb35f-360a-4844-a19a-dff001377b75</t>
  </si>
  <si>
    <t>Mahesh P</t>
  </si>
  <si>
    <t>e6adb35f-360a-4844-a19a-dff001377b76</t>
  </si>
  <si>
    <t>G Bala</t>
  </si>
  <si>
    <t>Ge - 36</t>
  </si>
  <si>
    <t>e6adb35f-360a-4844-a19a-dff001377b77</t>
  </si>
  <si>
    <t>S Suma</t>
  </si>
  <si>
    <t>Sm - 48</t>
  </si>
  <si>
    <t>e6adb35f-360a-4844-a19a-dff001377b78</t>
  </si>
  <si>
    <t>Bharathi Surapureddy</t>
  </si>
  <si>
    <t>e6adb35f-360a-4844-a19a-dff001377b79</t>
  </si>
  <si>
    <t>Suryakanth Shinde</t>
  </si>
  <si>
    <t>e6adb35f-360a-4844-a19a-dff001377b80</t>
  </si>
  <si>
    <t>Santhana Mahalingam Santa</t>
  </si>
  <si>
    <t>e6adb35f-360a-4844-a19a-dff001377b81</t>
  </si>
  <si>
    <t>Praveen .M Praveen</t>
  </si>
  <si>
    <t>e6adb35f-360a-4844-a19a-dff001377b82</t>
  </si>
  <si>
    <t>Pravallika Pacha Pacha</t>
  </si>
  <si>
    <t>UID (no hyphens)</t>
  </si>
  <si>
    <t>Learning % till Oct 10th</t>
  </si>
  <si>
    <t>e6adb35f360a4844a19adff001377b53</t>
  </si>
  <si>
    <t>100</t>
  </si>
  <si>
    <t>e6adb35f360a4844a19adff001377b54</t>
  </si>
  <si>
    <t>95</t>
  </si>
  <si>
    <t>e6adb35f360a4844a19adff001377b55</t>
  </si>
  <si>
    <t>85</t>
  </si>
  <si>
    <t>e6adb35f360a4844a19adff001377b56</t>
  </si>
  <si>
    <t>88</t>
  </si>
  <si>
    <t>e6adb35f360a4844a19adff001377b57</t>
  </si>
  <si>
    <t>e6adb35f360a4844a19adff001377b58</t>
  </si>
  <si>
    <t>e6adb35f360a4844a19adff001377b59</t>
  </si>
  <si>
    <t>e6adb35f360a4844a19adff001377b60</t>
  </si>
  <si>
    <t>98</t>
  </si>
  <si>
    <t>e6adb35f360a4844a19adff001377b61</t>
  </si>
  <si>
    <t>e6adb35f360a4844a19adff001377b62</t>
  </si>
  <si>
    <t>e6adb35f360a4844a19adff001377b63</t>
  </si>
  <si>
    <t>e6adb35f360a4844a19adff001377b64</t>
  </si>
  <si>
    <t>e6adb35f360a4844a19adff001377b65</t>
  </si>
  <si>
    <t>93</t>
  </si>
  <si>
    <t>e6adb35f360a4844a19adff001377b66</t>
  </si>
  <si>
    <t>e6adb35f360a4844a19adff001377b67</t>
  </si>
  <si>
    <t>e6adb35f360a4844a19adff001377b68</t>
  </si>
  <si>
    <t>99</t>
  </si>
  <si>
    <t>e6adb35f360a4844a19adff001377b69</t>
  </si>
  <si>
    <t>e6adb35f360a4844a19adff001377b70</t>
  </si>
  <si>
    <t>e6adb35f360a4844a19adff001377b71</t>
  </si>
  <si>
    <t>e6adb35f360a4844a19adff001377b72</t>
  </si>
  <si>
    <t>e6adb35f360a4844a19adff001377b73</t>
  </si>
  <si>
    <t>e6adb35f360a4844a19adff001377b74</t>
  </si>
  <si>
    <t>89</t>
  </si>
  <si>
    <t>e6adb35f360a4844a19adff001377b75</t>
  </si>
  <si>
    <t>97</t>
  </si>
  <si>
    <t>e6adb35f360a4844a19adff001377b76</t>
  </si>
  <si>
    <t>e6adb35f360a4844a19adff001377b77</t>
  </si>
  <si>
    <t>94</t>
  </si>
  <si>
    <t>e6adb35f360a4844a19adff001377b78</t>
  </si>
  <si>
    <t>e6adb35f360a4844a19adff001377b79</t>
  </si>
  <si>
    <t>e6adb35f360a4844a19adff001377b80</t>
  </si>
  <si>
    <t>e6adb35f360a4844a19adff001377b81</t>
  </si>
  <si>
    <t>e6adb35f360a4844a19adff001377b82</t>
  </si>
  <si>
    <t>Applicant Name</t>
  </si>
  <si>
    <t>EMI Due Date</t>
  </si>
  <si>
    <t>EMI Amount</t>
  </si>
  <si>
    <t>total fee</t>
  </si>
  <si>
    <t>my calculated emi amount</t>
  </si>
  <si>
    <t>Right or wrong</t>
  </si>
  <si>
    <t>5-Oct-2022</t>
  </si>
  <si>
    <t>3-Oct-2022</t>
  </si>
  <si>
    <t>5-Nov-2022</t>
  </si>
  <si>
    <t>Program</t>
  </si>
  <si>
    <t>Tenure</t>
  </si>
  <si>
    <t>concat</t>
  </si>
  <si>
    <t>Total Fee</t>
  </si>
  <si>
    <t>Reservation Amount</t>
  </si>
  <si>
    <t>Amount to be considered in EMI</t>
  </si>
  <si>
    <t>Genius</t>
  </si>
  <si>
    <t>12 Months</t>
  </si>
  <si>
    <t>Genius 12 Months</t>
  </si>
  <si>
    <t>18 Months</t>
  </si>
  <si>
    <t>Genius 18 Months</t>
  </si>
  <si>
    <t>24 Months</t>
  </si>
  <si>
    <t>Genius 24 Months</t>
  </si>
  <si>
    <t>36 Months</t>
  </si>
  <si>
    <t>Genius 36 Months</t>
  </si>
  <si>
    <t>45 Months</t>
  </si>
  <si>
    <t>Genius 45 Months</t>
  </si>
  <si>
    <t>48 Months</t>
  </si>
  <si>
    <t>Genius 48 Months</t>
  </si>
  <si>
    <t xml:space="preserve"> </t>
  </si>
  <si>
    <t>Smart</t>
  </si>
  <si>
    <t>Smart 12 Months</t>
  </si>
  <si>
    <t>Smart 18 Months</t>
  </si>
  <si>
    <t>Smart 24 Months</t>
  </si>
  <si>
    <t>Smart 36 Months</t>
  </si>
  <si>
    <t>Smart 45 Months</t>
  </si>
  <si>
    <t>Smart 48 Months</t>
  </si>
  <si>
    <t>Applicant name</t>
  </si>
  <si>
    <t>first name of student</t>
  </si>
  <si>
    <t>first name of applicant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</si>
</sst>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0"/>
      <name val="Arial"/>
      <scheme val="minor"/>
    </font>
    <font>
      <u/>
      <color rgb="FF0000FF"/>
    </font>
    <font>
      <u/>
      <color rgb="FF0000FF"/>
    </font>
    <font>
      <b/>
      <sz val="11.0"/>
      <color theme="1"/>
      <name val="Arial"/>
    </font>
    <font>
      <color theme="1"/>
      <name val="Arial"/>
    </font>
    <font>
      <sz val="9.0"/>
      <color rgb="FF000000"/>
      <name val="&quot;Google Sans Mono&quot;"/>
    </font>
    <font>
      <b/>
      <color theme="1"/>
      <name val="Arial"/>
      <scheme val="minor"/>
    </font>
    <font>
      <b/>
      <i/>
      <color theme="1"/>
      <name val="Calibri"/>
    </font>
    <font>
      <color theme="1"/>
      <name val="Calibri"/>
    </font>
    <font>
      <b/>
      <i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49" xfId="0" applyAlignment="1" applyFont="1" applyNumberFormat="1">
      <alignment horizontal="center" shrinkToFit="0" wrapText="1"/>
    </xf>
    <xf borderId="0" fillId="0" fontId="6" numFmtId="49" xfId="0" applyFont="1" applyNumberFormat="1"/>
    <xf borderId="0" fillId="0" fontId="6" numFmtId="49" xfId="0" applyAlignment="1" applyFont="1" applyNumberFormat="1">
      <alignment horizontal="center"/>
    </xf>
    <xf borderId="0" fillId="0" fontId="1" numFmtId="0" xfId="0" applyFont="1"/>
    <xf borderId="0" fillId="0" fontId="1" numFmtId="49" xfId="0" applyFont="1" applyNumberFormat="1"/>
    <xf borderId="0" fillId="0" fontId="6" numFmtId="49" xfId="0" applyAlignment="1" applyFont="1" applyNumberFormat="1">
      <alignment readingOrder="0"/>
    </xf>
    <xf borderId="0" fillId="0" fontId="1" numFmtId="3" xfId="0" applyFont="1" applyNumberFormat="1"/>
    <xf borderId="0" fillId="0" fontId="6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 shrinkToFit="0" wrapText="1"/>
    </xf>
    <xf borderId="0" fillId="0" fontId="5" numFmtId="49" xfId="0" applyAlignment="1" applyFont="1" applyNumberFormat="1">
      <alignment horizontal="left" readingOrder="0" shrinkToFit="0" wrapText="1"/>
    </xf>
    <xf borderId="0" fillId="0" fontId="5" numFmtId="3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horizontal="left"/>
    </xf>
    <xf borderId="0" fillId="0" fontId="6" numFmtId="3" xfId="0" applyAlignment="1" applyFont="1" applyNumberFormat="1">
      <alignment horizontal="left"/>
    </xf>
    <xf borderId="0" fillId="3" fontId="7" numFmtId="0" xfId="0" applyAlignment="1" applyFill="1" applyFont="1">
      <alignment readingOrder="0"/>
    </xf>
    <xf borderId="0" fillId="3" fontId="7" numFmtId="0" xfId="0" applyFont="1"/>
    <xf borderId="0" fillId="3" fontId="7" numFmtId="3" xfId="0" applyAlignment="1" applyFont="1" applyNumberFormat="1">
      <alignment readingOrder="0"/>
    </xf>
    <xf borderId="0" fillId="0" fontId="6" numFmtId="49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left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Font="1"/>
    <xf borderId="0" fillId="0" fontId="9" numFmtId="0" xfId="0" applyAlignment="1" applyFont="1">
      <alignment vertical="top"/>
    </xf>
    <xf borderId="0" fillId="0" fontId="10" numFmtId="0" xfId="0" applyAlignment="1" applyFont="1">
      <alignment vertical="top"/>
    </xf>
    <xf borderId="0" fillId="0" fontId="10" numFmtId="0" xfId="0" applyAlignment="1" applyFont="1">
      <alignment horizontal="right" vertical="top"/>
    </xf>
    <xf borderId="0" fillId="0" fontId="11" numFmtId="0" xfId="0" applyAlignment="1" applyFont="1">
      <alignment vertical="top"/>
    </xf>
    <xf borderId="0" fillId="0" fontId="12" numFmtId="0" xfId="0" applyAlignment="1" applyFont="1">
      <alignment vertical="top"/>
    </xf>
    <xf borderId="0" fillId="0" fontId="10" numFmtId="3" xfId="0" applyAlignment="1" applyFont="1" applyNumberFormat="1">
      <alignment horizontal="right" vertical="top"/>
    </xf>
    <xf borderId="0" fillId="0" fontId="5" numFmtId="1" xfId="0" applyAlignment="1" applyFont="1" applyNumberFormat="1">
      <alignment horizontal="left" shrinkToFit="0" wrapText="1"/>
    </xf>
    <xf borderId="0" fillId="3" fontId="7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e.io/blog/google-spreadsheet-formulas/" TargetMode="External"/><Relationship Id="rId2" Type="http://schemas.openxmlformats.org/officeDocument/2006/relationships/hyperlink" Target="https://yamm.com/blog/9-useful-formulas-for-google-sheets/" TargetMode="External"/><Relationship Id="rId3" Type="http://schemas.openxmlformats.org/officeDocument/2006/relationships/hyperlink" Target="https://www.loom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75"/>
  </cols>
  <sheetData>
    <row r="1">
      <c r="A1" s="1" t="s">
        <v>0</v>
      </c>
    </row>
    <row r="2">
      <c r="A2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0.38"/>
  </cols>
  <sheetData>
    <row r="1">
      <c r="A1" s="3" t="s">
        <v>2</v>
      </c>
    </row>
    <row r="2">
      <c r="A2" s="1" t="s">
        <v>3</v>
      </c>
    </row>
    <row r="3">
      <c r="A3" s="1" t="s">
        <v>4</v>
      </c>
    </row>
    <row r="4">
      <c r="A4" s="2" t="s">
        <v>5</v>
      </c>
    </row>
    <row r="6">
      <c r="A6" s="3" t="s">
        <v>6</v>
      </c>
    </row>
    <row r="7">
      <c r="A7" s="1" t="s">
        <v>7</v>
      </c>
    </row>
    <row r="8">
      <c r="A8" s="1" t="s">
        <v>8</v>
      </c>
    </row>
    <row r="9">
      <c r="A9" s="2" t="s">
        <v>9</v>
      </c>
    </row>
    <row r="10">
      <c r="A10" s="2" t="s">
        <v>10</v>
      </c>
    </row>
    <row r="12">
      <c r="A12" s="3" t="s">
        <v>11</v>
      </c>
    </row>
    <row r="13">
      <c r="A13" s="4" t="s">
        <v>12</v>
      </c>
    </row>
    <row r="14">
      <c r="A14" s="4" t="s">
        <v>13</v>
      </c>
    </row>
    <row r="15">
      <c r="A15" s="5" t="s">
        <v>14</v>
      </c>
    </row>
  </sheetData>
  <hyperlinks>
    <hyperlink r:id="rId1" ref="A13"/>
    <hyperlink r:id="rId2" ref="A14"/>
    <hyperlink r:id="rId3" ref="A15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  <col customWidth="1" min="2" max="2" width="24.5"/>
    <col customWidth="1" min="4" max="4" width="15.13"/>
  </cols>
  <sheetData>
    <row r="1">
      <c r="A1" s="6" t="s">
        <v>15</v>
      </c>
      <c r="B1" s="6" t="s">
        <v>16</v>
      </c>
      <c r="C1" s="6" t="s">
        <v>17</v>
      </c>
      <c r="D1" s="1" t="s">
        <v>18</v>
      </c>
      <c r="E1" s="1" t="s">
        <v>19</v>
      </c>
      <c r="G1" s="1" t="s">
        <v>20</v>
      </c>
      <c r="H1" s="1" t="s">
        <v>21</v>
      </c>
      <c r="I1" s="1" t="s">
        <v>22</v>
      </c>
    </row>
    <row r="2">
      <c r="A2" s="7" t="s">
        <v>23</v>
      </c>
      <c r="B2" s="7" t="s">
        <v>24</v>
      </c>
      <c r="C2" s="8" t="s">
        <v>25</v>
      </c>
      <c r="D2" s="9" t="str">
        <f>IFERROR(__xludf.DUMMYFUNCTION("INDEX(SPLIT(B2,"" ""),1)"),"Abhishek")</f>
        <v>Abhishek</v>
      </c>
      <c r="E2" s="9" t="str">
        <f>IFERROR(__xludf.DUMMYFUNCTION("Index(split('EMI Data'!B2,"" ""),1)"),"Abhishek")</f>
        <v>Abhishek</v>
      </c>
      <c r="F2" s="10" t="str">
        <f t="shared" ref="F2:F31" si="1">IF(ISNUMBER(SEARCH("Smart", C2)), C2, IF(ISNUMBER(SEARCH("Genius", C2)), C2, SUBSTITUTE(SUBSTITUTE(C2, "Ge", "Genius"), "Sm", "Smart")))
</f>
        <v>Genius - 36 EMI</v>
      </c>
      <c r="G2" s="9" t="str">
        <f t="shared" ref="G2:G31" si="2">IFERROR(IF(ISNUMBER(SEARCH("Smart", F2)), "Smart", IF(ISNUMBER(SEARCH("Genius", F2)), "Genius", "")), "")
</f>
        <v>Genius</v>
      </c>
      <c r="H2" s="1" t="str">
        <f>IFERROR(__xludf.DUMMYFUNCTION("concatenate(REGEXEXTRACT(F2, ""\d+""),"" Months"")"),"36 Months")</f>
        <v>36 Months</v>
      </c>
      <c r="I2" s="9">
        <f>VLOOKUP(G2&amp;" "&amp;H2,'Pricing Table'!$G$2:$H$14, 2, FALSE)</f>
        <v>245000</v>
      </c>
    </row>
    <row r="3">
      <c r="A3" s="7" t="s">
        <v>26</v>
      </c>
      <c r="B3" s="11" t="s">
        <v>27</v>
      </c>
      <c r="C3" s="8" t="s">
        <v>28</v>
      </c>
      <c r="D3" s="9" t="str">
        <f>IFERROR(__xludf.DUMMYFUNCTION("INDEX(SPLIT(B3,"" ""),1)"),"Anbalagan")</f>
        <v>Anbalagan</v>
      </c>
      <c r="E3" s="9" t="str">
        <f>IFERROR(__xludf.DUMMYFUNCTION("Index(split('EMI Data'!B3,"" ""),1)"),"Anbalagan")</f>
        <v>Anbalagan</v>
      </c>
      <c r="F3" s="10" t="str">
        <f t="shared" si="1"/>
        <v>Smart - 48 EMI</v>
      </c>
      <c r="G3" s="9" t="str">
        <f t="shared" si="2"/>
        <v>Smart</v>
      </c>
      <c r="H3" s="1" t="str">
        <f>IFERROR(__xludf.DUMMYFUNCTION("concatenate(REGEXEXTRACT(F3, ""\d+""),"" Months"")"),"48 Months")</f>
        <v>48 Months</v>
      </c>
      <c r="I3" s="12">
        <f>VLOOKUP(G3&amp;" "&amp;H3,'Pricing Table'!$G$2:$H$14, 2, FALSE)</f>
        <v>145000</v>
      </c>
    </row>
    <row r="4">
      <c r="A4" s="7" t="s">
        <v>29</v>
      </c>
      <c r="B4" s="7" t="s">
        <v>30</v>
      </c>
      <c r="C4" s="8" t="s">
        <v>28</v>
      </c>
      <c r="D4" s="9" t="str">
        <f>IFERROR(__xludf.DUMMYFUNCTION("INDEX(SPLIT(B4,"" ""),1)"),"Naveen")</f>
        <v>Naveen</v>
      </c>
      <c r="E4" s="9" t="str">
        <f>IFERROR(__xludf.DUMMYFUNCTION("Index(split('EMI Data'!B4,"" ""),1)"),"Naveen")</f>
        <v>Naveen</v>
      </c>
      <c r="F4" s="10" t="str">
        <f t="shared" si="1"/>
        <v>Smart - 48 EMI</v>
      </c>
      <c r="G4" s="9" t="str">
        <f t="shared" si="2"/>
        <v>Smart</v>
      </c>
      <c r="H4" s="1" t="str">
        <f>IFERROR(__xludf.DUMMYFUNCTION("concatenate(REGEXEXTRACT(F4, ""\d+""),"" Months"")"),"48 Months")</f>
        <v>48 Months</v>
      </c>
      <c r="I4" s="12">
        <f>VLOOKUP(G4&amp;" "&amp;H4,'Pricing Table'!$G$2:$H$14, 2, FALSE)</f>
        <v>145000</v>
      </c>
    </row>
    <row r="5">
      <c r="A5" s="7" t="s">
        <v>31</v>
      </c>
      <c r="B5" s="7" t="s">
        <v>32</v>
      </c>
      <c r="C5" s="8" t="s">
        <v>28</v>
      </c>
      <c r="D5" s="9" t="str">
        <f>IFERROR(__xludf.DUMMYFUNCTION("INDEX(SPLIT(B5,"" ""),1)"),"Deepthi")</f>
        <v>Deepthi</v>
      </c>
      <c r="E5" s="9" t="str">
        <f>IFERROR(__xludf.DUMMYFUNCTION("Index(split('EMI Data'!B5,"" ""),1)"),"Deepthi")</f>
        <v>Deepthi</v>
      </c>
      <c r="F5" s="10" t="str">
        <f t="shared" si="1"/>
        <v>Smart - 48 EMI</v>
      </c>
      <c r="G5" s="9" t="str">
        <f t="shared" si="2"/>
        <v>Smart</v>
      </c>
      <c r="H5" s="1" t="str">
        <f>IFERROR(__xludf.DUMMYFUNCTION("concatenate(REGEXEXTRACT(F5, ""\d+""),"" Months"")"),"48 Months")</f>
        <v>48 Months</v>
      </c>
      <c r="I5" s="12">
        <f>VLOOKUP(G5&amp;" "&amp;H5,'Pricing Table'!$G$2:$H$14, 2, FALSE)</f>
        <v>145000</v>
      </c>
    </row>
    <row r="6">
      <c r="A6" s="7" t="s">
        <v>33</v>
      </c>
      <c r="B6" s="7" t="s">
        <v>34</v>
      </c>
      <c r="C6" s="8" t="s">
        <v>28</v>
      </c>
      <c r="D6" s="9" t="str">
        <f>IFERROR(__xludf.DUMMYFUNCTION("INDEX(SPLIT(B6,"" ""),1)"),"Parthiban")</f>
        <v>Parthiban</v>
      </c>
      <c r="E6" s="9" t="str">
        <f>IFERROR(__xludf.DUMMYFUNCTION("Index(split('EMI Data'!B6,"" ""),1)"),"Parthiban")</f>
        <v>Parthiban</v>
      </c>
      <c r="F6" s="10" t="str">
        <f t="shared" si="1"/>
        <v>Smart - 48 EMI</v>
      </c>
      <c r="G6" s="9" t="str">
        <f t="shared" si="2"/>
        <v>Smart</v>
      </c>
      <c r="H6" s="1" t="str">
        <f>IFERROR(__xludf.DUMMYFUNCTION("concatenate(REGEXEXTRACT(F6, ""\d+""),"" Months"")"),"48 Months")</f>
        <v>48 Months</v>
      </c>
      <c r="I6" s="12">
        <f>VLOOKUP(G6&amp;" "&amp;H6,'Pricing Table'!$G$2:$H$14, 2, FALSE)</f>
        <v>145000</v>
      </c>
    </row>
    <row r="7">
      <c r="A7" s="7" t="s">
        <v>35</v>
      </c>
      <c r="B7" s="7" t="s">
        <v>36</v>
      </c>
      <c r="C7" s="8" t="s">
        <v>25</v>
      </c>
      <c r="D7" s="9" t="str">
        <f>IFERROR(__xludf.DUMMYFUNCTION("INDEX(SPLIT(B7,"" ""),1)"),"Lokesh")</f>
        <v>Lokesh</v>
      </c>
      <c r="E7" s="9" t="str">
        <f>IFERROR(__xludf.DUMMYFUNCTION("Index(split('EMI Data'!B7,"" ""),1)"),"Lokesh")</f>
        <v>Lokesh</v>
      </c>
      <c r="F7" s="10" t="str">
        <f t="shared" si="1"/>
        <v>Genius - 36 EMI</v>
      </c>
      <c r="G7" s="9" t="str">
        <f t="shared" si="2"/>
        <v>Genius</v>
      </c>
      <c r="H7" s="1" t="str">
        <f>IFERROR(__xludf.DUMMYFUNCTION("concatenate(REGEXEXTRACT(F7, ""\d+""),"" Months"")"),"36 Months")</f>
        <v>36 Months</v>
      </c>
      <c r="I7" s="9">
        <f>VLOOKUP(G7&amp;" "&amp;H7,'Pricing Table'!$G$2:$H$14, 2, FALSE)</f>
        <v>245000</v>
      </c>
    </row>
    <row r="8">
      <c r="A8" s="7" t="s">
        <v>37</v>
      </c>
      <c r="B8" s="7" t="s">
        <v>38</v>
      </c>
      <c r="C8" s="8" t="s">
        <v>39</v>
      </c>
      <c r="D8" s="9" t="str">
        <f>IFERROR(__xludf.DUMMYFUNCTION("INDEX(SPLIT(B8,"" ""),1)"),"Chandu")</f>
        <v>Chandu</v>
      </c>
      <c r="E8" s="9" t="str">
        <f>IFERROR(__xludf.DUMMYFUNCTION("Index(split('EMI Data'!B8,"" ""),1)"),"Chandu")</f>
        <v>Chandu</v>
      </c>
      <c r="F8" s="10" t="str">
        <f t="shared" si="1"/>
        <v>Genius - 48 EMI</v>
      </c>
      <c r="G8" s="9" t="str">
        <f t="shared" si="2"/>
        <v>Genius</v>
      </c>
      <c r="H8" s="1" t="str">
        <f>IFERROR(__xludf.DUMMYFUNCTION("concatenate(REGEXEXTRACT(F8, ""\d+""),"" Months"")"),"48 Months")</f>
        <v>48 Months</v>
      </c>
      <c r="I8" s="9">
        <f>VLOOKUP(G8&amp;" "&amp;H8,'Pricing Table'!$G$2:$H$14, 2, FALSE)</f>
        <v>270000</v>
      </c>
    </row>
    <row r="9">
      <c r="A9" s="7" t="s">
        <v>40</v>
      </c>
      <c r="B9" s="7" t="s">
        <v>41</v>
      </c>
      <c r="C9" s="8" t="s">
        <v>28</v>
      </c>
      <c r="D9" s="9" t="str">
        <f>IFERROR(__xludf.DUMMYFUNCTION("INDEX(SPLIT(B9,"" ""),1)"),"Nithya")</f>
        <v>Nithya</v>
      </c>
      <c r="E9" s="9" t="str">
        <f>IFERROR(__xludf.DUMMYFUNCTION("Index(split('EMI Data'!B9,"" ""),1)"),"Nithya")</f>
        <v>Nithya</v>
      </c>
      <c r="F9" s="10" t="str">
        <f t="shared" si="1"/>
        <v>Smart - 48 EMI</v>
      </c>
      <c r="G9" s="9" t="str">
        <f t="shared" si="2"/>
        <v>Smart</v>
      </c>
      <c r="H9" s="1" t="str">
        <f>IFERROR(__xludf.DUMMYFUNCTION("concatenate(REGEXEXTRACT(F9, ""\d+""),"" Months"")"),"48 Months")</f>
        <v>48 Months</v>
      </c>
      <c r="I9" s="12">
        <f>VLOOKUP(G9&amp;" "&amp;H9,'Pricing Table'!$G$2:$H$14, 2, FALSE)</f>
        <v>145000</v>
      </c>
    </row>
    <row r="10">
      <c r="A10" s="7" t="s">
        <v>42</v>
      </c>
      <c r="B10" s="11" t="s">
        <v>43</v>
      </c>
      <c r="C10" s="8" t="s">
        <v>28</v>
      </c>
      <c r="D10" s="9" t="str">
        <f>IFERROR(__xludf.DUMMYFUNCTION("INDEX(SPLIT(B10,"" ""),1)"),"Sudalai")</f>
        <v>Sudalai</v>
      </c>
      <c r="E10" s="9" t="str">
        <f>IFERROR(__xludf.DUMMYFUNCTION("Index(split('EMI Data'!B10,"" ""),1)"),"Sudalai")</f>
        <v>Sudalai</v>
      </c>
      <c r="F10" s="10" t="str">
        <f t="shared" si="1"/>
        <v>Smart - 48 EMI</v>
      </c>
      <c r="G10" s="9" t="str">
        <f t="shared" si="2"/>
        <v>Smart</v>
      </c>
      <c r="H10" s="1" t="str">
        <f>IFERROR(__xludf.DUMMYFUNCTION("concatenate(REGEXEXTRACT(F10, ""\d+""),"" Months"")"),"48 Months")</f>
        <v>48 Months</v>
      </c>
      <c r="I10" s="12">
        <f>VLOOKUP(G10&amp;" "&amp;H10,'Pricing Table'!$G$2:$H$14, 2, FALSE)</f>
        <v>145000</v>
      </c>
    </row>
    <row r="11">
      <c r="A11" s="7" t="s">
        <v>44</v>
      </c>
      <c r="B11" s="7" t="s">
        <v>45</v>
      </c>
      <c r="C11" s="8" t="s">
        <v>28</v>
      </c>
      <c r="D11" s="9" t="str">
        <f>IFERROR(__xludf.DUMMYFUNCTION("INDEX(SPLIT(B11,"" ""),1)"),"Kannadhasan")</f>
        <v>Kannadhasan</v>
      </c>
      <c r="E11" s="9" t="str">
        <f>IFERROR(__xludf.DUMMYFUNCTION("Index(split('EMI Data'!B11,"" ""),1)"),"Kannadhasan")</f>
        <v>Kannadhasan</v>
      </c>
      <c r="F11" s="10" t="str">
        <f t="shared" si="1"/>
        <v>Smart - 48 EMI</v>
      </c>
      <c r="G11" s="9" t="str">
        <f t="shared" si="2"/>
        <v>Smart</v>
      </c>
      <c r="H11" s="1" t="str">
        <f>IFERROR(__xludf.DUMMYFUNCTION("concatenate(REGEXEXTRACT(F11, ""\d+""),"" Months"")"),"48 Months")</f>
        <v>48 Months</v>
      </c>
      <c r="I11" s="12">
        <f>VLOOKUP(G11&amp;" "&amp;H11,'Pricing Table'!$G$2:$H$14, 2, FALSE)</f>
        <v>145000</v>
      </c>
    </row>
    <row r="12">
      <c r="A12" s="7" t="s">
        <v>46</v>
      </c>
      <c r="B12" s="7" t="s">
        <v>47</v>
      </c>
      <c r="C12" s="8" t="s">
        <v>39</v>
      </c>
      <c r="D12" s="9" t="str">
        <f>IFERROR(__xludf.DUMMYFUNCTION("INDEX(SPLIT(B12,"" ""),1)"),"Venkatesh")</f>
        <v>Venkatesh</v>
      </c>
      <c r="E12" s="9" t="str">
        <f>IFERROR(__xludf.DUMMYFUNCTION("Index(split('EMI Data'!B12,"" ""),1)"),"Venkatesh")</f>
        <v>Venkatesh</v>
      </c>
      <c r="F12" s="10" t="str">
        <f t="shared" si="1"/>
        <v>Genius - 48 EMI</v>
      </c>
      <c r="G12" s="9" t="str">
        <f t="shared" si="2"/>
        <v>Genius</v>
      </c>
      <c r="H12" s="1" t="str">
        <f>IFERROR(__xludf.DUMMYFUNCTION("concatenate(REGEXEXTRACT(F12, ""\d+""),"" Months"")"),"48 Months")</f>
        <v>48 Months</v>
      </c>
      <c r="I12" s="9">
        <f>VLOOKUP(G12&amp;" "&amp;H12,'Pricing Table'!$G$2:$H$14, 2, FALSE)</f>
        <v>270000</v>
      </c>
    </row>
    <row r="13">
      <c r="A13" s="7" t="s">
        <v>48</v>
      </c>
      <c r="B13" s="7" t="s">
        <v>49</v>
      </c>
      <c r="C13" s="8" t="s">
        <v>28</v>
      </c>
      <c r="D13" s="9" t="str">
        <f>IFERROR(__xludf.DUMMYFUNCTION("INDEX(SPLIT(B13,"" ""),1)"),"Sai")</f>
        <v>Sai</v>
      </c>
      <c r="E13" s="9" t="str">
        <f>IFERROR(__xludf.DUMMYFUNCTION("Index(split('EMI Data'!B13,"" ""),1)"),"Sai")</f>
        <v>Sai</v>
      </c>
      <c r="F13" s="10" t="str">
        <f t="shared" si="1"/>
        <v>Smart - 48 EMI</v>
      </c>
      <c r="G13" s="9" t="str">
        <f t="shared" si="2"/>
        <v>Smart</v>
      </c>
      <c r="H13" s="1" t="str">
        <f>IFERROR(__xludf.DUMMYFUNCTION("concatenate(REGEXEXTRACT(F13, ""\d+""),"" Months"")"),"48 Months")</f>
        <v>48 Months</v>
      </c>
      <c r="I13" s="12">
        <f>VLOOKUP(G13&amp;" "&amp;H13,'Pricing Table'!$G$2:$H$14, 2, FALSE)</f>
        <v>145000</v>
      </c>
    </row>
    <row r="14">
      <c r="A14" s="7" t="s">
        <v>50</v>
      </c>
      <c r="B14" s="7" t="s">
        <v>51</v>
      </c>
      <c r="C14" s="8" t="s">
        <v>28</v>
      </c>
      <c r="D14" s="9" t="str">
        <f>IFERROR(__xludf.DUMMYFUNCTION("INDEX(SPLIT(B14,"" ""),1)"),"Prabhakaran")</f>
        <v>Prabhakaran</v>
      </c>
      <c r="E14" s="9" t="str">
        <f>IFERROR(__xludf.DUMMYFUNCTION("Index(split('EMI Data'!B14,"" ""),1)"),"Prabhakaran")</f>
        <v>Prabhakaran</v>
      </c>
      <c r="F14" s="10" t="str">
        <f t="shared" si="1"/>
        <v>Smart - 48 EMI</v>
      </c>
      <c r="G14" s="9" t="str">
        <f t="shared" si="2"/>
        <v>Smart</v>
      </c>
      <c r="H14" s="1" t="str">
        <f>IFERROR(__xludf.DUMMYFUNCTION("concatenate(REGEXEXTRACT(F14, ""\d+""),"" Months"")"),"48 Months")</f>
        <v>48 Months</v>
      </c>
      <c r="I14" s="12">
        <f>VLOOKUP(G14&amp;" "&amp;H14,'Pricing Table'!$G$2:$H$14, 2, FALSE)</f>
        <v>145000</v>
      </c>
    </row>
    <row r="15">
      <c r="A15" s="7" t="s">
        <v>52</v>
      </c>
      <c r="B15" s="7" t="s">
        <v>53</v>
      </c>
      <c r="C15" s="13" t="s">
        <v>54</v>
      </c>
      <c r="D15" s="9" t="str">
        <f>IFERROR(__xludf.DUMMYFUNCTION("INDEX(SPLIT(B15,"" ""),1)"),"Pavan")</f>
        <v>Pavan</v>
      </c>
      <c r="E15" s="9" t="str">
        <f>IFERROR(__xludf.DUMMYFUNCTION("Index(split('EMI Data'!B15,"" ""),1)"),"Pavan")</f>
        <v>Pavan</v>
      </c>
      <c r="F15" s="10" t="str">
        <f t="shared" si="1"/>
        <v>Smart - 36</v>
      </c>
      <c r="G15" s="9" t="str">
        <f t="shared" si="2"/>
        <v>Smart</v>
      </c>
      <c r="H15" s="1" t="str">
        <f>IFERROR(__xludf.DUMMYFUNCTION("concatenate(REGEXEXTRACT(F15, ""\d+""),"" Months"")"),"36 Months")</f>
        <v>36 Months</v>
      </c>
      <c r="I15" s="12">
        <f>VLOOKUP(G15&amp;" "&amp;H15,'Pricing Table'!$G$2:$H$14, 2, FALSE)</f>
        <v>135000</v>
      </c>
    </row>
    <row r="16">
      <c r="A16" s="7" t="s">
        <v>55</v>
      </c>
      <c r="B16" s="7" t="s">
        <v>56</v>
      </c>
      <c r="C16" s="13" t="s">
        <v>57</v>
      </c>
      <c r="D16" s="9" t="str">
        <f>IFERROR(__xludf.DUMMYFUNCTION("INDEX(SPLIT(B16,"" ""),1)"),"Rakesh")</f>
        <v>Rakesh</v>
      </c>
      <c r="E16" s="9" t="str">
        <f>IFERROR(__xludf.DUMMYFUNCTION("Index(split('EMI Data'!B16,"" ""),1)"),"Rakesh")</f>
        <v>Rakesh</v>
      </c>
      <c r="F16" s="10" t="str">
        <f t="shared" si="1"/>
        <v>36 - Smart</v>
      </c>
      <c r="G16" s="9" t="str">
        <f t="shared" si="2"/>
        <v>Smart</v>
      </c>
      <c r="H16" s="1" t="str">
        <f>IFERROR(__xludf.DUMMYFUNCTION("concatenate(REGEXEXTRACT(F16, ""\d+""),"" Months"")"),"36 Months")</f>
        <v>36 Months</v>
      </c>
      <c r="I16" s="12">
        <f>VLOOKUP(G16&amp;" "&amp;H16,'Pricing Table'!$G$2:$H$14, 2, FALSE)</f>
        <v>135000</v>
      </c>
    </row>
    <row r="17">
      <c r="A17" s="7" t="s">
        <v>58</v>
      </c>
      <c r="B17" s="7" t="s">
        <v>59</v>
      </c>
      <c r="C17" s="8" t="s">
        <v>25</v>
      </c>
      <c r="D17" s="9" t="str">
        <f>IFERROR(__xludf.DUMMYFUNCTION("INDEX(SPLIT(B17,"" ""),1)"),"Ravindar")</f>
        <v>Ravindar</v>
      </c>
      <c r="E17" s="9" t="str">
        <f>IFERROR(__xludf.DUMMYFUNCTION("Index(split('EMI Data'!B17,"" ""),1)"),"Ravindar")</f>
        <v>Ravindar</v>
      </c>
      <c r="F17" s="10" t="str">
        <f t="shared" si="1"/>
        <v>Genius - 36 EMI</v>
      </c>
      <c r="G17" s="9" t="str">
        <f t="shared" si="2"/>
        <v>Genius</v>
      </c>
      <c r="H17" s="1" t="str">
        <f>IFERROR(__xludf.DUMMYFUNCTION("concatenate(REGEXEXTRACT(F17, ""\d+""),"" Months"")"),"36 Months")</f>
        <v>36 Months</v>
      </c>
      <c r="I17" s="9">
        <f>VLOOKUP(G17&amp;" "&amp;H17,'Pricing Table'!$G$2:$H$14, 2, FALSE)</f>
        <v>245000</v>
      </c>
    </row>
    <row r="18">
      <c r="A18" s="7" t="s">
        <v>60</v>
      </c>
      <c r="B18" s="7" t="s">
        <v>61</v>
      </c>
      <c r="C18" s="13" t="s">
        <v>62</v>
      </c>
      <c r="D18" s="9" t="str">
        <f>IFERROR(__xludf.DUMMYFUNCTION("INDEX(SPLIT(B18,"" ""),1)"),"Mohith")</f>
        <v>Mohith</v>
      </c>
      <c r="E18" s="9" t="str">
        <f>IFERROR(__xludf.DUMMYFUNCTION("Index(split('EMI Data'!B18,"" ""),1)"),"Mohith")</f>
        <v>Mohith</v>
      </c>
      <c r="F18" s="9" t="str">
        <f t="shared" si="1"/>
        <v>Genius - 48</v>
      </c>
      <c r="G18" s="9" t="str">
        <f t="shared" si="2"/>
        <v>Genius</v>
      </c>
      <c r="H18" s="1" t="str">
        <f>IFERROR(__xludf.DUMMYFUNCTION("concatenate(REGEXEXTRACT(F18, ""\d+""),"" Months"")"),"48 Months")</f>
        <v>48 Months</v>
      </c>
      <c r="I18" s="9">
        <f>VLOOKUP(G18&amp;" "&amp;H18,'Pricing Table'!$G$2:$H$14, 2, FALSE)</f>
        <v>270000</v>
      </c>
    </row>
    <row r="19">
      <c r="A19" s="7" t="s">
        <v>63</v>
      </c>
      <c r="B19" s="7" t="s">
        <v>64</v>
      </c>
      <c r="C19" s="8" t="s">
        <v>65</v>
      </c>
      <c r="D19" s="9" t="str">
        <f>IFERROR(__xludf.DUMMYFUNCTION("INDEX(SPLIT(B19,"" ""),1)"),"K.")</f>
        <v>K.</v>
      </c>
      <c r="E19" s="9" t="str">
        <f>IFERROR(__xludf.DUMMYFUNCTION("Index(split('EMI Data'!B19,"" ""),1)"),"K.")</f>
        <v>K.</v>
      </c>
      <c r="F19" s="10" t="str">
        <f t="shared" si="1"/>
        <v>Smart - 36 EMI</v>
      </c>
      <c r="G19" s="9" t="str">
        <f t="shared" si="2"/>
        <v>Smart</v>
      </c>
      <c r="H19" s="1" t="str">
        <f>IFERROR(__xludf.DUMMYFUNCTION("concatenate(REGEXEXTRACT(F19, ""\d+""),"" Months"")"),"36 Months")</f>
        <v>36 Months</v>
      </c>
      <c r="I19" s="12">
        <f>VLOOKUP(G19&amp;" "&amp;H19,'Pricing Table'!$G$2:$H$14, 2, FALSE)</f>
        <v>135000</v>
      </c>
    </row>
    <row r="20">
      <c r="A20" s="7" t="s">
        <v>66</v>
      </c>
      <c r="B20" s="7" t="s">
        <v>67</v>
      </c>
      <c r="C20" s="8" t="s">
        <v>65</v>
      </c>
      <c r="D20" s="9" t="str">
        <f>IFERROR(__xludf.DUMMYFUNCTION("INDEX(SPLIT(B20,"" ""),1)"),"Karreti")</f>
        <v>Karreti</v>
      </c>
      <c r="E20" s="9" t="str">
        <f>IFERROR(__xludf.DUMMYFUNCTION("Index(split('EMI Data'!B20,"" ""),1)"),"Karreti")</f>
        <v>Karreti</v>
      </c>
      <c r="F20" s="10" t="str">
        <f t="shared" si="1"/>
        <v>Smart - 36 EMI</v>
      </c>
      <c r="G20" s="9" t="str">
        <f t="shared" si="2"/>
        <v>Smart</v>
      </c>
      <c r="H20" s="1" t="str">
        <f>IFERROR(__xludf.DUMMYFUNCTION("concatenate(REGEXEXTRACT(F20, ""\d+""),"" Months"")"),"36 Months")</f>
        <v>36 Months</v>
      </c>
      <c r="I20" s="12">
        <f>VLOOKUP(G20&amp;" "&amp;H20,'Pricing Table'!$G$2:$H$14, 2, FALSE)</f>
        <v>135000</v>
      </c>
    </row>
    <row r="21">
      <c r="A21" s="7" t="s">
        <v>68</v>
      </c>
      <c r="B21" s="7" t="s">
        <v>69</v>
      </c>
      <c r="C21" s="8" t="s">
        <v>28</v>
      </c>
      <c r="D21" s="9" t="str">
        <f>IFERROR(__xludf.DUMMYFUNCTION("INDEX(SPLIT(B21,"" ""),1)"),"Vignesh")</f>
        <v>Vignesh</v>
      </c>
      <c r="E21" s="9" t="str">
        <f>IFERROR(__xludf.DUMMYFUNCTION("Index(split('EMI Data'!B21,"" ""),1)"),"Vignesh")</f>
        <v>Vignesh</v>
      </c>
      <c r="F21" s="10" t="str">
        <f t="shared" si="1"/>
        <v>Smart - 48 EMI</v>
      </c>
      <c r="G21" s="9" t="str">
        <f t="shared" si="2"/>
        <v>Smart</v>
      </c>
      <c r="H21" s="1" t="str">
        <f>IFERROR(__xludf.DUMMYFUNCTION("concatenate(REGEXEXTRACT(F21, ""\d+""),"" Months"")"),"48 Months")</f>
        <v>48 Months</v>
      </c>
      <c r="I21" s="12">
        <f>VLOOKUP(G21&amp;" "&amp;H21,'Pricing Table'!$G$2:$H$14, 2, FALSE)</f>
        <v>145000</v>
      </c>
    </row>
    <row r="22">
      <c r="A22" s="7" t="s">
        <v>70</v>
      </c>
      <c r="B22" s="7" t="s">
        <v>71</v>
      </c>
      <c r="C22" s="8" t="s">
        <v>28</v>
      </c>
      <c r="D22" s="9" t="str">
        <f>IFERROR(__xludf.DUMMYFUNCTION("INDEX(SPLIT(B22,"" ""),1)"),"Rinki")</f>
        <v>Rinki</v>
      </c>
      <c r="E22" s="9" t="str">
        <f>IFERROR(__xludf.DUMMYFUNCTION("Index(split('EMI Data'!B22,"" ""),1)"),"Rinki")</f>
        <v>Rinki</v>
      </c>
      <c r="F22" s="10" t="str">
        <f t="shared" si="1"/>
        <v>Smart - 48 EMI</v>
      </c>
      <c r="G22" s="9" t="str">
        <f t="shared" si="2"/>
        <v>Smart</v>
      </c>
      <c r="H22" s="1" t="str">
        <f>IFERROR(__xludf.DUMMYFUNCTION("concatenate(REGEXEXTRACT(F22, ""\d+""),"" Months"")"),"48 Months")</f>
        <v>48 Months</v>
      </c>
      <c r="I22" s="12">
        <f>VLOOKUP(G22&amp;" "&amp;H22,'Pricing Table'!$G$2:$H$14, 2, FALSE)</f>
        <v>145000</v>
      </c>
    </row>
    <row r="23">
      <c r="A23" s="7" t="s">
        <v>72</v>
      </c>
      <c r="B23" s="11" t="s">
        <v>73</v>
      </c>
      <c r="C23" s="13" t="s">
        <v>62</v>
      </c>
      <c r="D23" s="9" t="str">
        <f>IFERROR(__xludf.DUMMYFUNCTION("INDEX(SPLIT(B23,"" ""),1)"),"Tony")</f>
        <v>Tony</v>
      </c>
      <c r="E23" s="9" t="str">
        <f>IFERROR(__xludf.DUMMYFUNCTION("Index(split('EMI Data'!B23,"" ""),1)"),"Tony")</f>
        <v>Tony</v>
      </c>
      <c r="F23" s="9" t="str">
        <f t="shared" si="1"/>
        <v>Genius - 48</v>
      </c>
      <c r="G23" s="9" t="str">
        <f t="shared" si="2"/>
        <v>Genius</v>
      </c>
      <c r="H23" s="1" t="str">
        <f>IFERROR(__xludf.DUMMYFUNCTION("concatenate(REGEXEXTRACT(F23, ""\d+""),"" Months"")"),"48 Months")</f>
        <v>48 Months</v>
      </c>
      <c r="I23" s="9">
        <f>VLOOKUP(G23&amp;" "&amp;H23,'Pricing Table'!$G$2:$H$14, 2, FALSE)</f>
        <v>270000</v>
      </c>
    </row>
    <row r="24">
      <c r="A24" s="7" t="s">
        <v>74</v>
      </c>
      <c r="B24" s="7" t="s">
        <v>75</v>
      </c>
      <c r="C24" s="8" t="s">
        <v>28</v>
      </c>
      <c r="D24" s="9" t="str">
        <f>IFERROR(__xludf.DUMMYFUNCTION("INDEX(SPLIT(B24,"" ""),1)"),"Mahesh")</f>
        <v>Mahesh</v>
      </c>
      <c r="E24" s="9" t="str">
        <f>IFERROR(__xludf.DUMMYFUNCTION("Index(split('EMI Data'!B24,"" ""),1)"),"Mahesh")</f>
        <v>Mahesh</v>
      </c>
      <c r="F24" s="10" t="str">
        <f t="shared" si="1"/>
        <v>Smart - 48 EMI</v>
      </c>
      <c r="G24" s="9" t="str">
        <f t="shared" si="2"/>
        <v>Smart</v>
      </c>
      <c r="H24" s="1" t="str">
        <f>IFERROR(__xludf.DUMMYFUNCTION("concatenate(REGEXEXTRACT(F24, ""\d+""),"" Months"")"),"48 Months")</f>
        <v>48 Months</v>
      </c>
      <c r="I24" s="12">
        <f>VLOOKUP(G24&amp;" "&amp;H24,'Pricing Table'!$G$2:$H$14, 2, FALSE)</f>
        <v>145000</v>
      </c>
    </row>
    <row r="25">
      <c r="A25" s="7" t="s">
        <v>76</v>
      </c>
      <c r="B25" s="11" t="s">
        <v>77</v>
      </c>
      <c r="C25" s="13" t="s">
        <v>78</v>
      </c>
      <c r="D25" s="9" t="str">
        <f>IFERROR(__xludf.DUMMYFUNCTION("INDEX(SPLIT(B25,"" ""),1)"),"G")</f>
        <v>G</v>
      </c>
      <c r="E25" s="9" t="str">
        <f>IFERROR(__xludf.DUMMYFUNCTION("Index(split('EMI Data'!B25,"" ""),1)"),"G")</f>
        <v>G</v>
      </c>
      <c r="F25" s="9" t="str">
        <f t="shared" si="1"/>
        <v>Genius - 36</v>
      </c>
      <c r="G25" s="9" t="str">
        <f t="shared" si="2"/>
        <v>Genius</v>
      </c>
      <c r="H25" s="1" t="str">
        <f>IFERROR(__xludf.DUMMYFUNCTION("concatenate(REGEXEXTRACT(F25, ""\d+""),"" Months"")"),"36 Months")</f>
        <v>36 Months</v>
      </c>
      <c r="I25" s="9">
        <f>VLOOKUP(G25&amp;" "&amp;H25,'Pricing Table'!$G$2:$H$14, 2, FALSE)</f>
        <v>245000</v>
      </c>
    </row>
    <row r="26">
      <c r="A26" s="7" t="s">
        <v>79</v>
      </c>
      <c r="B26" s="11" t="s">
        <v>80</v>
      </c>
      <c r="C26" s="13" t="s">
        <v>81</v>
      </c>
      <c r="D26" s="9" t="str">
        <f>IFERROR(__xludf.DUMMYFUNCTION("INDEX(SPLIT(B26,"" ""),1)"),"S")</f>
        <v>S</v>
      </c>
      <c r="E26" s="9" t="str">
        <f>IFERROR(__xludf.DUMMYFUNCTION("Index(split('EMI Data'!B26,"" ""),1)"),"S")</f>
        <v>S</v>
      </c>
      <c r="F26" s="9" t="str">
        <f t="shared" si="1"/>
        <v>Smart - 48</v>
      </c>
      <c r="G26" s="9" t="str">
        <f t="shared" si="2"/>
        <v>Smart</v>
      </c>
      <c r="H26" s="1" t="str">
        <f>IFERROR(__xludf.DUMMYFUNCTION("concatenate(REGEXEXTRACT(F26, ""\d+""),"" Months"")"),"48 Months")</f>
        <v>48 Months</v>
      </c>
      <c r="I26" s="12">
        <f>VLOOKUP(G26&amp;" "&amp;H26,'Pricing Table'!$G$2:$H$14, 2, FALSE)</f>
        <v>145000</v>
      </c>
    </row>
    <row r="27">
      <c r="A27" s="7" t="s">
        <v>82</v>
      </c>
      <c r="B27" s="7" t="s">
        <v>83</v>
      </c>
      <c r="C27" s="13" t="s">
        <v>62</v>
      </c>
      <c r="D27" s="9" t="str">
        <f>IFERROR(__xludf.DUMMYFUNCTION("INDEX(SPLIT(B27,"" ""),1)"),"Bharathi")</f>
        <v>Bharathi</v>
      </c>
      <c r="E27" s="9" t="str">
        <f>IFERROR(__xludf.DUMMYFUNCTION("Index(split('EMI Data'!B27,"" ""),1)"),"Bharathi")</f>
        <v>Bharathi</v>
      </c>
      <c r="F27" s="9" t="str">
        <f t="shared" si="1"/>
        <v>Genius - 48</v>
      </c>
      <c r="G27" s="9" t="str">
        <f t="shared" si="2"/>
        <v>Genius</v>
      </c>
      <c r="H27" s="1" t="str">
        <f>IFERROR(__xludf.DUMMYFUNCTION("concatenate(REGEXEXTRACT(F27, ""\d+""),"" Months"")"),"48 Months")</f>
        <v>48 Months</v>
      </c>
      <c r="I27" s="9">
        <f>VLOOKUP(G27&amp;" "&amp;H27,'Pricing Table'!$G$2:$H$14, 2, FALSE)</f>
        <v>270000</v>
      </c>
    </row>
    <row r="28">
      <c r="A28" s="7" t="s">
        <v>84</v>
      </c>
      <c r="B28" s="7" t="s">
        <v>85</v>
      </c>
      <c r="C28" s="8" t="s">
        <v>28</v>
      </c>
      <c r="D28" s="9" t="str">
        <f>IFERROR(__xludf.DUMMYFUNCTION("INDEX(SPLIT(B28,"" ""),1)"),"Suryakanth")</f>
        <v>Suryakanth</v>
      </c>
      <c r="E28" s="9" t="str">
        <f>IFERROR(__xludf.DUMMYFUNCTION("Index(split('EMI Data'!B28,"" ""),1)"),"Suryakanth")</f>
        <v>Suryakanth</v>
      </c>
      <c r="F28" s="10" t="str">
        <f t="shared" si="1"/>
        <v>Smart - 48 EMI</v>
      </c>
      <c r="G28" s="9" t="str">
        <f t="shared" si="2"/>
        <v>Smart</v>
      </c>
      <c r="H28" s="1" t="str">
        <f>IFERROR(__xludf.DUMMYFUNCTION("concatenate(REGEXEXTRACT(F28, ""\d+""),"" Months"")"),"48 Months")</f>
        <v>48 Months</v>
      </c>
      <c r="I28" s="12">
        <f>VLOOKUP(G28&amp;" "&amp;H28,'Pricing Table'!$G$2:$H$14, 2, FALSE)</f>
        <v>145000</v>
      </c>
    </row>
    <row r="29">
      <c r="A29" s="7" t="s">
        <v>86</v>
      </c>
      <c r="B29" s="7" t="s">
        <v>87</v>
      </c>
      <c r="C29" s="8" t="s">
        <v>39</v>
      </c>
      <c r="D29" s="9" t="str">
        <f>IFERROR(__xludf.DUMMYFUNCTION("INDEX(SPLIT(B29,"" ""),1)"),"Santhana")</f>
        <v>Santhana</v>
      </c>
      <c r="E29" s="9" t="str">
        <f>IFERROR(__xludf.DUMMYFUNCTION("Index(split('EMI Data'!B29,"" ""),1)"),"Santhana")</f>
        <v>Santhana</v>
      </c>
      <c r="F29" s="10" t="str">
        <f t="shared" si="1"/>
        <v>Genius - 48 EMI</v>
      </c>
      <c r="G29" s="9" t="str">
        <f t="shared" si="2"/>
        <v>Genius</v>
      </c>
      <c r="H29" s="1" t="str">
        <f>IFERROR(__xludf.DUMMYFUNCTION("concatenate(REGEXEXTRACT(F29, ""\d+""),"" Months"")"),"48 Months")</f>
        <v>48 Months</v>
      </c>
      <c r="I29" s="9">
        <f>VLOOKUP(G29&amp;" "&amp;H29,'Pricing Table'!$G$2:$H$14, 2, FALSE)</f>
        <v>270000</v>
      </c>
    </row>
    <row r="30">
      <c r="A30" s="7" t="s">
        <v>88</v>
      </c>
      <c r="B30" s="7" t="s">
        <v>89</v>
      </c>
      <c r="C30" s="8" t="s">
        <v>28</v>
      </c>
      <c r="D30" s="9" t="str">
        <f>IFERROR(__xludf.DUMMYFUNCTION("INDEX(SPLIT(B30,"" ""),1)"),"Praveen")</f>
        <v>Praveen</v>
      </c>
      <c r="E30" s="9" t="str">
        <f>IFERROR(__xludf.DUMMYFUNCTION("Index(split('EMI Data'!B30,"" ""),1)"),"Praveen")</f>
        <v>Praveen</v>
      </c>
      <c r="F30" s="10" t="str">
        <f t="shared" si="1"/>
        <v>Smart - 48 EMI</v>
      </c>
      <c r="G30" s="9" t="str">
        <f t="shared" si="2"/>
        <v>Smart</v>
      </c>
      <c r="H30" s="1" t="str">
        <f>IFERROR(__xludf.DUMMYFUNCTION("concatenate(REGEXEXTRACT(F30, ""\d+""),"" Months"")"),"48 Months")</f>
        <v>48 Months</v>
      </c>
      <c r="I30" s="12">
        <f>VLOOKUP(G30&amp;" "&amp;H30,'Pricing Table'!$G$2:$H$14, 2, FALSE)</f>
        <v>145000</v>
      </c>
    </row>
    <row r="31">
      <c r="A31" s="7" t="s">
        <v>90</v>
      </c>
      <c r="B31" s="7" t="s">
        <v>91</v>
      </c>
      <c r="C31" s="8" t="s">
        <v>39</v>
      </c>
      <c r="D31" s="9" t="str">
        <f>IFERROR(__xludf.DUMMYFUNCTION("INDEX(SPLIT(B31,"" ""),1)"),"Pravallika")</f>
        <v>Pravallika</v>
      </c>
      <c r="E31" s="9" t="str">
        <f>IFERROR(__xludf.DUMMYFUNCTION("Index(split('EMI Data'!B31,"" ""),1)"),"Pravallika")</f>
        <v>Pravallika</v>
      </c>
      <c r="F31" s="10" t="str">
        <f t="shared" si="1"/>
        <v>Genius - 48 EMI</v>
      </c>
      <c r="G31" s="9" t="str">
        <f t="shared" si="2"/>
        <v>Genius</v>
      </c>
      <c r="H31" s="1" t="str">
        <f>IFERROR(__xludf.DUMMYFUNCTION("concatenate(REGEXEXTRACT(F31, ""\d+""),"" Months"")"),"48 Months")</f>
        <v>48 Months</v>
      </c>
      <c r="I31" s="9">
        <f>VLOOKUP(G31&amp;" "&amp;H31,'Pricing Table'!$G$2:$H$14, 2, FALSE)</f>
        <v>270000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</cols>
  <sheetData>
    <row r="1">
      <c r="A1" s="14" t="s">
        <v>92</v>
      </c>
      <c r="B1" s="6" t="s">
        <v>93</v>
      </c>
    </row>
    <row r="2">
      <c r="A2" s="11" t="s">
        <v>94</v>
      </c>
      <c r="B2" s="8" t="s">
        <v>95</v>
      </c>
    </row>
    <row r="3">
      <c r="A3" s="11" t="s">
        <v>96</v>
      </c>
      <c r="B3" s="13" t="s">
        <v>97</v>
      </c>
    </row>
    <row r="4">
      <c r="A4" s="11" t="s">
        <v>98</v>
      </c>
      <c r="B4" s="13" t="s">
        <v>99</v>
      </c>
    </row>
    <row r="5">
      <c r="A5" s="11" t="s">
        <v>100</v>
      </c>
      <c r="B5" s="13" t="s">
        <v>101</v>
      </c>
    </row>
    <row r="6">
      <c r="A6" s="11" t="s">
        <v>102</v>
      </c>
      <c r="B6" s="8" t="s">
        <v>95</v>
      </c>
    </row>
    <row r="7">
      <c r="A7" s="11" t="s">
        <v>103</v>
      </c>
      <c r="B7" s="8" t="s">
        <v>95</v>
      </c>
    </row>
    <row r="8">
      <c r="A8" s="11" t="s">
        <v>104</v>
      </c>
      <c r="B8" s="8" t="s">
        <v>95</v>
      </c>
    </row>
    <row r="9">
      <c r="A9" s="11" t="s">
        <v>105</v>
      </c>
      <c r="B9" s="8" t="s">
        <v>106</v>
      </c>
    </row>
    <row r="10">
      <c r="A10" s="11" t="s">
        <v>107</v>
      </c>
      <c r="B10" s="8" t="s">
        <v>95</v>
      </c>
    </row>
    <row r="11">
      <c r="A11" s="11" t="s">
        <v>108</v>
      </c>
      <c r="B11" s="8" t="s">
        <v>95</v>
      </c>
    </row>
    <row r="12">
      <c r="A12" s="11" t="s">
        <v>109</v>
      </c>
      <c r="B12" s="8" t="s">
        <v>95</v>
      </c>
    </row>
    <row r="13">
      <c r="A13" s="11" t="s">
        <v>110</v>
      </c>
      <c r="B13" s="8" t="s">
        <v>95</v>
      </c>
    </row>
    <row r="14">
      <c r="A14" s="11" t="s">
        <v>111</v>
      </c>
      <c r="B14" s="8" t="s">
        <v>112</v>
      </c>
    </row>
    <row r="15">
      <c r="A15" s="11" t="s">
        <v>113</v>
      </c>
      <c r="B15" s="8" t="s">
        <v>95</v>
      </c>
    </row>
    <row r="16">
      <c r="A16" s="11" t="s">
        <v>114</v>
      </c>
      <c r="B16" s="8" t="s">
        <v>95</v>
      </c>
    </row>
    <row r="17">
      <c r="A17" s="11" t="s">
        <v>115</v>
      </c>
      <c r="B17" s="8" t="s">
        <v>116</v>
      </c>
    </row>
    <row r="18">
      <c r="A18" s="11" t="s">
        <v>117</v>
      </c>
      <c r="B18" s="8" t="s">
        <v>95</v>
      </c>
    </row>
    <row r="19">
      <c r="A19" s="11" t="s">
        <v>118</v>
      </c>
      <c r="B19" s="8" t="s">
        <v>95</v>
      </c>
    </row>
    <row r="20">
      <c r="A20" s="11" t="s">
        <v>119</v>
      </c>
      <c r="B20" s="8" t="s">
        <v>116</v>
      </c>
    </row>
    <row r="21">
      <c r="A21" s="11" t="s">
        <v>120</v>
      </c>
      <c r="B21" s="8" t="s">
        <v>95</v>
      </c>
    </row>
    <row r="22">
      <c r="A22" s="11" t="s">
        <v>121</v>
      </c>
      <c r="B22" s="8" t="s">
        <v>116</v>
      </c>
    </row>
    <row r="23">
      <c r="A23" s="11" t="s">
        <v>122</v>
      </c>
      <c r="B23" s="13" t="s">
        <v>123</v>
      </c>
    </row>
    <row r="24">
      <c r="A24" s="11" t="s">
        <v>124</v>
      </c>
      <c r="B24" s="8" t="s">
        <v>125</v>
      </c>
    </row>
    <row r="25">
      <c r="A25" s="11" t="s">
        <v>126</v>
      </c>
      <c r="B25" s="8" t="s">
        <v>106</v>
      </c>
    </row>
    <row r="26">
      <c r="A26" s="11" t="s">
        <v>127</v>
      </c>
      <c r="B26" s="8" t="s">
        <v>128</v>
      </c>
    </row>
    <row r="27">
      <c r="A27" s="11" t="s">
        <v>129</v>
      </c>
      <c r="B27" s="8" t="s">
        <v>116</v>
      </c>
    </row>
    <row r="28">
      <c r="A28" s="11" t="s">
        <v>130</v>
      </c>
      <c r="B28" s="8" t="s">
        <v>125</v>
      </c>
    </row>
    <row r="29">
      <c r="A29" s="11" t="s">
        <v>131</v>
      </c>
      <c r="B29" s="8" t="s">
        <v>125</v>
      </c>
    </row>
    <row r="30">
      <c r="A30" s="11" t="s">
        <v>132</v>
      </c>
      <c r="B30" s="8" t="s">
        <v>95</v>
      </c>
    </row>
    <row r="31">
      <c r="A31" s="11" t="s">
        <v>133</v>
      </c>
      <c r="B31" s="8" t="s">
        <v>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75"/>
  </cols>
  <sheetData>
    <row r="1">
      <c r="A1" s="14" t="s">
        <v>15</v>
      </c>
      <c r="B1" s="14" t="s">
        <v>134</v>
      </c>
      <c r="C1" s="15" t="s">
        <v>135</v>
      </c>
      <c r="D1" s="16" t="s">
        <v>136</v>
      </c>
      <c r="E1" s="1" t="s">
        <v>137</v>
      </c>
      <c r="F1" s="1" t="s">
        <v>138</v>
      </c>
      <c r="G1" s="1" t="s">
        <v>139</v>
      </c>
    </row>
    <row r="2">
      <c r="A2" s="7" t="s">
        <v>23</v>
      </c>
      <c r="B2" s="7" t="s">
        <v>24</v>
      </c>
      <c r="C2" s="17" t="s">
        <v>140</v>
      </c>
      <c r="D2" s="18">
        <v>6806.0</v>
      </c>
      <c r="E2" s="19">
        <f>VLOOKUP('Student Data'!G2&amp;" "&amp;'Student Data'!H2,'Pricing Table'!$C$1:$D$14, 2, FALSE)</f>
        <v>250000</v>
      </c>
      <c r="F2" s="20">
        <f>IFERROR(__xludf.DUMMYFUNCTION("ROUND((VLOOKUP('Student Data'!G2&amp;"" ""&amp;'Student Data'!H2,'Pricing Table'!$G$2:$H$14, 2, FALSE)/REGEXEXTRACT('Student Data'!F2, ""\d+"")))"),6806.0)</f>
        <v>6806</v>
      </c>
      <c r="G2" s="9" t="str">
        <f t="shared" ref="G2:G31" si="1">if(D2=F2,"correct","incorrect")</f>
        <v>correct</v>
      </c>
    </row>
    <row r="3">
      <c r="A3" s="7" t="s">
        <v>26</v>
      </c>
      <c r="B3" s="11" t="s">
        <v>27</v>
      </c>
      <c r="C3" s="17" t="s">
        <v>140</v>
      </c>
      <c r="D3" s="18">
        <v>7500.0</v>
      </c>
      <c r="E3" s="21">
        <f>VLOOKUP('Student Data'!G3&amp;" "&amp;'Student Data'!H3,'Pricing Table'!$C$1:$D$14, 2, FALSE)</f>
        <v>150000</v>
      </c>
      <c r="F3" s="20">
        <f>IFERROR(__xludf.DUMMYFUNCTION("ROUND((VLOOKUP('Student Data'!G3&amp;"" ""&amp;'Student Data'!H3,'Pricing Table'!$G$2:$H$14, 2, FALSE)/REGEXEXTRACT('Student Data'!F3, ""\d+"")))"),3021.0)</f>
        <v>3021</v>
      </c>
      <c r="G3" s="9" t="str">
        <f t="shared" si="1"/>
        <v>incorrect</v>
      </c>
    </row>
    <row r="4">
      <c r="A4" s="7" t="s">
        <v>29</v>
      </c>
      <c r="B4" s="7" t="s">
        <v>30</v>
      </c>
      <c r="C4" s="17" t="s">
        <v>140</v>
      </c>
      <c r="D4" s="18">
        <v>12500.0</v>
      </c>
      <c r="E4" s="21">
        <f>VLOOKUP('Student Data'!G4&amp;" "&amp;'Student Data'!H4,'Pricing Table'!$C$1:$D$14, 2, FALSE)</f>
        <v>150000</v>
      </c>
      <c r="F4" s="20">
        <f>IFERROR(__xludf.DUMMYFUNCTION("ROUND((VLOOKUP('Student Data'!G4&amp;"" ""&amp;'Student Data'!H4,'Pricing Table'!$G$2:$H$14, 2, FALSE)/REGEXEXTRACT('Student Data'!F4, ""\d+"")))"),3021.0)</f>
        <v>3021</v>
      </c>
      <c r="G4" s="9" t="str">
        <f t="shared" si="1"/>
        <v>incorrect</v>
      </c>
    </row>
    <row r="5">
      <c r="A5" s="7" t="s">
        <v>31</v>
      </c>
      <c r="B5" s="7" t="s">
        <v>32</v>
      </c>
      <c r="C5" s="17" t="s">
        <v>140</v>
      </c>
      <c r="D5" s="18">
        <v>10000.0</v>
      </c>
      <c r="E5" s="21">
        <f>VLOOKUP('Student Data'!G5&amp;" "&amp;'Student Data'!H5,'Pricing Table'!$C$1:$D$14, 2, FALSE)</f>
        <v>150000</v>
      </c>
      <c r="F5" s="20">
        <f>IFERROR(__xludf.DUMMYFUNCTION("ROUND((VLOOKUP('Student Data'!G5&amp;"" ""&amp;'Student Data'!H5,'Pricing Table'!$G$2:$H$14, 2, FALSE)/REGEXEXTRACT('Student Data'!F5, ""\d+"")))"),3021.0)</f>
        <v>3021</v>
      </c>
      <c r="G5" s="9" t="str">
        <f t="shared" si="1"/>
        <v>incorrect</v>
      </c>
    </row>
    <row r="6">
      <c r="A6" s="7" t="s">
        <v>33</v>
      </c>
      <c r="B6" s="7" t="s">
        <v>34</v>
      </c>
      <c r="C6" s="17" t="s">
        <v>140</v>
      </c>
      <c r="D6" s="18">
        <v>3021.0</v>
      </c>
      <c r="E6" s="21">
        <f>VLOOKUP('Student Data'!G6&amp;" "&amp;'Student Data'!H6,'Pricing Table'!$C$1:$D$14, 2, FALSE)</f>
        <v>150000</v>
      </c>
      <c r="F6" s="20">
        <f>IFERROR(__xludf.DUMMYFUNCTION("ROUND((VLOOKUP('Student Data'!G6&amp;"" ""&amp;'Student Data'!H6,'Pricing Table'!$G$2:$H$14, 2, FALSE)/REGEXEXTRACT('Student Data'!F6, ""\d+"")))"),3021.0)</f>
        <v>3021</v>
      </c>
      <c r="G6" s="9" t="str">
        <f t="shared" si="1"/>
        <v>correct</v>
      </c>
    </row>
    <row r="7">
      <c r="A7" s="7" t="s">
        <v>35</v>
      </c>
      <c r="B7" s="7" t="s">
        <v>36</v>
      </c>
      <c r="C7" s="17" t="s">
        <v>140</v>
      </c>
      <c r="D7" s="18">
        <v>2836.0</v>
      </c>
      <c r="E7" s="19">
        <f>VLOOKUP('Student Data'!G7&amp;" "&amp;'Student Data'!H7,'Pricing Table'!$C$1:$D$14, 2, FALSE)</f>
        <v>250000</v>
      </c>
      <c r="F7" s="20">
        <f>IFERROR(__xludf.DUMMYFUNCTION("ROUND((VLOOKUP('Student Data'!G7&amp;"" ""&amp;'Student Data'!H7,'Pricing Table'!$G$2:$H$14, 2, FALSE)/REGEXEXTRACT('Student Data'!F7, ""\d+"")))"),6806.0)</f>
        <v>6806</v>
      </c>
      <c r="G7" s="9" t="str">
        <f t="shared" si="1"/>
        <v>incorrect</v>
      </c>
    </row>
    <row r="8">
      <c r="A8" s="7" t="s">
        <v>37</v>
      </c>
      <c r="B8" s="7" t="s">
        <v>38</v>
      </c>
      <c r="C8" s="17" t="s">
        <v>140</v>
      </c>
      <c r="D8" s="18">
        <v>3021.0</v>
      </c>
      <c r="E8" s="19">
        <f>VLOOKUP('Student Data'!G8&amp;" "&amp;'Student Data'!H8,'Pricing Table'!$C$1:$D$14, 2, FALSE)</f>
        <v>275000</v>
      </c>
      <c r="F8" s="20">
        <f>IFERROR(__xludf.DUMMYFUNCTION("ROUND((VLOOKUP('Student Data'!G8&amp;"" ""&amp;'Student Data'!H8,'Pricing Table'!$G$2:$H$14, 2, FALSE)/REGEXEXTRACT('Student Data'!F8, ""\d+"")))"),5625.0)</f>
        <v>5625</v>
      </c>
      <c r="G8" s="9" t="str">
        <f t="shared" si="1"/>
        <v>incorrect</v>
      </c>
    </row>
    <row r="9">
      <c r="A9" s="7" t="s">
        <v>40</v>
      </c>
      <c r="B9" s="7" t="s">
        <v>41</v>
      </c>
      <c r="C9" s="17" t="s">
        <v>140</v>
      </c>
      <c r="D9" s="18">
        <v>12500.0</v>
      </c>
      <c r="E9" s="21">
        <f>VLOOKUP('Student Data'!G9&amp;" "&amp;'Student Data'!H9,'Pricing Table'!$C$1:$D$14, 2, FALSE)</f>
        <v>150000</v>
      </c>
      <c r="F9" s="20">
        <f>IFERROR(__xludf.DUMMYFUNCTION("ROUND((VLOOKUP('Student Data'!G9&amp;"" ""&amp;'Student Data'!H9,'Pricing Table'!$G$2:$H$14, 2, FALSE)/REGEXEXTRACT('Student Data'!F9, ""\d+"")))"),3021.0)</f>
        <v>3021</v>
      </c>
      <c r="G9" s="9" t="str">
        <f t="shared" si="1"/>
        <v>incorrect</v>
      </c>
    </row>
    <row r="10">
      <c r="A10" s="7" t="s">
        <v>42</v>
      </c>
      <c r="B10" s="11" t="s">
        <v>43</v>
      </c>
      <c r="C10" s="17" t="s">
        <v>140</v>
      </c>
      <c r="D10" s="18">
        <v>3612.0</v>
      </c>
      <c r="E10" s="21">
        <f>VLOOKUP('Student Data'!G10&amp;" "&amp;'Student Data'!H10,'Pricing Table'!$C$1:$D$14, 2, FALSE)</f>
        <v>150000</v>
      </c>
      <c r="F10" s="20">
        <f>IFERROR(__xludf.DUMMYFUNCTION("ROUND((VLOOKUP('Student Data'!G10&amp;"" ""&amp;'Student Data'!H10,'Pricing Table'!$G$2:$H$14, 2, FALSE)/REGEXEXTRACT('Student Data'!F10, ""\d+"")))"),3021.0)</f>
        <v>3021</v>
      </c>
      <c r="G10" s="9" t="str">
        <f t="shared" si="1"/>
        <v>incorrect</v>
      </c>
    </row>
    <row r="11">
      <c r="A11" s="7" t="s">
        <v>44</v>
      </c>
      <c r="B11" s="7" t="s">
        <v>45</v>
      </c>
      <c r="C11" s="17" t="s">
        <v>140</v>
      </c>
      <c r="D11" s="18">
        <v>12500.0</v>
      </c>
      <c r="E11" s="21">
        <f>VLOOKUP('Student Data'!G11&amp;" "&amp;'Student Data'!H11,'Pricing Table'!$C$1:$D$14, 2, FALSE)</f>
        <v>150000</v>
      </c>
      <c r="F11" s="20">
        <f>IFERROR(__xludf.DUMMYFUNCTION("ROUND((VLOOKUP('Student Data'!G11&amp;"" ""&amp;'Student Data'!H11,'Pricing Table'!$G$2:$H$14, 2, FALSE)/REGEXEXTRACT('Student Data'!F11, ""\d+"")))"),3021.0)</f>
        <v>3021</v>
      </c>
      <c r="G11" s="9" t="str">
        <f t="shared" si="1"/>
        <v>incorrect</v>
      </c>
    </row>
    <row r="12">
      <c r="A12" s="7" t="s">
        <v>46</v>
      </c>
      <c r="B12" s="7" t="s">
        <v>47</v>
      </c>
      <c r="C12" s="17" t="s">
        <v>140</v>
      </c>
      <c r="D12" s="18">
        <v>12500.0</v>
      </c>
      <c r="E12" s="19">
        <f>VLOOKUP('Student Data'!G12&amp;" "&amp;'Student Data'!H12,'Pricing Table'!$C$1:$D$14, 2, FALSE)</f>
        <v>275000</v>
      </c>
      <c r="F12" s="20">
        <f>IFERROR(__xludf.DUMMYFUNCTION("ROUND((VLOOKUP('Student Data'!G12&amp;"" ""&amp;'Student Data'!H12,'Pricing Table'!$G$2:$H$14, 2, FALSE)/REGEXEXTRACT('Student Data'!F12, ""\d+"")))"),5625.0)</f>
        <v>5625</v>
      </c>
      <c r="G12" s="9" t="str">
        <f t="shared" si="1"/>
        <v>incorrect</v>
      </c>
    </row>
    <row r="13">
      <c r="A13" s="7" t="s">
        <v>48</v>
      </c>
      <c r="B13" s="7" t="s">
        <v>49</v>
      </c>
      <c r="C13" s="17" t="s">
        <v>140</v>
      </c>
      <c r="D13" s="18">
        <v>12500.0</v>
      </c>
      <c r="E13" s="21">
        <f>VLOOKUP('Student Data'!G13&amp;" "&amp;'Student Data'!H13,'Pricing Table'!$C$1:$D$14, 2, FALSE)</f>
        <v>150000</v>
      </c>
      <c r="F13" s="20">
        <f>IFERROR(__xludf.DUMMYFUNCTION("ROUND((VLOOKUP('Student Data'!G13&amp;"" ""&amp;'Student Data'!H13,'Pricing Table'!$G$2:$H$14, 2, FALSE)/REGEXEXTRACT('Student Data'!F13, ""\d+"")))"),3021.0)</f>
        <v>3021</v>
      </c>
      <c r="G13" s="9" t="str">
        <f t="shared" si="1"/>
        <v>incorrect</v>
      </c>
    </row>
    <row r="14">
      <c r="A14" s="7" t="s">
        <v>50</v>
      </c>
      <c r="B14" s="7" t="s">
        <v>51</v>
      </c>
      <c r="C14" s="17" t="s">
        <v>140</v>
      </c>
      <c r="D14" s="18">
        <v>12500.0</v>
      </c>
      <c r="E14" s="21">
        <f>VLOOKUP('Student Data'!G14&amp;" "&amp;'Student Data'!H14,'Pricing Table'!$C$1:$D$14, 2, FALSE)</f>
        <v>150000</v>
      </c>
      <c r="F14" s="20">
        <f>IFERROR(__xludf.DUMMYFUNCTION("ROUND((VLOOKUP('Student Data'!G14&amp;"" ""&amp;'Student Data'!H14,'Pricing Table'!$G$2:$H$14, 2, FALSE)/REGEXEXTRACT('Student Data'!F14, ""\d+"")))"),3021.0)</f>
        <v>3021</v>
      </c>
      <c r="G14" s="9" t="str">
        <f t="shared" si="1"/>
        <v>incorrect</v>
      </c>
    </row>
    <row r="15">
      <c r="A15" s="7" t="s">
        <v>52</v>
      </c>
      <c r="B15" s="7" t="s">
        <v>53</v>
      </c>
      <c r="C15" s="17" t="s">
        <v>140</v>
      </c>
      <c r="D15" s="18">
        <v>20782.0</v>
      </c>
      <c r="E15" s="21">
        <f>VLOOKUP('Student Data'!G15&amp;" "&amp;'Student Data'!H15,'Pricing Table'!$C$1:$D$14, 2, FALSE)</f>
        <v>140000</v>
      </c>
      <c r="F15" s="20">
        <f>IFERROR(__xludf.DUMMYFUNCTION("ROUND((VLOOKUP('Student Data'!G15&amp;"" ""&amp;'Student Data'!H15,'Pricing Table'!$G$2:$H$14, 2, FALSE)/REGEXEXTRACT('Student Data'!F15, ""\d+"")))"),3750.0)</f>
        <v>3750</v>
      </c>
      <c r="G15" s="9" t="str">
        <f t="shared" si="1"/>
        <v>incorrect</v>
      </c>
    </row>
    <row r="16">
      <c r="A16" s="7" t="s">
        <v>55</v>
      </c>
      <c r="B16" s="7" t="s">
        <v>56</v>
      </c>
      <c r="C16" s="17" t="s">
        <v>141</v>
      </c>
      <c r="D16" s="18">
        <v>6805.56</v>
      </c>
      <c r="E16" s="21">
        <f>VLOOKUP('Student Data'!G16&amp;" "&amp;'Student Data'!H16,'Pricing Table'!$C$1:$D$14, 2, FALSE)</f>
        <v>140000</v>
      </c>
      <c r="F16" s="20">
        <f>IFERROR(__xludf.DUMMYFUNCTION("ROUND((VLOOKUP('Student Data'!G16&amp;"" ""&amp;'Student Data'!H16,'Pricing Table'!$G$2:$H$14, 2, FALSE)/REGEXEXTRACT('Student Data'!F16, ""\d+"")))"),3750.0)</f>
        <v>3750</v>
      </c>
      <c r="G16" s="9" t="str">
        <f t="shared" si="1"/>
        <v>incorrect</v>
      </c>
    </row>
    <row r="17">
      <c r="A17" s="7" t="s">
        <v>58</v>
      </c>
      <c r="B17" s="7" t="s">
        <v>59</v>
      </c>
      <c r="C17" s="17" t="s">
        <v>140</v>
      </c>
      <c r="D17" s="18">
        <v>6521.0</v>
      </c>
      <c r="E17" s="19">
        <f>VLOOKUP('Student Data'!G17&amp;" "&amp;'Student Data'!H17,'Pricing Table'!$C$1:$D$14, 2, FALSE)</f>
        <v>250000</v>
      </c>
      <c r="F17" s="20">
        <f>IFERROR(__xludf.DUMMYFUNCTION("ROUND((VLOOKUP('Student Data'!G17&amp;"" ""&amp;'Student Data'!H17,'Pricing Table'!$G$2:$H$14, 2, FALSE)/REGEXEXTRACT('Student Data'!F17, ""\d+"")))"),6806.0)</f>
        <v>6806</v>
      </c>
      <c r="G17" s="9" t="str">
        <f t="shared" si="1"/>
        <v>incorrect</v>
      </c>
    </row>
    <row r="18">
      <c r="A18" s="7" t="s">
        <v>60</v>
      </c>
      <c r="B18" s="7" t="s">
        <v>61</v>
      </c>
      <c r="C18" s="22" t="s">
        <v>142</v>
      </c>
      <c r="D18" s="18">
        <v>3612.0</v>
      </c>
      <c r="E18" s="19">
        <f>VLOOKUP('Student Data'!G18&amp;" "&amp;'Student Data'!H18,'Pricing Table'!$C$1:$D$14, 2, FALSE)</f>
        <v>275000</v>
      </c>
      <c r="F18" s="20">
        <f>IFERROR(__xludf.DUMMYFUNCTION("ROUND((VLOOKUP('Student Data'!G18&amp;"" ""&amp;'Student Data'!H18,'Pricing Table'!$G$2:$H$14, 2, FALSE)/REGEXEXTRACT('Student Data'!F18, ""\d+"")))"),5625.0)</f>
        <v>5625</v>
      </c>
      <c r="G18" s="9" t="str">
        <f t="shared" si="1"/>
        <v>incorrect</v>
      </c>
    </row>
    <row r="19">
      <c r="A19" s="7" t="s">
        <v>63</v>
      </c>
      <c r="B19" s="7" t="s">
        <v>64</v>
      </c>
      <c r="C19" s="22" t="s">
        <v>142</v>
      </c>
      <c r="D19" s="18">
        <v>3750.0</v>
      </c>
      <c r="E19" s="21">
        <f>VLOOKUP('Student Data'!G19&amp;" "&amp;'Student Data'!H19,'Pricing Table'!$C$1:$D$14, 2, FALSE)</f>
        <v>140000</v>
      </c>
      <c r="F19" s="20">
        <f>IFERROR(__xludf.DUMMYFUNCTION("ROUND((VLOOKUP('Student Data'!G19&amp;"" ""&amp;'Student Data'!H19,'Pricing Table'!$G$2:$H$14, 2, FALSE)/REGEXEXTRACT('Student Data'!F19, ""\d+"")))"),3750.0)</f>
        <v>3750</v>
      </c>
      <c r="G19" s="9" t="str">
        <f t="shared" si="1"/>
        <v>correct</v>
      </c>
    </row>
    <row r="20">
      <c r="A20" s="7" t="s">
        <v>66</v>
      </c>
      <c r="B20" s="7" t="s">
        <v>67</v>
      </c>
      <c r="C20" s="22" t="s">
        <v>142</v>
      </c>
      <c r="D20" s="18">
        <v>3750.0</v>
      </c>
      <c r="E20" s="21">
        <f>VLOOKUP('Student Data'!G20&amp;" "&amp;'Student Data'!H20,'Pricing Table'!$C$1:$D$14, 2, FALSE)</f>
        <v>140000</v>
      </c>
      <c r="F20" s="20">
        <f>IFERROR(__xludf.DUMMYFUNCTION("ROUND((VLOOKUP('Student Data'!G20&amp;"" ""&amp;'Student Data'!H20,'Pricing Table'!$G$2:$H$14, 2, FALSE)/REGEXEXTRACT('Student Data'!F20, ""\d+"")))"),3750.0)</f>
        <v>3750</v>
      </c>
      <c r="G20" s="9" t="str">
        <f t="shared" si="1"/>
        <v>correct</v>
      </c>
    </row>
    <row r="21">
      <c r="A21" s="7" t="s">
        <v>68</v>
      </c>
      <c r="B21" s="7" t="s">
        <v>69</v>
      </c>
      <c r="C21" s="22" t="s">
        <v>142</v>
      </c>
      <c r="D21" s="18">
        <v>12500.0</v>
      </c>
      <c r="E21" s="21">
        <f>VLOOKUP('Student Data'!G21&amp;" "&amp;'Student Data'!H21,'Pricing Table'!$C$1:$D$14, 2, FALSE)</f>
        <v>150000</v>
      </c>
      <c r="F21" s="20">
        <f>IFERROR(__xludf.DUMMYFUNCTION("ROUND((VLOOKUP('Student Data'!G21&amp;"" ""&amp;'Student Data'!H21,'Pricing Table'!$G$2:$H$14, 2, FALSE)/REGEXEXTRACT('Student Data'!F21, ""\d+"")))"),3021.0)</f>
        <v>3021</v>
      </c>
      <c r="G21" s="9" t="str">
        <f t="shared" si="1"/>
        <v>incorrect</v>
      </c>
    </row>
    <row r="22">
      <c r="A22" s="7" t="s">
        <v>70</v>
      </c>
      <c r="B22" s="7" t="s">
        <v>71</v>
      </c>
      <c r="C22" s="22" t="s">
        <v>142</v>
      </c>
      <c r="D22" s="18">
        <v>12500.0</v>
      </c>
      <c r="E22" s="21">
        <f>VLOOKUP('Student Data'!G22&amp;" "&amp;'Student Data'!H22,'Pricing Table'!$C$1:$D$14, 2, FALSE)</f>
        <v>150000</v>
      </c>
      <c r="F22" s="20">
        <f>IFERROR(__xludf.DUMMYFUNCTION("ROUND((VLOOKUP('Student Data'!G22&amp;"" ""&amp;'Student Data'!H22,'Pricing Table'!$G$2:$H$14, 2, FALSE)/REGEXEXTRACT('Student Data'!F22, ""\d+"")))"),3021.0)</f>
        <v>3021</v>
      </c>
      <c r="G22" s="9" t="str">
        <f t="shared" si="1"/>
        <v>incorrect</v>
      </c>
    </row>
    <row r="23">
      <c r="A23" s="7" t="s">
        <v>72</v>
      </c>
      <c r="B23" s="11" t="s">
        <v>73</v>
      </c>
      <c r="C23" s="22" t="s">
        <v>142</v>
      </c>
      <c r="D23" s="18"/>
      <c r="E23" s="19">
        <f>VLOOKUP('Student Data'!G23&amp;" "&amp;'Student Data'!H23,'Pricing Table'!$C$1:$D$14, 2, FALSE)</f>
        <v>275000</v>
      </c>
      <c r="F23" s="20">
        <f>IFERROR(__xludf.DUMMYFUNCTION("ROUND((VLOOKUP('Student Data'!G23&amp;"" ""&amp;'Student Data'!H23,'Pricing Table'!$G$2:$H$14, 2, FALSE)/REGEXEXTRACT('Student Data'!F23, ""\d+"")))"),5625.0)</f>
        <v>5625</v>
      </c>
      <c r="G23" s="9" t="str">
        <f t="shared" si="1"/>
        <v>incorrect</v>
      </c>
    </row>
    <row r="24">
      <c r="A24" s="7" t="s">
        <v>74</v>
      </c>
      <c r="B24" s="7" t="s">
        <v>75</v>
      </c>
      <c r="C24" s="22" t="s">
        <v>142</v>
      </c>
      <c r="D24" s="18">
        <v>10000.0</v>
      </c>
      <c r="E24" s="21">
        <f>VLOOKUP('Student Data'!G24&amp;" "&amp;'Student Data'!H24,'Pricing Table'!$C$1:$D$14, 2, FALSE)</f>
        <v>150000</v>
      </c>
      <c r="F24" s="20">
        <f>IFERROR(__xludf.DUMMYFUNCTION("ROUND((VLOOKUP('Student Data'!G24&amp;"" ""&amp;'Student Data'!H24,'Pricing Table'!$G$2:$H$14, 2, FALSE)/REGEXEXTRACT('Student Data'!F24, ""\d+"")))"),3021.0)</f>
        <v>3021</v>
      </c>
      <c r="G24" s="9" t="str">
        <f t="shared" si="1"/>
        <v>incorrect</v>
      </c>
    </row>
    <row r="25">
      <c r="A25" s="7" t="s">
        <v>76</v>
      </c>
      <c r="B25" s="11" t="s">
        <v>77</v>
      </c>
      <c r="C25" s="22" t="s">
        <v>142</v>
      </c>
      <c r="D25" s="18">
        <v>7292.0</v>
      </c>
      <c r="E25" s="19">
        <f>VLOOKUP('Student Data'!G25&amp;" "&amp;'Student Data'!H25,'Pricing Table'!$C$1:$D$14, 2, FALSE)</f>
        <v>250000</v>
      </c>
      <c r="F25" s="20">
        <f>IFERROR(__xludf.DUMMYFUNCTION("ROUND((VLOOKUP('Student Data'!G25&amp;"" ""&amp;'Student Data'!H25,'Pricing Table'!$G$2:$H$14, 2, FALSE)/REGEXEXTRACT('Student Data'!F25, ""\d+"")))"),6806.0)</f>
        <v>6806</v>
      </c>
      <c r="G25" s="9" t="str">
        <f t="shared" si="1"/>
        <v>incorrect</v>
      </c>
    </row>
    <row r="26">
      <c r="A26" s="7" t="s">
        <v>79</v>
      </c>
      <c r="B26" s="11" t="s">
        <v>80</v>
      </c>
      <c r="C26" s="22" t="s">
        <v>142</v>
      </c>
      <c r="D26" s="18">
        <v>3750.0</v>
      </c>
      <c r="E26" s="21">
        <f>VLOOKUP('Student Data'!G26&amp;" "&amp;'Student Data'!H26,'Pricing Table'!$C$1:$D$14, 2, FALSE)</f>
        <v>150000</v>
      </c>
      <c r="F26" s="20">
        <f>IFERROR(__xludf.DUMMYFUNCTION("ROUND((VLOOKUP('Student Data'!G26&amp;"" ""&amp;'Student Data'!H26,'Pricing Table'!$G$2:$H$14, 2, FALSE)/REGEXEXTRACT('Student Data'!F26, ""\d+"")))"),3021.0)</f>
        <v>3021</v>
      </c>
      <c r="G26" s="9" t="str">
        <f t="shared" si="1"/>
        <v>incorrect</v>
      </c>
    </row>
    <row r="27">
      <c r="A27" s="7" t="s">
        <v>82</v>
      </c>
      <c r="B27" s="7" t="s">
        <v>83</v>
      </c>
      <c r="C27" s="22" t="s">
        <v>142</v>
      </c>
      <c r="D27" s="18">
        <v>3021.0</v>
      </c>
      <c r="E27" s="19">
        <f>VLOOKUP('Student Data'!G27&amp;" "&amp;'Student Data'!H27,'Pricing Table'!$C$1:$D$14, 2, FALSE)</f>
        <v>275000</v>
      </c>
      <c r="F27" s="20">
        <f>IFERROR(__xludf.DUMMYFUNCTION("ROUND((VLOOKUP('Student Data'!G27&amp;"" ""&amp;'Student Data'!H27,'Pricing Table'!$G$2:$H$14, 2, FALSE)/REGEXEXTRACT('Student Data'!F27, ""\d+"")))"),5625.0)</f>
        <v>5625</v>
      </c>
      <c r="G27" s="9" t="str">
        <f t="shared" si="1"/>
        <v>incorrect</v>
      </c>
    </row>
    <row r="28">
      <c r="A28" s="7" t="s">
        <v>84</v>
      </c>
      <c r="B28" s="7" t="s">
        <v>85</v>
      </c>
      <c r="C28" s="22" t="s">
        <v>142</v>
      </c>
      <c r="D28" s="18">
        <v>12500.0</v>
      </c>
      <c r="E28" s="21">
        <f>VLOOKUP('Student Data'!G28&amp;" "&amp;'Student Data'!H28,'Pricing Table'!$C$1:$D$14, 2, FALSE)</f>
        <v>150000</v>
      </c>
      <c r="F28" s="20">
        <f>IFERROR(__xludf.DUMMYFUNCTION("ROUND((VLOOKUP('Student Data'!G28&amp;"" ""&amp;'Student Data'!H28,'Pricing Table'!$G$2:$H$14, 2, FALSE)/REGEXEXTRACT('Student Data'!F28, ""\d+"")))"),3021.0)</f>
        <v>3021</v>
      </c>
      <c r="G28" s="9" t="str">
        <f t="shared" si="1"/>
        <v>incorrect</v>
      </c>
    </row>
    <row r="29">
      <c r="A29" s="7" t="s">
        <v>86</v>
      </c>
      <c r="B29" s="7" t="s">
        <v>87</v>
      </c>
      <c r="C29" s="22" t="s">
        <v>142</v>
      </c>
      <c r="D29" s="18">
        <v>12500.0</v>
      </c>
      <c r="E29" s="19">
        <f>VLOOKUP('Student Data'!G29&amp;" "&amp;'Student Data'!H29,'Pricing Table'!$C$1:$D$14, 2, FALSE)</f>
        <v>275000</v>
      </c>
      <c r="F29" s="20">
        <f>IFERROR(__xludf.DUMMYFUNCTION("ROUND((VLOOKUP('Student Data'!G29&amp;"" ""&amp;'Student Data'!H29,'Pricing Table'!$G$2:$H$14, 2, FALSE)/REGEXEXTRACT('Student Data'!F29, ""\d+"")))"),5625.0)</f>
        <v>5625</v>
      </c>
      <c r="G29" s="9" t="str">
        <f t="shared" si="1"/>
        <v>incorrect</v>
      </c>
    </row>
    <row r="30">
      <c r="A30" s="7" t="s">
        <v>88</v>
      </c>
      <c r="B30" s="7" t="s">
        <v>89</v>
      </c>
      <c r="C30" s="22" t="s">
        <v>142</v>
      </c>
      <c r="D30" s="18">
        <v>10000.0</v>
      </c>
      <c r="E30" s="21">
        <f>VLOOKUP('Student Data'!G30&amp;" "&amp;'Student Data'!H30,'Pricing Table'!$C$1:$D$14, 2, FALSE)</f>
        <v>150000</v>
      </c>
      <c r="F30" s="20">
        <f>IFERROR(__xludf.DUMMYFUNCTION("ROUND((VLOOKUP('Student Data'!G30&amp;"" ""&amp;'Student Data'!H30,'Pricing Table'!$G$2:$H$14, 2, FALSE)/REGEXEXTRACT('Student Data'!F30, ""\d+"")))"),3021.0)</f>
        <v>3021</v>
      </c>
      <c r="G30" s="9" t="str">
        <f t="shared" si="1"/>
        <v>incorrect</v>
      </c>
    </row>
    <row r="31">
      <c r="A31" s="7" t="s">
        <v>90</v>
      </c>
      <c r="B31" s="7" t="s">
        <v>91</v>
      </c>
      <c r="C31" s="22" t="s">
        <v>142</v>
      </c>
      <c r="D31" s="18">
        <v>5417.0</v>
      </c>
      <c r="E31" s="19">
        <f>VLOOKUP('Student Data'!G31&amp;" "&amp;'Student Data'!H31,'Pricing Table'!$C$1:$D$14, 2, FALSE)</f>
        <v>275000</v>
      </c>
      <c r="F31" s="20">
        <f>IFERROR(__xludf.DUMMYFUNCTION("ROUND((VLOOKUP('Student Data'!G31&amp;"" ""&amp;'Student Data'!H31,'Pricing Table'!$G$2:$H$14, 2, FALSE)/REGEXEXTRACT('Student Data'!F31, ""\d+"")))"),5625.0)</f>
        <v>5625</v>
      </c>
      <c r="G31" s="9" t="str">
        <f t="shared" si="1"/>
        <v>incorrect</v>
      </c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13"/>
    <col customWidth="1" min="6" max="6" width="17.63"/>
  </cols>
  <sheetData>
    <row r="1">
      <c r="A1" s="25" t="s">
        <v>143</v>
      </c>
      <c r="B1" s="25" t="s">
        <v>144</v>
      </c>
      <c r="C1" s="25" t="s">
        <v>145</v>
      </c>
      <c r="D1" s="25" t="s">
        <v>146</v>
      </c>
      <c r="E1" s="25" t="s">
        <v>147</v>
      </c>
      <c r="F1" s="26" t="s">
        <v>148</v>
      </c>
      <c r="G1" s="25" t="s">
        <v>145</v>
      </c>
      <c r="H1" s="25" t="s">
        <v>148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28" t="s">
        <v>149</v>
      </c>
      <c r="B2" s="29" t="s">
        <v>150</v>
      </c>
      <c r="C2" s="30" t="str">
        <f t="shared" ref="C2:C14" si="1">CONCATenate(A2," ",B2)</f>
        <v>Genius 12 Months</v>
      </c>
      <c r="D2" s="30">
        <v>225000.0</v>
      </c>
      <c r="E2" s="1">
        <v>5000.0</v>
      </c>
      <c r="F2" s="9">
        <f t="shared" ref="F2:F7" si="2">D2-E2</f>
        <v>220000</v>
      </c>
      <c r="G2" s="9" t="s">
        <v>151</v>
      </c>
      <c r="H2" s="9">
        <v>220000.0</v>
      </c>
    </row>
    <row r="3">
      <c r="A3" s="28" t="s">
        <v>149</v>
      </c>
      <c r="B3" s="29" t="s">
        <v>152</v>
      </c>
      <c r="C3" s="30" t="str">
        <f t="shared" si="1"/>
        <v>Genius 18 Months</v>
      </c>
      <c r="D3" s="30">
        <v>235000.0</v>
      </c>
      <c r="E3" s="1">
        <v>5000.0</v>
      </c>
      <c r="F3" s="9">
        <f t="shared" si="2"/>
        <v>230000</v>
      </c>
      <c r="G3" s="9" t="s">
        <v>153</v>
      </c>
      <c r="H3" s="9">
        <v>230000.0</v>
      </c>
    </row>
    <row r="4">
      <c r="A4" s="28" t="s">
        <v>149</v>
      </c>
      <c r="B4" s="29" t="s">
        <v>154</v>
      </c>
      <c r="C4" s="30" t="str">
        <f t="shared" si="1"/>
        <v>Genius 24 Months</v>
      </c>
      <c r="D4" s="30">
        <v>240000.0</v>
      </c>
      <c r="E4" s="1">
        <v>5000.0</v>
      </c>
      <c r="F4" s="9">
        <f t="shared" si="2"/>
        <v>235000</v>
      </c>
      <c r="G4" s="9" t="s">
        <v>155</v>
      </c>
      <c r="H4" s="9">
        <v>235000.0</v>
      </c>
    </row>
    <row r="5">
      <c r="A5" s="28" t="s">
        <v>149</v>
      </c>
      <c r="B5" s="29" t="s">
        <v>156</v>
      </c>
      <c r="C5" s="30" t="str">
        <f t="shared" si="1"/>
        <v>Genius 36 Months</v>
      </c>
      <c r="D5" s="30">
        <v>250000.0</v>
      </c>
      <c r="E5" s="1">
        <v>5000.0</v>
      </c>
      <c r="F5" s="9">
        <f t="shared" si="2"/>
        <v>245000</v>
      </c>
      <c r="G5" s="9" t="s">
        <v>157</v>
      </c>
      <c r="H5" s="9">
        <v>245000.0</v>
      </c>
    </row>
    <row r="6">
      <c r="A6" s="28" t="s">
        <v>149</v>
      </c>
      <c r="B6" s="29" t="s">
        <v>158</v>
      </c>
      <c r="C6" s="30" t="str">
        <f t="shared" si="1"/>
        <v>Genius 45 Months</v>
      </c>
      <c r="D6" s="30">
        <v>275000.0</v>
      </c>
      <c r="E6" s="1">
        <v>5000.0</v>
      </c>
      <c r="F6" s="9">
        <f t="shared" si="2"/>
        <v>270000</v>
      </c>
      <c r="G6" s="9" t="s">
        <v>159</v>
      </c>
      <c r="H6" s="9">
        <v>270000.0</v>
      </c>
    </row>
    <row r="7">
      <c r="A7" s="28" t="s">
        <v>149</v>
      </c>
      <c r="B7" s="29" t="s">
        <v>160</v>
      </c>
      <c r="C7" s="30" t="str">
        <f t="shared" si="1"/>
        <v>Genius 48 Months</v>
      </c>
      <c r="D7" s="30">
        <v>275000.0</v>
      </c>
      <c r="E7" s="1">
        <v>5000.0</v>
      </c>
      <c r="F7" s="9">
        <f t="shared" si="2"/>
        <v>270000</v>
      </c>
      <c r="G7" s="9" t="s">
        <v>161</v>
      </c>
      <c r="H7" s="9">
        <v>270000.0</v>
      </c>
    </row>
    <row r="8">
      <c r="A8" s="31"/>
      <c r="B8" s="32"/>
      <c r="C8" s="30" t="str">
        <f t="shared" si="1"/>
        <v> </v>
      </c>
      <c r="D8" s="32"/>
      <c r="G8" s="9" t="s">
        <v>162</v>
      </c>
    </row>
    <row r="9">
      <c r="A9" s="28" t="s">
        <v>163</v>
      </c>
      <c r="B9" s="29" t="s">
        <v>150</v>
      </c>
      <c r="C9" s="30" t="str">
        <f t="shared" si="1"/>
        <v>Smart 12 Months</v>
      </c>
      <c r="D9" s="33">
        <v>125000.0</v>
      </c>
      <c r="E9" s="1">
        <v>5000.0</v>
      </c>
      <c r="F9" s="12">
        <f t="shared" ref="F9:F14" si="3">D9-E9</f>
        <v>120000</v>
      </c>
      <c r="G9" s="9" t="s">
        <v>164</v>
      </c>
      <c r="H9" s="12">
        <v>120000.0</v>
      </c>
    </row>
    <row r="10">
      <c r="A10" s="28" t="s">
        <v>163</v>
      </c>
      <c r="B10" s="29" t="s">
        <v>152</v>
      </c>
      <c r="C10" s="30" t="str">
        <f t="shared" si="1"/>
        <v>Smart 18 Months</v>
      </c>
      <c r="D10" s="33">
        <v>130000.0</v>
      </c>
      <c r="E10" s="1">
        <v>5000.0</v>
      </c>
      <c r="F10" s="12">
        <f t="shared" si="3"/>
        <v>125000</v>
      </c>
      <c r="G10" s="9" t="s">
        <v>165</v>
      </c>
      <c r="H10" s="12">
        <v>125000.0</v>
      </c>
    </row>
    <row r="11">
      <c r="A11" s="28" t="s">
        <v>163</v>
      </c>
      <c r="B11" s="29" t="s">
        <v>154</v>
      </c>
      <c r="C11" s="30" t="str">
        <f t="shared" si="1"/>
        <v>Smart 24 Months</v>
      </c>
      <c r="D11" s="33">
        <v>135000.0</v>
      </c>
      <c r="E11" s="1">
        <v>5000.0</v>
      </c>
      <c r="F11" s="12">
        <f t="shared" si="3"/>
        <v>130000</v>
      </c>
      <c r="G11" s="9" t="s">
        <v>166</v>
      </c>
      <c r="H11" s="12">
        <v>130000.0</v>
      </c>
    </row>
    <row r="12">
      <c r="A12" s="28" t="s">
        <v>163</v>
      </c>
      <c r="B12" s="29" t="s">
        <v>156</v>
      </c>
      <c r="C12" s="30" t="str">
        <f t="shared" si="1"/>
        <v>Smart 36 Months</v>
      </c>
      <c r="D12" s="33">
        <v>140000.0</v>
      </c>
      <c r="E12" s="1">
        <v>5000.0</v>
      </c>
      <c r="F12" s="12">
        <f t="shared" si="3"/>
        <v>135000</v>
      </c>
      <c r="G12" s="9" t="s">
        <v>167</v>
      </c>
      <c r="H12" s="12">
        <v>135000.0</v>
      </c>
    </row>
    <row r="13">
      <c r="A13" s="28" t="s">
        <v>163</v>
      </c>
      <c r="B13" s="29" t="s">
        <v>158</v>
      </c>
      <c r="C13" s="30" t="str">
        <f t="shared" si="1"/>
        <v>Smart 45 Months</v>
      </c>
      <c r="D13" s="33">
        <v>150000.0</v>
      </c>
      <c r="E13" s="1">
        <v>5000.0</v>
      </c>
      <c r="F13" s="12">
        <f t="shared" si="3"/>
        <v>145000</v>
      </c>
      <c r="G13" s="9" t="s">
        <v>168</v>
      </c>
      <c r="H13" s="12">
        <v>145000.0</v>
      </c>
    </row>
    <row r="14">
      <c r="A14" s="28" t="s">
        <v>163</v>
      </c>
      <c r="B14" s="29" t="s">
        <v>160</v>
      </c>
      <c r="C14" s="30" t="str">
        <f t="shared" si="1"/>
        <v>Smart 48 Months</v>
      </c>
      <c r="D14" s="33">
        <v>150000.0</v>
      </c>
      <c r="E14" s="1">
        <v>5000.0</v>
      </c>
      <c r="F14" s="12">
        <f t="shared" si="3"/>
        <v>145000</v>
      </c>
      <c r="G14" s="9" t="s">
        <v>169</v>
      </c>
      <c r="H14" s="12">
        <v>145000.0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27.25"/>
    <col customWidth="1" min="3" max="3" width="14.0"/>
    <col customWidth="1" min="4" max="4" width="28.88"/>
    <col customWidth="1" min="6" max="6" width="16.13"/>
    <col customWidth="1" min="7" max="7" width="17.25"/>
  </cols>
  <sheetData>
    <row r="1">
      <c r="A1" s="10" t="str">
        <f>'Student Data'!A:A</f>
        <v>UID</v>
      </c>
      <c r="B1" s="10" t="str">
        <f>'Student Data'!B:B</f>
        <v>Student Name</v>
      </c>
      <c r="C1" s="10" t="str">
        <f>'Student Data'!C:C</f>
        <v>Program - Tenure</v>
      </c>
      <c r="D1" s="14" t="s">
        <v>170</v>
      </c>
      <c r="E1" s="6" t="s">
        <v>93</v>
      </c>
      <c r="F1" s="1" t="s">
        <v>171</v>
      </c>
      <c r="G1" s="1" t="s">
        <v>172</v>
      </c>
      <c r="H1" s="15" t="s">
        <v>135</v>
      </c>
      <c r="I1" s="34" t="s">
        <v>136</v>
      </c>
    </row>
    <row r="2">
      <c r="A2" s="10" t="str">
        <f>'Student Data'!A:A</f>
        <v>e6adb35f-360a-4844-a19a-dff001377b53</v>
      </c>
      <c r="B2" s="10" t="str">
        <f>'Student Data'!B:B</f>
        <v>Abhishek Erugadindla</v>
      </c>
      <c r="C2" s="10" t="str">
        <f>'Student Data'!C:C</f>
        <v>Genius - 36 EMI</v>
      </c>
      <c r="D2" s="35" t="str">
        <f>VLOOKUP(A2,'EMI Data'!$A$2:$B$31, 2, FALSE)</f>
        <v>Abhishek Erugadindla</v>
      </c>
      <c r="E2" s="10" t="str">
        <f>VLOOKUP(SUBSTITUTE(A2, "-", ""),'Learning Data'!$A$2:$B$31, 2, FALSE)</f>
        <v>100</v>
      </c>
      <c r="F2" s="20" t="str">
        <f>IFERROR(__xludf.DUMMYFUNCTION("INDEX(SPLIT(B2,"" ""),1)"),"Abhishek")</f>
        <v>Abhishek</v>
      </c>
      <c r="G2" s="20" t="str">
        <f>IFERROR(__xludf.DUMMYFUNCTION("INDEX(SPLIT(D2,"" ""),1)"),"Abhishek")</f>
        <v>Abhishek</v>
      </c>
      <c r="H2" s="10" t="str">
        <f>vlookup(D2,'EMI Data'!$B$2:$D$31,2)</f>
        <v>5-Oct-2022</v>
      </c>
      <c r="I2" s="20">
        <f>IFERROR(__xludf.DUMMYFUNCTION("ROUND((VLOOKUP('Student Data'!G2&amp;"" ""&amp;'Student Data'!H2,'Pricing Table'!$G$2:$H$14, 2, FALSE)/REGEXEXTRACT('Student Data'!F2, ""\d+"")))"),6806.0)</f>
        <v>6806</v>
      </c>
    </row>
    <row r="3">
      <c r="A3" s="10" t="str">
        <f>'Student Data'!A:A</f>
        <v>e6adb35f-360a-4844-a19a-dff001377b54</v>
      </c>
      <c r="B3" s="10" t="str">
        <f>'Student Data'!B:B</f>
        <v>Anbalagan Neelayathatchi</v>
      </c>
      <c r="C3" s="10" t="str">
        <f>'Student Data'!C:C</f>
        <v>Smart - 48 EMI</v>
      </c>
      <c r="D3" s="35" t="str">
        <f>VLOOKUP(A3,'EMI Data'!$A$2:$B$31, 2, FALSE)</f>
        <v>Anbalagan Neelayathatchi</v>
      </c>
      <c r="E3" s="10" t="str">
        <f>VLOOKUP(SUBSTITUTE(A3, "-", ""),'Learning Data'!$A$2:$B$31, 2, FALSE)</f>
        <v>95</v>
      </c>
      <c r="F3" s="20" t="str">
        <f>IFERROR(__xludf.DUMMYFUNCTION("INDEX(SPLIT(B3,"" ""),1)"),"Anbalagan")</f>
        <v>Anbalagan</v>
      </c>
      <c r="G3" s="20" t="str">
        <f>IFERROR(__xludf.DUMMYFUNCTION("INDEX(SPLIT(D3,"" ""),1)"),"Anbalagan")</f>
        <v>Anbalagan</v>
      </c>
      <c r="H3" s="10" t="str">
        <f>vlookup(D3,'EMI Data'!$B$2:$D$31,2)</f>
        <v>5-Oct-2022</v>
      </c>
      <c r="I3" s="20">
        <f>IFERROR(__xludf.DUMMYFUNCTION("ROUND((VLOOKUP('Student Data'!G3&amp;"" ""&amp;'Student Data'!H3,'Pricing Table'!$G$2:$H$14, 2, FALSE)/REGEXEXTRACT('Student Data'!F3, ""\d+"")))"),3021.0)</f>
        <v>3021</v>
      </c>
    </row>
    <row r="4">
      <c r="A4" s="10" t="str">
        <f>'Student Data'!A:A</f>
        <v>e6adb35f-360a-4844-a19a-dff001377b55</v>
      </c>
      <c r="B4" s="10" t="str">
        <f>'Student Data'!B:B</f>
        <v>Naveen Reddy Kothakapu</v>
      </c>
      <c r="C4" s="10" t="str">
        <f>'Student Data'!C:C</f>
        <v>Smart - 48 EMI</v>
      </c>
      <c r="D4" s="35" t="str">
        <f>VLOOKUP(A4,'EMI Data'!$A$2:$B$31, 2, FALSE)</f>
        <v>Naveen Reddy Kothakapu</v>
      </c>
      <c r="E4" s="10" t="str">
        <f>VLOOKUP(SUBSTITUTE(A4, "-", ""),'Learning Data'!$A$2:$B$31, 2, FALSE)</f>
        <v>85</v>
      </c>
      <c r="F4" s="20" t="str">
        <f>IFERROR(__xludf.DUMMYFUNCTION("INDEX(SPLIT(B4,"" ""),1)"),"Naveen")</f>
        <v>Naveen</v>
      </c>
      <c r="G4" s="20" t="str">
        <f>IFERROR(__xludf.DUMMYFUNCTION("INDEX(SPLIT(D4,"" ""),1)"),"Naveen")</f>
        <v>Naveen</v>
      </c>
      <c r="H4" s="10" t="str">
        <f>vlookup(D4,'EMI Data'!$B$2:$D$31,2)</f>
        <v>5-Oct-2022</v>
      </c>
      <c r="I4" s="20">
        <f>IFERROR(__xludf.DUMMYFUNCTION("ROUND((VLOOKUP('Student Data'!G4&amp;"" ""&amp;'Student Data'!H4,'Pricing Table'!$G$2:$H$14, 2, FALSE)/REGEXEXTRACT('Student Data'!F4, ""\d+"")))"),3021.0)</f>
        <v>3021</v>
      </c>
    </row>
    <row r="5">
      <c r="A5" s="10" t="str">
        <f>'Student Data'!A:A</f>
        <v>e6adb35f-360a-4844-a19a-dff001377b59</v>
      </c>
      <c r="B5" s="10" t="str">
        <f>'Student Data'!B:B</f>
        <v>Deepthi Priya Boini</v>
      </c>
      <c r="C5" s="10" t="str">
        <f>'Student Data'!C:C</f>
        <v>Smart - 48 EMI</v>
      </c>
      <c r="D5" s="35" t="str">
        <f>VLOOKUP(A5,'EMI Data'!$A$2:$B$31, 2, FALSE)</f>
        <v>Deepthi Priya Boini</v>
      </c>
      <c r="E5" s="10" t="str">
        <f>VLOOKUP(SUBSTITUTE(A5, "-", ""),'Learning Data'!$A$2:$B$31, 2, FALSE)</f>
        <v>100</v>
      </c>
      <c r="F5" s="20" t="str">
        <f>IFERROR(__xludf.DUMMYFUNCTION("INDEX(SPLIT(B5,"" ""),1)"),"Deepthi")</f>
        <v>Deepthi</v>
      </c>
      <c r="G5" s="20" t="str">
        <f>IFERROR(__xludf.DUMMYFUNCTION("INDEX(SPLIT(D5,"" ""),1)"),"Deepthi")</f>
        <v>Deepthi</v>
      </c>
      <c r="H5" s="10" t="str">
        <f>vlookup(D5,'EMI Data'!$B$2:$D$31,2)</f>
        <v>5-Oct-2022</v>
      </c>
      <c r="I5" s="20">
        <f>IFERROR(__xludf.DUMMYFUNCTION("ROUND((VLOOKUP('Student Data'!G5&amp;"" ""&amp;'Student Data'!H5,'Pricing Table'!$G$2:$H$14, 2, FALSE)/REGEXEXTRACT('Student Data'!F5, ""\d+"")))"),3021.0)</f>
        <v>3021</v>
      </c>
    </row>
    <row r="6">
      <c r="A6" s="10" t="str">
        <f>'Student Data'!A:A</f>
        <v>e6adb35f-360a-4844-a19a-dff001377b60</v>
      </c>
      <c r="B6" s="10" t="str">
        <f>'Student Data'!B:B</f>
        <v>Parthiban J</v>
      </c>
      <c r="C6" s="10" t="str">
        <f>'Student Data'!C:C</f>
        <v>Smart - 48 EMI</v>
      </c>
      <c r="D6" s="35" t="str">
        <f>VLOOKUP(A6,'EMI Data'!$A$2:$B$31, 2, FALSE)</f>
        <v>Parthiban J</v>
      </c>
      <c r="E6" s="10" t="str">
        <f>VLOOKUP(SUBSTITUTE(A6, "-", ""),'Learning Data'!$A$2:$B$31, 2, FALSE)</f>
        <v>98</v>
      </c>
      <c r="F6" s="20" t="str">
        <f>IFERROR(__xludf.DUMMYFUNCTION("INDEX(SPLIT(B6,"" ""),1)"),"Parthiban")</f>
        <v>Parthiban</v>
      </c>
      <c r="G6" s="20" t="str">
        <f>IFERROR(__xludf.DUMMYFUNCTION("INDEX(SPLIT(D6,"" ""),1)"),"Parthiban")</f>
        <v>Parthiban</v>
      </c>
      <c r="H6" s="10" t="str">
        <f>vlookup(D6,'EMI Data'!$B$2:$D$31,2)</f>
        <v>5-Oct-2022</v>
      </c>
      <c r="I6" s="20">
        <f>IFERROR(__xludf.DUMMYFUNCTION("ROUND((VLOOKUP('Student Data'!G6&amp;"" ""&amp;'Student Data'!H6,'Pricing Table'!$G$2:$H$14, 2, FALSE)/REGEXEXTRACT('Student Data'!F6, ""\d+"")))"),3021.0)</f>
        <v>3021</v>
      </c>
    </row>
    <row r="7">
      <c r="A7" s="10" t="str">
        <f>'Student Data'!A:A</f>
        <v>e6adb35f-360a-4844-a19a-dff001377b61</v>
      </c>
      <c r="B7" s="10" t="str">
        <f>'Student Data'!B:B</f>
        <v>Lokesh Chethula</v>
      </c>
      <c r="C7" s="10" t="str">
        <f>'Student Data'!C:C</f>
        <v>Genius - 36 EMI</v>
      </c>
      <c r="D7" s="35" t="str">
        <f>VLOOKUP(A7,'EMI Data'!$A$2:$B$31, 2, FALSE)</f>
        <v>Lokesh Chethula</v>
      </c>
      <c r="E7" s="10" t="str">
        <f>VLOOKUP(SUBSTITUTE(A7, "-", ""),'Learning Data'!$A$2:$B$31, 2, FALSE)</f>
        <v>100</v>
      </c>
      <c r="F7" s="20" t="str">
        <f>IFERROR(__xludf.DUMMYFUNCTION("INDEX(SPLIT(B7,"" ""),1)"),"Lokesh")</f>
        <v>Lokesh</v>
      </c>
      <c r="G7" s="20" t="str">
        <f>IFERROR(__xludf.DUMMYFUNCTION("INDEX(SPLIT(D7,"" ""),1)"),"Lokesh")</f>
        <v>Lokesh</v>
      </c>
      <c r="H7" s="10" t="str">
        <f>vlookup(D7,'EMI Data'!$B$2:$D$31,2)</f>
        <v>5-Oct-2022</v>
      </c>
      <c r="I7" s="20">
        <f>IFERROR(__xludf.DUMMYFUNCTION("ROUND((VLOOKUP('Student Data'!G7&amp;"" ""&amp;'Student Data'!H7,'Pricing Table'!$G$2:$H$14, 2, FALSE)/REGEXEXTRACT('Student Data'!F7, ""\d+"")))"),6806.0)</f>
        <v>6806</v>
      </c>
    </row>
    <row r="8">
      <c r="A8" s="10" t="str">
        <f>'Student Data'!A:A</f>
        <v>e6adb35f-360a-4844-a19a-dff001377b62</v>
      </c>
      <c r="B8" s="10" t="str">
        <f>'Student Data'!B:B</f>
        <v>Chandu Thalluri</v>
      </c>
      <c r="C8" s="10" t="str">
        <f>'Student Data'!C:C</f>
        <v>Genius - 48 EMI</v>
      </c>
      <c r="D8" s="35" t="str">
        <f>VLOOKUP(A8,'EMI Data'!$A$2:$B$31, 2, FALSE)</f>
        <v>Chandu Thalluri</v>
      </c>
      <c r="E8" s="10" t="str">
        <f>VLOOKUP(SUBSTITUTE(A8, "-", ""),'Learning Data'!$A$2:$B$31, 2, FALSE)</f>
        <v>100</v>
      </c>
      <c r="F8" s="20" t="str">
        <f>IFERROR(__xludf.DUMMYFUNCTION("INDEX(SPLIT(B8,"" ""),1)"),"Chandu")</f>
        <v>Chandu</v>
      </c>
      <c r="G8" s="20" t="str">
        <f>IFERROR(__xludf.DUMMYFUNCTION("INDEX(SPLIT(D8,"" ""),1)"),"Chandu")</f>
        <v>Chandu</v>
      </c>
      <c r="H8" s="10" t="str">
        <f>vlookup(D8,'EMI Data'!$B$2:$D$31,2)</f>
        <v>5-Oct-2022</v>
      </c>
      <c r="I8" s="20">
        <f>IFERROR(__xludf.DUMMYFUNCTION("ROUND((VLOOKUP('Student Data'!G8&amp;"" ""&amp;'Student Data'!H8,'Pricing Table'!$G$2:$H$14, 2, FALSE)/REGEXEXTRACT('Student Data'!F8, ""\d+"")))"),5625.0)</f>
        <v>5625</v>
      </c>
    </row>
    <row r="9">
      <c r="A9" s="10" t="str">
        <f>'Student Data'!A:A</f>
        <v>e6adb35f-360a-4844-a19a-dff001377b56</v>
      </c>
      <c r="B9" s="10" t="str">
        <f>'Student Data'!B:B</f>
        <v>Nithya Ganesh M</v>
      </c>
      <c r="C9" s="10" t="str">
        <f>'Student Data'!C:C</f>
        <v>Smart - 48 EMI</v>
      </c>
      <c r="D9" s="35" t="str">
        <f>VLOOKUP(A9,'EMI Data'!$A$2:$B$31, 2, FALSE)</f>
        <v>Nithya Ganesh M</v>
      </c>
      <c r="E9" s="10" t="str">
        <f>VLOOKUP(SUBSTITUTE(A9, "-", ""),'Learning Data'!$A$2:$B$31, 2, FALSE)</f>
        <v>88</v>
      </c>
      <c r="F9" s="20" t="str">
        <f>IFERROR(__xludf.DUMMYFUNCTION("INDEX(SPLIT(B9,"" ""),1)"),"Nithya")</f>
        <v>Nithya</v>
      </c>
      <c r="G9" s="20" t="str">
        <f>IFERROR(__xludf.DUMMYFUNCTION("INDEX(SPLIT(D9,"" ""),1)"),"Nithya")</f>
        <v>Nithya</v>
      </c>
      <c r="H9" s="10" t="str">
        <f>vlookup(D9,'EMI Data'!$B$2:$D$31,2)</f>
        <v>5-Oct-2022</v>
      </c>
      <c r="I9" s="20">
        <f>IFERROR(__xludf.DUMMYFUNCTION("ROUND((VLOOKUP('Student Data'!G9&amp;"" ""&amp;'Student Data'!H9,'Pricing Table'!$G$2:$H$14, 2, FALSE)/REGEXEXTRACT('Student Data'!F9, ""\d+"")))"),3021.0)</f>
        <v>3021</v>
      </c>
    </row>
    <row r="10">
      <c r="A10" s="10" t="str">
        <f>'Student Data'!A:A</f>
        <v>e6adb35f-360a-4844-a19a-dff001377b57</v>
      </c>
      <c r="B10" s="10" t="str">
        <f>'Student Data'!B:B</f>
        <v>Sudalai Muthu M</v>
      </c>
      <c r="C10" s="10" t="str">
        <f>'Student Data'!C:C</f>
        <v>Smart - 48 EMI</v>
      </c>
      <c r="D10" s="35" t="str">
        <f>VLOOKUP(A10,'EMI Data'!$A$2:$B$31, 2, FALSE)</f>
        <v>Sudalai Muthu M</v>
      </c>
      <c r="E10" s="10" t="str">
        <f>VLOOKUP(SUBSTITUTE(A10, "-", ""),'Learning Data'!$A$2:$B$31, 2, FALSE)</f>
        <v>100</v>
      </c>
      <c r="F10" s="20" t="str">
        <f>IFERROR(__xludf.DUMMYFUNCTION("INDEX(SPLIT(B10,"" ""),1)"),"Sudalai")</f>
        <v>Sudalai</v>
      </c>
      <c r="G10" s="20" t="str">
        <f>IFERROR(__xludf.DUMMYFUNCTION("INDEX(SPLIT(D10,"" ""),1)"),"Sudalai")</f>
        <v>Sudalai</v>
      </c>
      <c r="H10" s="10" t="str">
        <f>vlookup(D10,'EMI Data'!$B$2:$D$31,2)</f>
        <v>5-Nov-2022</v>
      </c>
      <c r="I10" s="20">
        <f>IFERROR(__xludf.DUMMYFUNCTION("ROUND((VLOOKUP('Student Data'!G10&amp;"" ""&amp;'Student Data'!H10,'Pricing Table'!$G$2:$H$14, 2, FALSE)/REGEXEXTRACT('Student Data'!F10, ""\d+"")))"),3021.0)</f>
        <v>3021</v>
      </c>
    </row>
    <row r="11">
      <c r="A11" s="10" t="str">
        <f>'Student Data'!A:A</f>
        <v>e6adb35f-360a-4844-a19a-dff001377b58</v>
      </c>
      <c r="B11" s="10" t="str">
        <f>'Student Data'!B:B</f>
        <v>Kannadhasan S</v>
      </c>
      <c r="C11" s="10" t="str">
        <f>'Student Data'!C:C</f>
        <v>Smart - 48 EMI</v>
      </c>
      <c r="D11" s="35" t="str">
        <f>VLOOKUP(A11,'EMI Data'!$A$2:$B$31, 2, FALSE)</f>
        <v>Kannadhasan S</v>
      </c>
      <c r="E11" s="10" t="str">
        <f>VLOOKUP(SUBSTITUTE(A11, "-", ""),'Learning Data'!$A$2:$B$31, 2, FALSE)</f>
        <v>100</v>
      </c>
      <c r="F11" s="20" t="str">
        <f>IFERROR(__xludf.DUMMYFUNCTION("INDEX(SPLIT(B11,"" ""),1)"),"Kannadhasan")</f>
        <v>Kannadhasan</v>
      </c>
      <c r="G11" s="20" t="str">
        <f>IFERROR(__xludf.DUMMYFUNCTION("INDEX(SPLIT(D11,"" ""),1)"),"Kannadhasan")</f>
        <v>Kannadhasan</v>
      </c>
      <c r="H11" s="10" t="str">
        <f>vlookup(D11,'EMI Data'!$B$2:$D$31,2)</f>
        <v>5-Oct-2022</v>
      </c>
      <c r="I11" s="20">
        <f>IFERROR(__xludf.DUMMYFUNCTION("ROUND((VLOOKUP('Student Data'!G11&amp;"" ""&amp;'Student Data'!H11,'Pricing Table'!$G$2:$H$14, 2, FALSE)/REGEXEXTRACT('Student Data'!F11, ""\d+"")))"),3021.0)</f>
        <v>3021</v>
      </c>
    </row>
    <row r="12">
      <c r="A12" s="10" t="str">
        <f>'Student Data'!A:A</f>
        <v>e6adb35f-360a-4844-a19a-dff001377b63</v>
      </c>
      <c r="B12" s="10" t="str">
        <f>'Student Data'!B:B</f>
        <v>Venkatesh Gyadanaveni Venkatesh</v>
      </c>
      <c r="C12" s="10" t="str">
        <f>'Student Data'!C:C</f>
        <v>Genius - 48 EMI</v>
      </c>
      <c r="D12" s="35" t="str">
        <f>VLOOKUP(A12,'EMI Data'!$A$2:$B$31, 2, FALSE)</f>
        <v>Venkatesh Gyadanaveni Venkatesh</v>
      </c>
      <c r="E12" s="10" t="str">
        <f>VLOOKUP(SUBSTITUTE(A12, "-", ""),'Learning Data'!$A$2:$B$31, 2, FALSE)</f>
        <v>100</v>
      </c>
      <c r="F12" s="20" t="str">
        <f>IFERROR(__xludf.DUMMYFUNCTION("INDEX(SPLIT(B12,"" ""),1)"),"Venkatesh")</f>
        <v>Venkatesh</v>
      </c>
      <c r="G12" s="20" t="str">
        <f>IFERROR(__xludf.DUMMYFUNCTION("INDEX(SPLIT(D12,"" ""),1)"),"Venkatesh")</f>
        <v>Venkatesh</v>
      </c>
      <c r="H12" s="10" t="str">
        <f>vlookup(D12,'EMI Data'!$B$2:$D$31,2)</f>
        <v>5-Nov-2022</v>
      </c>
      <c r="I12" s="20">
        <f>IFERROR(__xludf.DUMMYFUNCTION("ROUND((VLOOKUP('Student Data'!G12&amp;"" ""&amp;'Student Data'!H12,'Pricing Table'!$G$2:$H$14, 2, FALSE)/REGEXEXTRACT('Student Data'!F12, ""\d+"")))"),5625.0)</f>
        <v>5625</v>
      </c>
    </row>
    <row r="13">
      <c r="A13" s="10" t="str">
        <f>'Student Data'!A:A</f>
        <v>e6adb35f-360a-4844-a19a-dff001377b64</v>
      </c>
      <c r="B13" s="10" t="str">
        <f>'Student Data'!B:B</f>
        <v>Sai Ram Naraboina</v>
      </c>
      <c r="C13" s="10" t="str">
        <f>'Student Data'!C:C</f>
        <v>Smart - 48 EMI</v>
      </c>
      <c r="D13" s="35" t="str">
        <f>VLOOKUP(A13,'EMI Data'!$A$2:$B$31, 2, FALSE)</f>
        <v>Sai Ram Naraboina</v>
      </c>
      <c r="E13" s="10" t="str">
        <f>VLOOKUP(SUBSTITUTE(A13, "-", ""),'Learning Data'!$A$2:$B$31, 2, FALSE)</f>
        <v>100</v>
      </c>
      <c r="F13" s="20" t="str">
        <f>IFERROR(__xludf.DUMMYFUNCTION("INDEX(SPLIT(B13,"" ""),1)"),"Sai")</f>
        <v>Sai</v>
      </c>
      <c r="G13" s="20" t="str">
        <f>IFERROR(__xludf.DUMMYFUNCTION("INDEX(SPLIT(D13,"" ""),1)"),"Sai")</f>
        <v>Sai</v>
      </c>
      <c r="H13" s="10" t="str">
        <f>vlookup(D13,'EMI Data'!$B$2:$D$31,2)</f>
        <v>5-Nov-2022</v>
      </c>
      <c r="I13" s="20">
        <f>IFERROR(__xludf.DUMMYFUNCTION("ROUND((VLOOKUP('Student Data'!G13&amp;"" ""&amp;'Student Data'!H13,'Pricing Table'!$G$2:$H$14, 2, FALSE)/REGEXEXTRACT('Student Data'!F13, ""\d+"")))"),3021.0)</f>
        <v>3021</v>
      </c>
    </row>
    <row r="14">
      <c r="A14" s="10" t="str">
        <f>'Student Data'!A:A</f>
        <v>e6adb35f-360a-4844-a19a-dff001377b65</v>
      </c>
      <c r="B14" s="10" t="str">
        <f>'Student Data'!B:B</f>
        <v>Prabhakaran S Prabhakaran S</v>
      </c>
      <c r="C14" s="10" t="str">
        <f>'Student Data'!C:C</f>
        <v>Smart - 48 EMI</v>
      </c>
      <c r="D14" s="35" t="str">
        <f>VLOOKUP(A14,'EMI Data'!$A$2:$B$31, 2, FALSE)</f>
        <v>Prabhakaran S Prabhakaran S</v>
      </c>
      <c r="E14" s="10" t="str">
        <f>VLOOKUP(SUBSTITUTE(A14, "-", ""),'Learning Data'!$A$2:$B$31, 2, FALSE)</f>
        <v>93</v>
      </c>
      <c r="F14" s="20" t="str">
        <f>IFERROR(__xludf.DUMMYFUNCTION("INDEX(SPLIT(B14,"" ""),1)"),"Prabhakaran")</f>
        <v>Prabhakaran</v>
      </c>
      <c r="G14" s="20" t="str">
        <f>IFERROR(__xludf.DUMMYFUNCTION("INDEX(SPLIT(D14,"" ""),1)"),"Prabhakaran")</f>
        <v>Prabhakaran</v>
      </c>
      <c r="H14" s="10" t="str">
        <f>vlookup(D14,'EMI Data'!$B$2:$D$31,2)</f>
        <v>5-Oct-2022</v>
      </c>
      <c r="I14" s="20">
        <f>IFERROR(__xludf.DUMMYFUNCTION("ROUND((VLOOKUP('Student Data'!G14&amp;"" ""&amp;'Student Data'!H14,'Pricing Table'!$G$2:$H$14, 2, FALSE)/REGEXEXTRACT('Student Data'!F14, ""\d+"")))"),3021.0)</f>
        <v>3021</v>
      </c>
    </row>
    <row r="15">
      <c r="A15" s="10" t="str">
        <f>'Student Data'!A:A</f>
        <v>e6adb35f-360a-4844-a19a-dff001377b66</v>
      </c>
      <c r="B15" s="10" t="str">
        <f>'Student Data'!B:B</f>
        <v>Pavan Mutyala</v>
      </c>
      <c r="C15" s="10" t="str">
        <f>'Student Data'!C:C</f>
        <v>Smart - 36</v>
      </c>
      <c r="D15" s="35" t="str">
        <f>VLOOKUP(A15,'EMI Data'!$A$2:$B$31, 2, FALSE)</f>
        <v>Pavan Mutyala</v>
      </c>
      <c r="E15" s="10" t="str">
        <f>VLOOKUP(SUBSTITUTE(A15, "-", ""),'Learning Data'!$A$2:$B$31, 2, FALSE)</f>
        <v>100</v>
      </c>
      <c r="F15" s="20" t="str">
        <f>IFERROR(__xludf.DUMMYFUNCTION("INDEX(SPLIT(B15,"" ""),1)"),"Pavan")</f>
        <v>Pavan</v>
      </c>
      <c r="G15" s="20" t="str">
        <f>IFERROR(__xludf.DUMMYFUNCTION("INDEX(SPLIT(D15,"" ""),1)"),"Pavan")</f>
        <v>Pavan</v>
      </c>
      <c r="H15" s="10" t="str">
        <f>vlookup(D15,'EMI Data'!$B$2:$D$31,2)</f>
        <v>5-Oct-2022</v>
      </c>
      <c r="I15" s="20">
        <f>IFERROR(__xludf.DUMMYFUNCTION("ROUND((VLOOKUP('Student Data'!G15&amp;"" ""&amp;'Student Data'!H15,'Pricing Table'!$G$2:$H$14, 2, FALSE)/REGEXEXTRACT('Student Data'!F15, ""\d+"")))"),3750.0)</f>
        <v>3750</v>
      </c>
    </row>
    <row r="16">
      <c r="A16" s="10" t="str">
        <f>'Student Data'!A:A</f>
        <v>e6adb35f-360a-4844-a19a-dff001377b67</v>
      </c>
      <c r="B16" s="10" t="str">
        <f>'Student Data'!B:B</f>
        <v>Rakesh Thodeti</v>
      </c>
      <c r="C16" s="10" t="str">
        <f>'Student Data'!C:C</f>
        <v>36 - Smart</v>
      </c>
      <c r="D16" s="35" t="str">
        <f>VLOOKUP(A16,'EMI Data'!$A$2:$B$31, 2, FALSE)</f>
        <v>Rakesh Thodeti</v>
      </c>
      <c r="E16" s="10" t="str">
        <f>VLOOKUP(SUBSTITUTE(A16, "-", ""),'Learning Data'!$A$2:$B$31, 2, FALSE)</f>
        <v>100</v>
      </c>
      <c r="F16" s="20" t="str">
        <f>IFERROR(__xludf.DUMMYFUNCTION("INDEX(SPLIT(B16,"" ""),1)"),"Rakesh")</f>
        <v>Rakesh</v>
      </c>
      <c r="G16" s="20" t="str">
        <f>IFERROR(__xludf.DUMMYFUNCTION("INDEX(SPLIT(D16,"" ""),1)"),"Rakesh")</f>
        <v>Rakesh</v>
      </c>
      <c r="H16" s="10" t="str">
        <f>vlookup(D16,'EMI Data'!$B$2:$D$31,2)</f>
        <v>5-Oct-2022</v>
      </c>
      <c r="I16" s="20">
        <f>IFERROR(__xludf.DUMMYFUNCTION("ROUND((VLOOKUP('Student Data'!G16&amp;"" ""&amp;'Student Data'!H16,'Pricing Table'!$G$2:$H$14, 2, FALSE)/REGEXEXTRACT('Student Data'!F16, ""\d+"")))"),3750.0)</f>
        <v>3750</v>
      </c>
    </row>
    <row r="17">
      <c r="A17" s="10" t="str">
        <f>'Student Data'!A:A</f>
        <v>e6adb35f-360a-4844-a19a-dff001377b68</v>
      </c>
      <c r="B17" s="10" t="str">
        <f>'Student Data'!B:B</f>
        <v>Ravindar Gangula</v>
      </c>
      <c r="C17" s="10" t="str">
        <f>'Student Data'!C:C</f>
        <v>Genius - 36 EMI</v>
      </c>
      <c r="D17" s="35" t="str">
        <f>VLOOKUP(A17,'EMI Data'!$A$2:$B$31, 2, FALSE)</f>
        <v>Ravindar Gangula</v>
      </c>
      <c r="E17" s="10" t="str">
        <f>VLOOKUP(SUBSTITUTE(A17, "-", ""),'Learning Data'!$A$2:$B$31, 2, FALSE)</f>
        <v>99</v>
      </c>
      <c r="F17" s="20" t="str">
        <f>IFERROR(__xludf.DUMMYFUNCTION("INDEX(SPLIT(B17,"" ""),1)"),"Ravindar")</f>
        <v>Ravindar</v>
      </c>
      <c r="G17" s="20" t="str">
        <f>IFERROR(__xludf.DUMMYFUNCTION("INDEX(SPLIT(D17,"" ""),1)"),"Ravindar")</f>
        <v>Ravindar</v>
      </c>
      <c r="H17" s="10" t="str">
        <f>vlookup(D17,'EMI Data'!$B$2:$D$31,2)</f>
        <v>5-Nov-2022</v>
      </c>
      <c r="I17" s="20">
        <f>IFERROR(__xludf.DUMMYFUNCTION("ROUND((VLOOKUP('Student Data'!G17&amp;"" ""&amp;'Student Data'!H17,'Pricing Table'!$G$2:$H$14, 2, FALSE)/REGEXEXTRACT('Student Data'!F17, ""\d+"")))"),6806.0)</f>
        <v>6806</v>
      </c>
    </row>
    <row r="18">
      <c r="A18" s="10" t="str">
        <f>'Student Data'!A:A</f>
        <v>e6adb35f-360a-4844-a19a-dff001377b69</v>
      </c>
      <c r="B18" s="10" t="str">
        <f>'Student Data'!B:B</f>
        <v>Mohith Nakka</v>
      </c>
      <c r="C18" s="10" t="str">
        <f>'Student Data'!C:C</f>
        <v>Ge - 48</v>
      </c>
      <c r="D18" s="35" t="str">
        <f>VLOOKUP(A18,'EMI Data'!$A$2:$B$31, 2, FALSE)</f>
        <v>Mohith Nakka</v>
      </c>
      <c r="E18" s="10" t="str">
        <f>VLOOKUP(SUBSTITUTE(A18, "-", ""),'Learning Data'!$A$2:$B$31, 2, FALSE)</f>
        <v>100</v>
      </c>
      <c r="F18" s="20" t="str">
        <f>IFERROR(__xludf.DUMMYFUNCTION("INDEX(SPLIT(B18,"" ""),1)"),"Mohith")</f>
        <v>Mohith</v>
      </c>
      <c r="G18" s="20" t="str">
        <f>IFERROR(__xludf.DUMMYFUNCTION("INDEX(SPLIT(D18,"" ""),1)"),"Mohith")</f>
        <v>Mohith</v>
      </c>
      <c r="H18" s="10" t="str">
        <f>vlookup(D18,'EMI Data'!$B$2:$D$31,2)</f>
        <v>5-Oct-2022</v>
      </c>
      <c r="I18" s="20">
        <f>IFERROR(__xludf.DUMMYFUNCTION("ROUND((VLOOKUP('Student Data'!G18&amp;"" ""&amp;'Student Data'!H18,'Pricing Table'!$G$2:$H$14, 2, FALSE)/REGEXEXTRACT('Student Data'!F18, ""\d+"")))"),5625.0)</f>
        <v>5625</v>
      </c>
    </row>
    <row r="19">
      <c r="A19" s="10" t="str">
        <f>'Student Data'!A:A</f>
        <v>e6adb35f-360a-4844-a19a-dff001377b70</v>
      </c>
      <c r="B19" s="10" t="str">
        <f>'Student Data'!B:B</f>
        <v>K. Navya Laxmi</v>
      </c>
      <c r="C19" s="10" t="str">
        <f>'Student Data'!C:C</f>
        <v>Smart - 36 EMI</v>
      </c>
      <c r="D19" s="35" t="str">
        <f>VLOOKUP(A19,'EMI Data'!$A$2:$B$31, 2, FALSE)</f>
        <v>K. Navya Laxmi</v>
      </c>
      <c r="E19" s="10" t="str">
        <f>VLOOKUP(SUBSTITUTE(A19, "-", ""),'Learning Data'!$A$2:$B$31, 2, FALSE)</f>
        <v>100</v>
      </c>
      <c r="F19" s="20" t="str">
        <f>IFERROR(__xludf.DUMMYFUNCTION("INDEX(SPLIT(B19,"" ""),1)"),"K.")</f>
        <v>K.</v>
      </c>
      <c r="G19" s="20" t="str">
        <f>IFERROR(__xludf.DUMMYFUNCTION("INDEX(SPLIT(D19,"" ""),1)"),"K.")</f>
        <v>K.</v>
      </c>
      <c r="H19" s="10" t="str">
        <f>vlookup(D19,'EMI Data'!$B$2:$D$31,2)</f>
        <v>5-Oct-2022</v>
      </c>
      <c r="I19" s="20">
        <f>IFERROR(__xludf.DUMMYFUNCTION("ROUND((VLOOKUP('Student Data'!G19&amp;"" ""&amp;'Student Data'!H19,'Pricing Table'!$G$2:$H$14, 2, FALSE)/REGEXEXTRACT('Student Data'!F19, ""\d+"")))"),3750.0)</f>
        <v>3750</v>
      </c>
    </row>
    <row r="20">
      <c r="A20" s="10" t="str">
        <f>'Student Data'!A:A</f>
        <v>e6adb35f-360a-4844-a19a-dff001377b71</v>
      </c>
      <c r="B20" s="10" t="str">
        <f>'Student Data'!B:B</f>
        <v>Karreti Hari Chandana Karreti</v>
      </c>
      <c r="C20" s="10" t="str">
        <f>'Student Data'!C:C</f>
        <v>Smart - 36 EMI</v>
      </c>
      <c r="D20" s="35" t="str">
        <f>VLOOKUP(A20,'EMI Data'!$A$2:$B$31, 2, FALSE)</f>
        <v>Karreti Hari Chandana Karreti</v>
      </c>
      <c r="E20" s="10" t="str">
        <f>VLOOKUP(SUBSTITUTE(A20, "-", ""),'Learning Data'!$A$2:$B$31, 2, FALSE)</f>
        <v>99</v>
      </c>
      <c r="F20" s="20" t="str">
        <f>IFERROR(__xludf.DUMMYFUNCTION("INDEX(SPLIT(B20,"" ""),1)"),"Karreti")</f>
        <v>Karreti</v>
      </c>
      <c r="G20" s="20" t="str">
        <f>IFERROR(__xludf.DUMMYFUNCTION("INDEX(SPLIT(D20,"" ""),1)"),"Karreti")</f>
        <v>Karreti</v>
      </c>
      <c r="H20" s="10" t="str">
        <f>vlookup(D20,'EMI Data'!$B$2:$D$31,2)</f>
        <v>5-Oct-2022</v>
      </c>
      <c r="I20" s="20">
        <f>IFERROR(__xludf.DUMMYFUNCTION("ROUND((VLOOKUP('Student Data'!G20&amp;"" ""&amp;'Student Data'!H20,'Pricing Table'!$G$2:$H$14, 2, FALSE)/REGEXEXTRACT('Student Data'!F20, ""\d+"")))"),3750.0)</f>
        <v>3750</v>
      </c>
    </row>
    <row r="21">
      <c r="A21" s="10" t="str">
        <f>'Student Data'!A:A</f>
        <v>e6adb35f-360a-4844-a19a-dff001377b72</v>
      </c>
      <c r="B21" s="10" t="str">
        <f>'Student Data'!B:B</f>
        <v>Vignesh Ramamoorthy</v>
      </c>
      <c r="C21" s="10" t="str">
        <f>'Student Data'!C:C</f>
        <v>Smart - 48 EMI</v>
      </c>
      <c r="D21" s="35" t="str">
        <f>VLOOKUP(A21,'EMI Data'!$A$2:$B$31, 2, FALSE)</f>
        <v>Vignesh Ramamoorthy</v>
      </c>
      <c r="E21" s="10" t="str">
        <f>VLOOKUP(SUBSTITUTE(A21, "-", ""),'Learning Data'!$A$2:$B$31, 2, FALSE)</f>
        <v>100</v>
      </c>
      <c r="F21" s="20" t="str">
        <f>IFERROR(__xludf.DUMMYFUNCTION("INDEX(SPLIT(B21,"" ""),1)"),"Vignesh")</f>
        <v>Vignesh</v>
      </c>
      <c r="G21" s="20" t="str">
        <f>IFERROR(__xludf.DUMMYFUNCTION("INDEX(SPLIT(D21,"" ""),1)"),"Vignesh")</f>
        <v>Vignesh</v>
      </c>
      <c r="H21" s="10" t="str">
        <f>vlookup(D21,'EMI Data'!$B$2:$D$31,2)</f>
        <v>5-Nov-2022</v>
      </c>
      <c r="I21" s="20">
        <f>IFERROR(__xludf.DUMMYFUNCTION("ROUND((VLOOKUP('Student Data'!G21&amp;"" ""&amp;'Student Data'!H21,'Pricing Table'!$G$2:$H$14, 2, FALSE)/REGEXEXTRACT('Student Data'!F21, ""\d+"")))"),3021.0)</f>
        <v>3021</v>
      </c>
    </row>
    <row r="22">
      <c r="A22" s="10" t="str">
        <f>'Student Data'!A:A</f>
        <v>e6adb35f-360a-4844-a19a-dff001377b73</v>
      </c>
      <c r="B22" s="10" t="str">
        <f>'Student Data'!B:B</f>
        <v>Rinki Chauhan</v>
      </c>
      <c r="C22" s="10" t="str">
        <f>'Student Data'!C:C</f>
        <v>Smart - 48 EMI</v>
      </c>
      <c r="D22" s="35" t="str">
        <f>VLOOKUP(A22,'EMI Data'!$A$2:$B$31, 2, FALSE)</f>
        <v>Rinki Chauhan</v>
      </c>
      <c r="E22" s="10" t="str">
        <f>VLOOKUP(SUBSTITUTE(A22, "-", ""),'Learning Data'!$A$2:$B$31, 2, FALSE)</f>
        <v>99</v>
      </c>
      <c r="F22" s="20" t="str">
        <f>IFERROR(__xludf.DUMMYFUNCTION("INDEX(SPLIT(B22,"" ""),1)"),"Rinki")</f>
        <v>Rinki</v>
      </c>
      <c r="G22" s="20" t="str">
        <f>IFERROR(__xludf.DUMMYFUNCTION("INDEX(SPLIT(D22,"" ""),1)"),"Rinki")</f>
        <v>Rinki</v>
      </c>
      <c r="H22" s="10" t="str">
        <f>vlookup(D22,'EMI Data'!$B$2:$D$31,2)</f>
        <v>5-Nov-2022</v>
      </c>
      <c r="I22" s="20">
        <f>IFERROR(__xludf.DUMMYFUNCTION("ROUND((VLOOKUP('Student Data'!G22&amp;"" ""&amp;'Student Data'!H22,'Pricing Table'!$G$2:$H$14, 2, FALSE)/REGEXEXTRACT('Student Data'!F22, ""\d+"")))"),3021.0)</f>
        <v>3021</v>
      </c>
    </row>
    <row r="23">
      <c r="A23" s="10" t="str">
        <f>'Student Data'!A:A</f>
        <v>e6adb35f-360a-4844-a19a-dff001377b74</v>
      </c>
      <c r="B23" s="10" t="str">
        <f>'Student Data'!B:B</f>
        <v>Tony S</v>
      </c>
      <c r="C23" s="10" t="str">
        <f>'Student Data'!C:C</f>
        <v>Ge - 48</v>
      </c>
      <c r="D23" s="35" t="str">
        <f>VLOOKUP(A23,'EMI Data'!$A$2:$B$31, 2, FALSE)</f>
        <v>Tony S</v>
      </c>
      <c r="E23" s="10" t="str">
        <f>VLOOKUP(SUBSTITUTE(A23, "-", ""),'Learning Data'!$A$2:$B$31, 2, FALSE)</f>
        <v>89</v>
      </c>
      <c r="F23" s="20" t="str">
        <f>IFERROR(__xludf.DUMMYFUNCTION("INDEX(SPLIT(B23,"" ""),1)"),"Tony")</f>
        <v>Tony</v>
      </c>
      <c r="G23" s="20" t="str">
        <f>IFERROR(__xludf.DUMMYFUNCTION("INDEX(SPLIT(D23,"" ""),1)"),"Tony")</f>
        <v>Tony</v>
      </c>
      <c r="H23" s="10" t="str">
        <f>vlookup(D23,'EMI Data'!$B$2:$D$31,2)</f>
        <v>5-Nov-2022</v>
      </c>
      <c r="I23" s="20">
        <f>IFERROR(__xludf.DUMMYFUNCTION("ROUND((VLOOKUP('Student Data'!G23&amp;"" ""&amp;'Student Data'!H23,'Pricing Table'!$G$2:$H$14, 2, FALSE)/REGEXEXTRACT('Student Data'!F23, ""\d+"")))"),5625.0)</f>
        <v>5625</v>
      </c>
    </row>
    <row r="24">
      <c r="A24" s="10" t="str">
        <f>'Student Data'!A:A</f>
        <v>e6adb35f-360a-4844-a19a-dff001377b75</v>
      </c>
      <c r="B24" s="10" t="str">
        <f>'Student Data'!B:B</f>
        <v>Mahesh P</v>
      </c>
      <c r="C24" s="10" t="str">
        <f>'Student Data'!C:C</f>
        <v>Smart - 48 EMI</v>
      </c>
      <c r="D24" s="35" t="str">
        <f>VLOOKUP(A24,'EMI Data'!$A$2:$B$31, 2, FALSE)</f>
        <v>Mahesh P</v>
      </c>
      <c r="E24" s="10" t="str">
        <f>VLOOKUP(SUBSTITUTE(A24, "-", ""),'Learning Data'!$A$2:$B$31, 2, FALSE)</f>
        <v>97</v>
      </c>
      <c r="F24" s="20" t="str">
        <f>IFERROR(__xludf.DUMMYFUNCTION("INDEX(SPLIT(B24,"" ""),1)"),"Mahesh")</f>
        <v>Mahesh</v>
      </c>
      <c r="G24" s="20" t="str">
        <f>IFERROR(__xludf.DUMMYFUNCTION("INDEX(SPLIT(D24,"" ""),1)"),"Mahesh")</f>
        <v>Mahesh</v>
      </c>
      <c r="H24" s="10" t="str">
        <f>vlookup(D24,'EMI Data'!$B$2:$D$31,2)</f>
        <v>5-Oct-2022</v>
      </c>
      <c r="I24" s="20">
        <f>IFERROR(__xludf.DUMMYFUNCTION("ROUND((VLOOKUP('Student Data'!G24&amp;"" ""&amp;'Student Data'!H24,'Pricing Table'!$G$2:$H$14, 2, FALSE)/REGEXEXTRACT('Student Data'!F24, ""\d+"")))"),3021.0)</f>
        <v>3021</v>
      </c>
    </row>
    <row r="25">
      <c r="A25" s="10" t="str">
        <f>'Student Data'!A:A</f>
        <v>e6adb35f-360a-4844-a19a-dff001377b76</v>
      </c>
      <c r="B25" s="10" t="str">
        <f>'Student Data'!B:B</f>
        <v>G Bala</v>
      </c>
      <c r="C25" s="10" t="str">
        <f>'Student Data'!C:C</f>
        <v>Ge - 36</v>
      </c>
      <c r="D25" s="35" t="str">
        <f>VLOOKUP(A25,'EMI Data'!$A$2:$B$31, 2, FALSE)</f>
        <v>G Bala</v>
      </c>
      <c r="E25" s="10" t="str">
        <f>VLOOKUP(SUBSTITUTE(A25, "-", ""),'Learning Data'!$A$2:$B$31, 2, FALSE)</f>
        <v>98</v>
      </c>
      <c r="F25" s="20" t="str">
        <f>IFERROR(__xludf.DUMMYFUNCTION("INDEX(SPLIT(B25,"" ""),1)"),"G")</f>
        <v>G</v>
      </c>
      <c r="G25" s="20" t="str">
        <f>IFERROR(__xludf.DUMMYFUNCTION("INDEX(SPLIT(D25,"" ""),1)"),"G")</f>
        <v>G</v>
      </c>
      <c r="H25" s="10" t="str">
        <f>vlookup(D25,'EMI Data'!$B$2:$D$31,2)</f>
        <v>5-Oct-2022</v>
      </c>
      <c r="I25" s="20">
        <f>IFERROR(__xludf.DUMMYFUNCTION("ROUND((VLOOKUP('Student Data'!G25&amp;"" ""&amp;'Student Data'!H25,'Pricing Table'!$G$2:$H$14, 2, FALSE)/REGEXEXTRACT('Student Data'!F25, ""\d+"")))"),6806.0)</f>
        <v>6806</v>
      </c>
    </row>
    <row r="26">
      <c r="A26" s="10" t="str">
        <f>'Student Data'!A:A</f>
        <v>e6adb35f-360a-4844-a19a-dff001377b77</v>
      </c>
      <c r="B26" s="10" t="str">
        <f>'Student Data'!B:B</f>
        <v>S Suma</v>
      </c>
      <c r="C26" s="10" t="str">
        <f>'Student Data'!C:C</f>
        <v>Sm - 48</v>
      </c>
      <c r="D26" s="35" t="str">
        <f>VLOOKUP(A26,'EMI Data'!$A$2:$B$31, 2, FALSE)</f>
        <v>S Suma</v>
      </c>
      <c r="E26" s="10" t="str">
        <f>VLOOKUP(SUBSTITUTE(A26, "-", ""),'Learning Data'!$A$2:$B$31, 2, FALSE)</f>
        <v>94</v>
      </c>
      <c r="F26" s="20" t="str">
        <f>IFERROR(__xludf.DUMMYFUNCTION("INDEX(SPLIT(B26,"" ""),1)"),"S")</f>
        <v>S</v>
      </c>
      <c r="G26" s="20" t="str">
        <f>IFERROR(__xludf.DUMMYFUNCTION("INDEX(SPLIT(D26,"" ""),1)"),"S")</f>
        <v>S</v>
      </c>
      <c r="H26" s="10" t="str">
        <f>vlookup(D26,'EMI Data'!$B$2:$D$31,2)</f>
        <v>5-Nov-2022</v>
      </c>
      <c r="I26" s="20">
        <f>IFERROR(__xludf.DUMMYFUNCTION("ROUND((VLOOKUP('Student Data'!G26&amp;"" ""&amp;'Student Data'!H26,'Pricing Table'!$G$2:$H$14, 2, FALSE)/REGEXEXTRACT('Student Data'!F26, ""\d+"")))"),3021.0)</f>
        <v>3021</v>
      </c>
    </row>
    <row r="27">
      <c r="A27" s="10" t="str">
        <f>'Student Data'!A:A</f>
        <v>e6adb35f-360a-4844-a19a-dff001377b78</v>
      </c>
      <c r="B27" s="10" t="str">
        <f>'Student Data'!B:B</f>
        <v>Bharathi Surapureddy</v>
      </c>
      <c r="C27" s="10" t="str">
        <f>'Student Data'!C:C</f>
        <v>Ge - 48</v>
      </c>
      <c r="D27" s="35" t="str">
        <f>VLOOKUP(A27,'EMI Data'!$A$2:$B$31, 2, FALSE)</f>
        <v>Bharathi Surapureddy</v>
      </c>
      <c r="E27" s="10" t="str">
        <f>VLOOKUP(SUBSTITUTE(A27, "-", ""),'Learning Data'!$A$2:$B$31, 2, FALSE)</f>
        <v>99</v>
      </c>
      <c r="F27" s="20" t="str">
        <f>IFERROR(__xludf.DUMMYFUNCTION("INDEX(SPLIT(B27,"" ""),1)"),"Bharathi")</f>
        <v>Bharathi</v>
      </c>
      <c r="G27" s="20" t="str">
        <f>IFERROR(__xludf.DUMMYFUNCTION("INDEX(SPLIT(D27,"" ""),1)"),"Bharathi")</f>
        <v>Bharathi</v>
      </c>
      <c r="H27" s="10" t="str">
        <f>vlookup(D27,'EMI Data'!$B$2:$D$31,2)</f>
        <v>5-Oct-2022</v>
      </c>
      <c r="I27" s="20">
        <f>IFERROR(__xludf.DUMMYFUNCTION("ROUND((VLOOKUP('Student Data'!G27&amp;"" ""&amp;'Student Data'!H27,'Pricing Table'!$G$2:$H$14, 2, FALSE)/REGEXEXTRACT('Student Data'!F27, ""\d+"")))"),5625.0)</f>
        <v>5625</v>
      </c>
    </row>
    <row r="28">
      <c r="A28" s="10" t="str">
        <f>'Student Data'!A:A</f>
        <v>e6adb35f-360a-4844-a19a-dff001377b79</v>
      </c>
      <c r="B28" s="10" t="str">
        <f>'Student Data'!B:B</f>
        <v>Suryakanth Shinde</v>
      </c>
      <c r="C28" s="10" t="str">
        <f>'Student Data'!C:C</f>
        <v>Smart - 48 EMI</v>
      </c>
      <c r="D28" s="35" t="str">
        <f>VLOOKUP(A28,'EMI Data'!$A$2:$B$31, 2, FALSE)</f>
        <v>Suryakanth Shinde</v>
      </c>
      <c r="E28" s="10" t="str">
        <f>VLOOKUP(SUBSTITUTE(A28, "-", ""),'Learning Data'!$A$2:$B$31, 2, FALSE)</f>
        <v>97</v>
      </c>
      <c r="F28" s="20" t="str">
        <f>IFERROR(__xludf.DUMMYFUNCTION("INDEX(SPLIT(B28,"" ""),1)"),"Suryakanth")</f>
        <v>Suryakanth</v>
      </c>
      <c r="G28" s="20" t="str">
        <f>IFERROR(__xludf.DUMMYFUNCTION("INDEX(SPLIT(D28,"" ""),1)"),"Suryakanth")</f>
        <v>Suryakanth</v>
      </c>
      <c r="H28" s="10" t="str">
        <f>vlookup(D28,'EMI Data'!$B$2:$D$31,2)</f>
        <v>5-Nov-2022</v>
      </c>
      <c r="I28" s="20">
        <f>IFERROR(__xludf.DUMMYFUNCTION("ROUND((VLOOKUP('Student Data'!G28&amp;"" ""&amp;'Student Data'!H28,'Pricing Table'!$G$2:$H$14, 2, FALSE)/REGEXEXTRACT('Student Data'!F28, ""\d+"")))"),3021.0)</f>
        <v>3021</v>
      </c>
    </row>
    <row r="29">
      <c r="A29" s="10" t="str">
        <f>'Student Data'!A:A</f>
        <v>e6adb35f-360a-4844-a19a-dff001377b80</v>
      </c>
      <c r="B29" s="10" t="str">
        <f>'Student Data'!B:B</f>
        <v>Santhana Mahalingam Santa</v>
      </c>
      <c r="C29" s="10" t="str">
        <f>'Student Data'!C:C</f>
        <v>Genius - 48 EMI</v>
      </c>
      <c r="D29" s="35" t="str">
        <f>VLOOKUP(A29,'EMI Data'!$A$2:$B$31, 2, FALSE)</f>
        <v>Santhana Mahalingam Santa</v>
      </c>
      <c r="E29" s="10" t="str">
        <f>VLOOKUP(SUBSTITUTE(A29, "-", ""),'Learning Data'!$A$2:$B$31, 2, FALSE)</f>
        <v>97</v>
      </c>
      <c r="F29" s="20" t="str">
        <f>IFERROR(__xludf.DUMMYFUNCTION("INDEX(SPLIT(B29,"" ""),1)"),"Santhana")</f>
        <v>Santhana</v>
      </c>
      <c r="G29" s="20" t="str">
        <f>IFERROR(__xludf.DUMMYFUNCTION("INDEX(SPLIT(D29,"" ""),1)"),"Santhana")</f>
        <v>Santhana</v>
      </c>
      <c r="H29" s="10" t="str">
        <f>vlookup(D29,'EMI Data'!$B$2:$D$31,2)</f>
        <v>5-Nov-2022</v>
      </c>
      <c r="I29" s="20">
        <f>IFERROR(__xludf.DUMMYFUNCTION("ROUND((VLOOKUP('Student Data'!G29&amp;"" ""&amp;'Student Data'!H29,'Pricing Table'!$G$2:$H$14, 2, FALSE)/REGEXEXTRACT('Student Data'!F29, ""\d+"")))"),5625.0)</f>
        <v>5625</v>
      </c>
    </row>
    <row r="30">
      <c r="A30" s="10" t="str">
        <f>'Student Data'!A:A</f>
        <v>e6adb35f-360a-4844-a19a-dff001377b81</v>
      </c>
      <c r="B30" s="10" t="str">
        <f>'Student Data'!B:B</f>
        <v>Praveen .M Praveen</v>
      </c>
      <c r="C30" s="10" t="str">
        <f>'Student Data'!C:C</f>
        <v>Smart - 48 EMI</v>
      </c>
      <c r="D30" s="35" t="str">
        <f>VLOOKUP(A30,'EMI Data'!$A$2:$B$31, 2, FALSE)</f>
        <v>Praveen .M Praveen</v>
      </c>
      <c r="E30" s="10" t="str">
        <f>VLOOKUP(SUBSTITUTE(A30, "-", ""),'Learning Data'!$A$2:$B$31, 2, FALSE)</f>
        <v>100</v>
      </c>
      <c r="F30" s="20" t="str">
        <f>IFERROR(__xludf.DUMMYFUNCTION("INDEX(SPLIT(B30,"" ""),1)"),"Praveen")</f>
        <v>Praveen</v>
      </c>
      <c r="G30" s="20" t="str">
        <f>IFERROR(__xludf.DUMMYFUNCTION("INDEX(SPLIT(D30,"" ""),1)"),"Praveen")</f>
        <v>Praveen</v>
      </c>
      <c r="H30" s="10" t="str">
        <f>vlookup(D30,'EMI Data'!$B$2:$D$31,2)</f>
        <v>5-Oct-2022</v>
      </c>
      <c r="I30" s="20">
        <f>IFERROR(__xludf.DUMMYFUNCTION("ROUND((VLOOKUP('Student Data'!G30&amp;"" ""&amp;'Student Data'!H30,'Pricing Table'!$G$2:$H$14, 2, FALSE)/REGEXEXTRACT('Student Data'!F30, ""\d+"")))"),3021.0)</f>
        <v>3021</v>
      </c>
    </row>
    <row r="31">
      <c r="A31" s="10" t="str">
        <f>'Student Data'!A:A</f>
        <v>e6adb35f-360a-4844-a19a-dff001377b82</v>
      </c>
      <c r="B31" s="10" t="str">
        <f>'Student Data'!B:B</f>
        <v>Pravallika Pacha Pacha</v>
      </c>
      <c r="C31" s="10" t="str">
        <f>'Student Data'!C:C</f>
        <v>Genius - 48 EMI</v>
      </c>
      <c r="D31" s="35" t="str">
        <f>VLOOKUP(A31,'EMI Data'!$A$2:$B$31, 2, FALSE)</f>
        <v>Pravallika Pacha Pacha</v>
      </c>
      <c r="E31" s="10" t="str">
        <f>VLOOKUP(SUBSTITUTE(A31, "-", ""),'Learning Data'!$A$2:$B$31, 2, FALSE)</f>
        <v>100</v>
      </c>
      <c r="F31" s="20" t="str">
        <f>IFERROR(__xludf.DUMMYFUNCTION("INDEX(SPLIT(B31,"" ""),1)"),"Pravallika")</f>
        <v>Pravallika</v>
      </c>
      <c r="G31" s="20" t="str">
        <f>IFERROR(__xludf.DUMMYFUNCTION("INDEX(SPLIT(D31,"" ""),1)"),"Pravallika")</f>
        <v>Pravallika</v>
      </c>
      <c r="H31" s="10" t="str">
        <f>vlookup(D31,'EMI Data'!$B$2:$D$31,2)</f>
        <v>5-Oct-2022</v>
      </c>
      <c r="I31" s="20">
        <f>IFERROR(__xludf.DUMMYFUNCTION("ROUND((VLOOKUP('Student Data'!G31&amp;"" ""&amp;'Student Data'!H31,'Pricing Table'!$G$2:$H$14, 2, FALSE)/REGEXEXTRACT('Student Data'!F31, ""\d+"")))"),5625.0)</f>
        <v>5625</v>
      </c>
    </row>
    <row r="32">
      <c r="A32" s="9" t="str">
        <f>'Student Data'!A:A</f>
        <v/>
      </c>
    </row>
    <row r="33">
      <c r="A33" s="9" t="str">
        <f>'Student Data'!A:A</f>
        <v/>
      </c>
    </row>
    <row r="34">
      <c r="A34" s="9" t="str">
        <f>'Student Data'!A:A</f>
        <v/>
      </c>
    </row>
  </sheetData>
  <drawing r:id="rId1"/>
</worksheet>
</file>