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34"/>
  <sheetViews>
    <sheetView workbookViewId="0"/>
  </sheetViews>
  <cols>
    <col min="1" max="1" width="83.33203125" customWidth="1"/>
    <col min="2" max="2" width="133.33203125" customWidth="1"/>
  </cols>
  <sheetData>
    <row r="1" ht="30" customHeight="1">
      <c r="A1" t="str">
        <v>点名称</v>
      </c>
      <c r="B1" t="str">
        <v>点位置</v>
      </c>
      <c r="C1" t="str">
        <v>点归属aoi名称</v>
      </c>
      <c r="D1" t="str">
        <v>点归属aoi信息</v>
      </c>
    </row>
    <row r="2">
      <c r="A2" t="str">
        <v>东城区</v>
      </c>
      <c r="B2" t="str">
        <f>39.917544</f>
        <v>116.418757</v>
      </c>
      <c r="C2" t="str">
        <v>北京市</v>
      </c>
      <c r="D2" t="str">
        <v>117.419192,40.617113</v>
      </c>
    </row>
    <row r="3">
      <c r="A3" t="str">
        <v>西城区</v>
      </c>
      <c r="B3" t="str">
        <f>39.915309</f>
        <v>116.366794</v>
      </c>
      <c r="C3" t="str">
        <v>北京市</v>
      </c>
      <c r="D3" t="str">
        <v>117.419192,40.617113</v>
      </c>
    </row>
    <row r="4">
      <c r="A4" t="str">
        <v>朝阳区</v>
      </c>
      <c r="B4" t="str">
        <f>39.921489</f>
        <v>116.486409</v>
      </c>
      <c r="C4" t="str">
        <v>北京市</v>
      </c>
      <c r="D4" t="str">
        <v>117.419192,40.617113</v>
      </c>
    </row>
    <row r="5">
      <c r="A5" t="str">
        <v>丰台区</v>
      </c>
      <c r="B5" t="str">
        <f>39.863642</f>
        <v>116.286968</v>
      </c>
      <c r="C5" t="str">
        <v>北京市</v>
      </c>
      <c r="D5" t="str">
        <v>117.419192,40.617113</v>
      </c>
    </row>
    <row r="6">
      <c r="A6" t="str">
        <v>石景山区</v>
      </c>
      <c r="B6" t="str">
        <f>39.914601</f>
        <v>116.195445</v>
      </c>
      <c r="C6" t="str">
        <v>北京市</v>
      </c>
      <c r="D6" t="str">
        <v>117.419192,40.617113</v>
      </c>
    </row>
    <row r="7">
      <c r="A7" t="str">
        <v>海淀区</v>
      </c>
      <c r="B7" t="str">
        <f>39.956074</f>
        <v>116.310316</v>
      </c>
      <c r="C7" t="str">
        <v>北京市</v>
      </c>
      <c r="D7" t="str">
        <v>117.419192,40.617113</v>
      </c>
    </row>
    <row r="8">
      <c r="A8" t="str">
        <v>门头沟区</v>
      </c>
      <c r="B8" t="str">
        <f>39.937183</f>
        <v>116.105381</v>
      </c>
      <c r="C8" t="str">
        <v>北京市</v>
      </c>
      <c r="D8" t="str">
        <v>117.419192,40.617113</v>
      </c>
    </row>
    <row r="9">
      <c r="A9" t="str">
        <v>房山区</v>
      </c>
      <c r="B9" t="str">
        <f>39.735535</f>
        <v>116.139157</v>
      </c>
      <c r="C9" t="str">
        <v>北京市</v>
      </c>
      <c r="D9" t="str">
        <v>117.419192,40.617113</v>
      </c>
    </row>
    <row r="10">
      <c r="A10" t="str">
        <v>通州区</v>
      </c>
      <c r="B10" t="str">
        <f>39.902486</f>
        <v>116.658603</v>
      </c>
      <c r="C10" t="str">
        <v>北京市</v>
      </c>
      <c r="D10" t="str">
        <v>117.419192,40.617113</v>
      </c>
    </row>
    <row r="11">
      <c r="A11" t="str">
        <v>顺义区</v>
      </c>
      <c r="B11" t="str">
        <f>40.128936</f>
        <v>116.653525</v>
      </c>
      <c r="C11" t="str">
        <v>北京市</v>
      </c>
      <c r="D11" t="str">
        <v>117.419192,40.617113</v>
      </c>
    </row>
    <row r="12">
      <c r="A12" t="str">
        <v>昌平区</v>
      </c>
      <c r="B12" t="str">
        <f>40.218085</f>
        <v>116.235906</v>
      </c>
      <c r="C12" t="str">
        <v>北京市</v>
      </c>
      <c r="D12" t="str">
        <v>117.419192,40.617113</v>
      </c>
    </row>
    <row r="13">
      <c r="A13" t="str">
        <v>大兴区</v>
      </c>
      <c r="B13" t="str">
        <f>39.728908</f>
        <v>116.338033</v>
      </c>
      <c r="C13" t="str">
        <v>北京市</v>
      </c>
      <c r="D13" t="str">
        <v>117.419192,40.617113</v>
      </c>
    </row>
    <row r="14">
      <c r="A14" t="str">
        <v>怀柔区</v>
      </c>
      <c r="B14" t="str">
        <f>40.324272</f>
        <v>116.637122</v>
      </c>
      <c r="C14" t="str">
        <v>北京市</v>
      </c>
      <c r="D14" t="str">
        <v>117.419192,40.617113</v>
      </c>
    </row>
    <row r="15">
      <c r="A15" t="str">
        <v>平谷区</v>
      </c>
      <c r="B15" t="str">
        <f>40.144783</f>
        <v>117.112335</v>
      </c>
      <c r="C15" t="str">
        <v>北京市</v>
      </c>
      <c r="D15" t="str">
        <v>117.419192,40.617113</v>
      </c>
    </row>
    <row r="16">
      <c r="A16" t="str">
        <v>密云区</v>
      </c>
      <c r="B16" t="str">
        <f>40.377362</f>
        <v>116.843352</v>
      </c>
      <c r="C16" t="str">
        <v>北京市</v>
      </c>
      <c r="D16" t="str">
        <v>117.419192,40.617113</v>
      </c>
    </row>
    <row r="17">
      <c r="A17" t="str">
        <v>延庆区</v>
      </c>
      <c r="B17" t="str">
        <f>40.465325</f>
        <v>115.985006</v>
      </c>
      <c r="C17" t="str">
        <v>北京市</v>
      </c>
      <c r="D17" t="str">
        <v>117.419192,40.617113</v>
      </c>
    </row>
    <row r="18">
      <c r="A18" t="str">
        <v>和平区</v>
      </c>
      <c r="B18" t="str">
        <f>39.118327</f>
        <v>117.195907</v>
      </c>
      <c r="C18" t="str">
        <v>天津市</v>
      </c>
      <c r="D18" t="str">
        <v>117.76556,39.400662</v>
      </c>
    </row>
    <row r="19">
      <c r="A19" t="str">
        <v>河东区</v>
      </c>
      <c r="B19" t="str">
        <f>39.122125</f>
        <v>117.226568</v>
      </c>
      <c r="C19" t="str">
        <v>天津市</v>
      </c>
      <c r="D19" t="str">
        <v>117.76556,39.400662</v>
      </c>
    </row>
    <row r="20">
      <c r="A20" t="str">
        <v>河西区</v>
      </c>
      <c r="B20" t="str">
        <f>39.101897</f>
        <v>117.217536</v>
      </c>
      <c r="C20" t="str">
        <v>天津市</v>
      </c>
      <c r="D20" t="str">
        <v>117.76556,39.400662</v>
      </c>
    </row>
    <row r="21">
      <c r="A21" t="str">
        <v>南开区</v>
      </c>
      <c r="B21" t="str">
        <f>39.120474</f>
        <v>117.164143</v>
      </c>
      <c r="C21" t="str">
        <v>天津市</v>
      </c>
      <c r="D21" t="str">
        <v>117.76556,39.400662</v>
      </c>
    </row>
    <row r="22">
      <c r="A22" t="str">
        <v>河北区</v>
      </c>
      <c r="B22" t="str">
        <f>39.156632</f>
        <v>117.201569</v>
      </c>
      <c r="C22" t="str">
        <v>天津市</v>
      </c>
      <c r="D22" t="str">
        <v>117.76556,39.400662</v>
      </c>
    </row>
    <row r="23">
      <c r="A23" t="str">
        <v>红桥区</v>
      </c>
      <c r="B23" t="str">
        <f>39.175066</f>
        <v>117.163301</v>
      </c>
      <c r="C23" t="str">
        <v>天津市</v>
      </c>
      <c r="D23" t="str">
        <v>117.76556,39.400662</v>
      </c>
    </row>
    <row r="24">
      <c r="A24" t="str">
        <v>东丽区</v>
      </c>
      <c r="B24" t="str">
        <f>39.087764</f>
        <v>117.313967</v>
      </c>
      <c r="C24" t="str">
        <v>天津市</v>
      </c>
      <c r="D24" t="str">
        <v>117.76556,39.400662</v>
      </c>
    </row>
    <row r="25">
      <c r="A25" t="str">
        <v>西青区</v>
      </c>
      <c r="B25" t="str">
        <f>39.139446</f>
        <v>117.012247</v>
      </c>
      <c r="C25" t="str">
        <v>天津市</v>
      </c>
      <c r="D25" t="str">
        <v>117.76556,39.400662</v>
      </c>
    </row>
    <row r="26">
      <c r="A26" t="str">
        <v>津南区</v>
      </c>
      <c r="B26" t="str">
        <f>38.989577</f>
        <v>117.382549</v>
      </c>
      <c r="C26" t="str">
        <v>天津市</v>
      </c>
      <c r="D26" t="str">
        <v>117.76556,39.400662</v>
      </c>
    </row>
    <row r="27">
      <c r="A27" t="str">
        <v>北辰区</v>
      </c>
      <c r="B27" t="str">
        <f>39.225555</f>
        <v>117.13482</v>
      </c>
      <c r="C27" t="str">
        <v>天津市</v>
      </c>
      <c r="D27" t="str">
        <v>117.76556,39.400662</v>
      </c>
    </row>
    <row r="28">
      <c r="A28" t="str">
        <v>武清区</v>
      </c>
      <c r="B28" t="str">
        <f>39.376925</f>
        <v>117.057959</v>
      </c>
      <c r="C28" t="str">
        <v>天津市</v>
      </c>
      <c r="D28" t="str">
        <v>117.76556,39.400662</v>
      </c>
    </row>
    <row r="29">
      <c r="A29" t="str">
        <v>宝坻区</v>
      </c>
      <c r="B29" t="str">
        <f>39.716965</f>
        <v>117.308094</v>
      </c>
      <c r="C29" t="str">
        <v>天津市</v>
      </c>
      <c r="D29" t="str">
        <v>117.76556,39.400662</v>
      </c>
    </row>
    <row r="30">
      <c r="A30" t="str">
        <v>滨海新区</v>
      </c>
      <c r="B30" t="str">
        <f>39.032846</f>
        <v>117.654173</v>
      </c>
      <c r="C30" t="str">
        <v>天津市</v>
      </c>
      <c r="D30" t="str">
        <v>117.76556,39.400662</v>
      </c>
    </row>
    <row r="31">
      <c r="A31" t="str">
        <v>宁河区</v>
      </c>
      <c r="B31" t="str">
        <f>39.328886</f>
        <v>117.82828</v>
      </c>
      <c r="C31" t="str">
        <v>天津市</v>
      </c>
      <c r="D31" t="str">
        <v>117.76556,39.400662</v>
      </c>
    </row>
    <row r="32">
      <c r="A32" t="str">
        <v>静海区</v>
      </c>
      <c r="B32" t="str">
        <f>38.935671</f>
        <v>116.925304</v>
      </c>
      <c r="C32" t="str">
        <v>天津市</v>
      </c>
      <c r="D32" t="str">
        <v>117.76556,39.400662</v>
      </c>
    </row>
    <row r="33">
      <c r="A33" t="str">
        <v>蓟州区</v>
      </c>
      <c r="B33" t="str">
        <f>40.045342</f>
        <v>117.407449</v>
      </c>
      <c r="C33" t="str">
        <v>天津市</v>
      </c>
      <c r="D33" t="str">
        <v>117.76556,39.400662</v>
      </c>
    </row>
    <row r="34">
      <c r="A34" t="str">
        <v>长安区</v>
      </c>
      <c r="B34" t="str">
        <f>38.047501</f>
        <v>114.548151</v>
      </c>
      <c r="C34" t="str">
        <v>河北省</v>
      </c>
      <c r="D34" t="str">
        <v>118.618051,39.032678</v>
      </c>
    </row>
    <row r="35">
      <c r="A35" t="str">
        <v>桥西区</v>
      </c>
      <c r="B35" t="str">
        <f>38.028383</f>
        <v>114.462931</v>
      </c>
      <c r="C35" t="str">
        <v>河北省</v>
      </c>
      <c r="D35" t="str">
        <v>118.618051,39.032678</v>
      </c>
    </row>
    <row r="36">
      <c r="A36" t="str">
        <v>新华区</v>
      </c>
      <c r="B36" t="str">
        <f>38.067142</f>
        <v>114.465974</v>
      </c>
      <c r="C36" t="str">
        <v>河北省</v>
      </c>
      <c r="D36" t="str">
        <v>118.618051,39.032678</v>
      </c>
    </row>
    <row r="37">
      <c r="A37" t="str">
        <v>井陉矿区</v>
      </c>
      <c r="B37" t="str">
        <f>38.069748</f>
        <v>114.058178</v>
      </c>
      <c r="C37" t="str">
        <v>河北省</v>
      </c>
      <c r="D37" t="str">
        <v>118.618051,39.032678</v>
      </c>
    </row>
    <row r="38">
      <c r="A38" t="str">
        <v>裕华区</v>
      </c>
      <c r="B38" t="str">
        <f>38.027696</f>
        <v>114.533257</v>
      </c>
      <c r="C38" t="str">
        <v>河北省</v>
      </c>
      <c r="D38" t="str">
        <v>118.618051,39.032678</v>
      </c>
    </row>
    <row r="39">
      <c r="A39" t="str">
        <v>藁城区</v>
      </c>
      <c r="B39" t="str">
        <f>38.033767</f>
        <v>114.849647</v>
      </c>
      <c r="C39" t="str">
        <v>河北省</v>
      </c>
      <c r="D39" t="str">
        <v>118.618051,39.032678</v>
      </c>
    </row>
    <row r="40">
      <c r="A40" t="str">
        <v>鹿泉区</v>
      </c>
      <c r="B40" t="str">
        <f>38.093994</f>
        <v>114.321023</v>
      </c>
      <c r="C40" t="str">
        <v>河北省</v>
      </c>
      <c r="D40" t="str">
        <v>118.618051,39.032678</v>
      </c>
    </row>
    <row r="41">
      <c r="A41" t="str">
        <v>栾城区</v>
      </c>
      <c r="B41" t="str">
        <f>37.886911</f>
        <v>114.654281</v>
      </c>
      <c r="C41" t="str">
        <v>河北省</v>
      </c>
      <c r="D41" t="str">
        <v>118.618051,39.032678</v>
      </c>
    </row>
    <row r="42">
      <c r="A42" t="str">
        <v>井陉县</v>
      </c>
      <c r="B42" t="str">
        <f>38.033614</f>
        <v>114.144488</v>
      </c>
      <c r="C42" t="str">
        <v>河北省</v>
      </c>
      <c r="D42" t="str">
        <v>118.618051,39.032678</v>
      </c>
    </row>
    <row r="43">
      <c r="A43" t="str">
        <v>正定县</v>
      </c>
      <c r="B43" t="str">
        <f>38.147835</f>
        <v>114.569887</v>
      </c>
      <c r="C43" t="str">
        <v>河北省</v>
      </c>
      <c r="D43" t="str">
        <v>118.618051,39.032678</v>
      </c>
    </row>
    <row r="44">
      <c r="A44" t="str">
        <v>行唐县</v>
      </c>
      <c r="B44" t="str">
        <f>38.437422</f>
        <v>114.552734</v>
      </c>
      <c r="C44" t="str">
        <v>河北省</v>
      </c>
      <c r="D44" t="str">
        <v>118.618051,39.032678</v>
      </c>
    </row>
    <row r="45">
      <c r="A45" t="str">
        <v>灵寿县</v>
      </c>
      <c r="B45" t="str">
        <f>38.306546</f>
        <v>114.37946</v>
      </c>
      <c r="C45" t="str">
        <v>河北省</v>
      </c>
      <c r="D45" t="str">
        <v>118.618051,39.032678</v>
      </c>
    </row>
    <row r="46">
      <c r="A46" t="str">
        <v>高邑县</v>
      </c>
      <c r="B46" t="str">
        <f>37.605714</f>
        <v>114.610699</v>
      </c>
      <c r="C46" t="str">
        <v>河北省</v>
      </c>
      <c r="D46" t="str">
        <v>118.618051,39.032678</v>
      </c>
    </row>
    <row r="47">
      <c r="A47" t="str">
        <v>深泽县</v>
      </c>
      <c r="B47" t="str">
        <f>38.18454</f>
        <v>115.200207</v>
      </c>
      <c r="C47" t="str">
        <v>河北省</v>
      </c>
      <c r="D47" t="str">
        <v>118.618051,39.032678</v>
      </c>
    </row>
    <row r="48">
      <c r="A48" t="str">
        <v>赞皇县</v>
      </c>
      <c r="B48" t="str">
        <f>37.660199</f>
        <v>114.387756</v>
      </c>
      <c r="C48" t="str">
        <v>河北省</v>
      </c>
      <c r="D48" t="str">
        <v>118.618051,39.032678</v>
      </c>
    </row>
    <row r="49">
      <c r="A49" t="str">
        <v>无极县</v>
      </c>
      <c r="B49" t="str">
        <f>38.176376</f>
        <v>114.977845</v>
      </c>
      <c r="C49" t="str">
        <v>河北省</v>
      </c>
      <c r="D49" t="str">
        <v>118.618051,39.032678</v>
      </c>
    </row>
    <row r="50">
      <c r="A50" t="str">
        <v>平山县</v>
      </c>
      <c r="B50" t="str">
        <f>38.259311</f>
        <v>114.184144</v>
      </c>
      <c r="C50" t="str">
        <v>河北省</v>
      </c>
      <c r="D50" t="str">
        <v>118.618051,39.032678</v>
      </c>
    </row>
    <row r="51">
      <c r="A51" t="str">
        <v>元氏县</v>
      </c>
      <c r="B51" t="str">
        <f>37.762514</f>
        <v>114.52618</v>
      </c>
      <c r="C51" t="str">
        <v>河北省</v>
      </c>
      <c r="D51" t="str">
        <v>118.618051,39.032678</v>
      </c>
    </row>
    <row r="52">
      <c r="A52" t="str">
        <v>赵县</v>
      </c>
      <c r="B52" t="str">
        <f>37.754341</f>
        <v>114.775362</v>
      </c>
      <c r="C52" t="str">
        <v>河北省</v>
      </c>
      <c r="D52" t="str">
        <v>118.618051,39.032678</v>
      </c>
    </row>
    <row r="53">
      <c r="A53" t="str">
        <v>辛集市</v>
      </c>
      <c r="B53" t="str">
        <f>37.92904</f>
        <v>115.217451</v>
      </c>
      <c r="C53" t="str">
        <v>河北省</v>
      </c>
      <c r="D53" t="str">
        <v>118.618051,39.032678</v>
      </c>
    </row>
    <row r="54">
      <c r="A54" t="str">
        <v>晋州市</v>
      </c>
      <c r="B54" t="str">
        <f>38.027478</f>
        <v>115.044886</v>
      </c>
      <c r="C54" t="str">
        <v>河北省</v>
      </c>
      <c r="D54" t="str">
        <v>118.618051,39.032678</v>
      </c>
    </row>
    <row r="55">
      <c r="A55" t="str">
        <v>新乐市</v>
      </c>
      <c r="B55" t="str">
        <f>38.344768</f>
        <v>114.68578</v>
      </c>
      <c r="C55" t="str">
        <v>河北省</v>
      </c>
      <c r="D55" t="str">
        <v>118.618051,39.032678</v>
      </c>
    </row>
    <row r="56">
      <c r="A56" t="str">
        <v>路南区</v>
      </c>
      <c r="B56" t="str">
        <f>39.615162</f>
        <v>118.210821</v>
      </c>
      <c r="C56" t="str">
        <v>河北省</v>
      </c>
      <c r="D56" t="str">
        <v>118.618051,39.032678</v>
      </c>
    </row>
    <row r="57">
      <c r="A57" t="str">
        <v>路北区</v>
      </c>
      <c r="B57" t="str">
        <f>39.628538</f>
        <v>118.174736</v>
      </c>
      <c r="C57" t="str">
        <v>河北省</v>
      </c>
      <c r="D57" t="str">
        <v>118.618051,39.032678</v>
      </c>
    </row>
    <row r="58">
      <c r="A58" t="str">
        <v>古冶区</v>
      </c>
      <c r="B58" t="str">
        <f>39.715736</f>
        <v>118.45429</v>
      </c>
      <c r="C58" t="str">
        <v>河北省</v>
      </c>
      <c r="D58" t="str">
        <v>118.618051,39.032678</v>
      </c>
    </row>
    <row r="59">
      <c r="A59" t="str">
        <v>开平区</v>
      </c>
      <c r="B59" t="str">
        <f>39.676171</f>
        <v>118.264425</v>
      </c>
      <c r="C59" t="str">
        <v>河北省</v>
      </c>
      <c r="D59" t="str">
        <v>118.618051,39.032678</v>
      </c>
    </row>
    <row r="60">
      <c r="A60" t="str">
        <v>丰南区</v>
      </c>
      <c r="B60" t="str">
        <f>39.56303</f>
        <v>118.110793</v>
      </c>
      <c r="C60" t="str">
        <v>河北省</v>
      </c>
      <c r="D60" t="str">
        <v>118.618051,39.032678</v>
      </c>
    </row>
    <row r="61">
      <c r="A61" t="str">
        <v>丰润区</v>
      </c>
      <c r="B61" t="str">
        <f>39.831363</f>
        <v>118.155779</v>
      </c>
      <c r="C61" t="str">
        <v>河北省</v>
      </c>
      <c r="D61" t="str">
        <v>118.618051,39.032678</v>
      </c>
    </row>
    <row r="62">
      <c r="A62" t="str">
        <v>曹妃甸区</v>
      </c>
      <c r="B62" t="str">
        <f>39.278277</f>
        <v>118.446585</v>
      </c>
      <c r="C62" t="str">
        <v>河北省</v>
      </c>
      <c r="D62" t="str">
        <v>118.618051,39.032678</v>
      </c>
    </row>
    <row r="63">
      <c r="A63" t="str">
        <v>滦南县</v>
      </c>
      <c r="B63" t="str">
        <f>39.506201</f>
        <v>118.681552</v>
      </c>
      <c r="C63" t="str">
        <v>河北省</v>
      </c>
      <c r="D63" t="str">
        <v>118.618051,39.032678</v>
      </c>
    </row>
    <row r="64">
      <c r="A64" t="str">
        <v>乐亭县</v>
      </c>
      <c r="B64" t="str">
        <f>39.42813</f>
        <v>118.905341</v>
      </c>
      <c r="C64" t="str">
        <v>河北省</v>
      </c>
      <c r="D64" t="str">
        <v>118.618051,39.032678</v>
      </c>
    </row>
    <row r="65">
      <c r="A65" t="str">
        <v>迁西县</v>
      </c>
      <c r="B65" t="str">
        <f>40.146238</f>
        <v>118.305139</v>
      </c>
      <c r="C65" t="str">
        <v>河北省</v>
      </c>
      <c r="D65" t="str">
        <v>118.618051,39.032678</v>
      </c>
    </row>
    <row r="66">
      <c r="A66" t="str">
        <v>玉田县</v>
      </c>
      <c r="B66" t="str">
        <f>39.887323</f>
        <v>117.753665</v>
      </c>
      <c r="C66" t="str">
        <v>河北省</v>
      </c>
      <c r="D66" t="str">
        <v>118.618051,39.032678</v>
      </c>
    </row>
    <row r="67">
      <c r="A67" t="str">
        <v>遵化市</v>
      </c>
      <c r="B67" t="str">
        <f>40.188616</f>
        <v>117.965875</v>
      </c>
      <c r="C67" t="str">
        <v>河北省</v>
      </c>
      <c r="D67" t="str">
        <v>118.618051,39.032678</v>
      </c>
    </row>
    <row r="68">
      <c r="A68" t="str">
        <v>迁安市</v>
      </c>
      <c r="B68" t="str">
        <f>40.012108</f>
        <v>118.701933</v>
      </c>
      <c r="C68" t="str">
        <v>河北省</v>
      </c>
      <c r="D68" t="str">
        <v>118.618051,39.032678</v>
      </c>
    </row>
    <row r="69">
      <c r="A69" t="str">
        <v>滦州市</v>
      </c>
      <c r="B69" t="str">
        <f>39.74485</f>
        <v>118.699546</v>
      </c>
      <c r="C69" t="str">
        <v>河北省</v>
      </c>
      <c r="D69" t="str">
        <v>118.618051,39.032678</v>
      </c>
    </row>
    <row r="70">
      <c r="A70" t="str">
        <v>海港区</v>
      </c>
      <c r="B70" t="str">
        <f>39.943458</f>
        <v>119.596224</v>
      </c>
      <c r="C70" t="str">
        <v>河北省</v>
      </c>
      <c r="D70" t="str">
        <v>118.618051,39.032678</v>
      </c>
    </row>
    <row r="71">
      <c r="A71" t="str">
        <v>山海关区</v>
      </c>
      <c r="B71" t="str">
        <f>39.998023</f>
        <v>119.753591</v>
      </c>
      <c r="C71" t="str">
        <v>河北省</v>
      </c>
      <c r="D71" t="str">
        <v>118.618051,39.032678</v>
      </c>
    </row>
    <row r="72">
      <c r="A72" t="str">
        <v>北戴河区</v>
      </c>
      <c r="B72" t="str">
        <f>39.825121</f>
        <v>119.486286</v>
      </c>
      <c r="C72" t="str">
        <v>河北省</v>
      </c>
      <c r="D72" t="str">
        <v>118.618051,39.032678</v>
      </c>
    </row>
    <row r="73">
      <c r="A73" t="str">
        <v>抚宁区</v>
      </c>
      <c r="B73" t="str">
        <f>39.887053</f>
        <v>119.240651</v>
      </c>
      <c r="C73" t="str">
        <v>河北省</v>
      </c>
      <c r="D73" t="str">
        <v>118.618051,39.032678</v>
      </c>
    </row>
    <row r="74">
      <c r="A74" t="str">
        <v>青龙满族自治县</v>
      </c>
      <c r="B74" t="str">
        <f>40.406023</f>
        <v>118.954555</v>
      </c>
      <c r="C74" t="str">
        <v>河北省</v>
      </c>
      <c r="D74" t="str">
        <v>118.618051,39.032678</v>
      </c>
    </row>
    <row r="75">
      <c r="A75" t="str">
        <v>昌黎县</v>
      </c>
      <c r="B75" t="str">
        <f>39.709729</f>
        <v>119.164541</v>
      </c>
      <c r="C75" t="str">
        <v>河北省</v>
      </c>
      <c r="D75" t="str">
        <v>118.618051,39.032678</v>
      </c>
    </row>
    <row r="76">
      <c r="A76" t="str">
        <v>卢龙县</v>
      </c>
      <c r="B76" t="str">
        <f>39.891639</f>
        <v>118.881809</v>
      </c>
      <c r="C76" t="str">
        <v>河北省</v>
      </c>
      <c r="D76" t="str">
        <v>118.618051,39.032678</v>
      </c>
    </row>
    <row r="77">
      <c r="A77" t="str">
        <v>邯山区</v>
      </c>
      <c r="B77" t="str">
        <f>36.603196</f>
        <v>114.484989</v>
      </c>
      <c r="C77" t="str">
        <v>河北省</v>
      </c>
      <c r="D77" t="str">
        <v>118.618051,39.032678</v>
      </c>
    </row>
    <row r="78">
      <c r="A78" t="str">
        <v>丛台区</v>
      </c>
      <c r="B78" t="str">
        <f>36.611082</f>
        <v>114.494703</v>
      </c>
      <c r="C78" t="str">
        <v>河北省</v>
      </c>
      <c r="D78" t="str">
        <v>118.618051,39.032678</v>
      </c>
    </row>
    <row r="79">
      <c r="A79" t="str">
        <v>复兴区</v>
      </c>
      <c r="B79" t="str">
        <f>36.615484</f>
        <v>114.458242</v>
      </c>
      <c r="C79" t="str">
        <v>河北省</v>
      </c>
      <c r="D79" t="str">
        <v>118.618051,39.032678</v>
      </c>
    </row>
    <row r="80">
      <c r="A80" t="str">
        <v>峰峰矿区</v>
      </c>
      <c r="B80" t="str">
        <f>36.420487</f>
        <v>114.209936</v>
      </c>
      <c r="C80" t="str">
        <v>河北省</v>
      </c>
      <c r="D80" t="str">
        <v>118.618051,39.032678</v>
      </c>
    </row>
    <row r="81">
      <c r="A81" t="str">
        <v>肥乡区</v>
      </c>
      <c r="B81" t="str">
        <f>36.555778</f>
        <v>114.805154</v>
      </c>
      <c r="C81" t="str">
        <v>河北省</v>
      </c>
      <c r="D81" t="str">
        <v>118.618051,39.032678</v>
      </c>
    </row>
    <row r="82">
      <c r="A82" t="str">
        <v>永年区</v>
      </c>
      <c r="B82" t="str">
        <f>36.776413</f>
        <v>114.496162</v>
      </c>
      <c r="C82" t="str">
        <v>河北省</v>
      </c>
      <c r="D82" t="str">
        <v>118.618051,39.032678</v>
      </c>
    </row>
    <row r="83">
      <c r="A83" t="str">
        <v>临漳县</v>
      </c>
      <c r="B83" t="str">
        <f>36.337604</f>
        <v>114.610703</v>
      </c>
      <c r="C83" t="str">
        <v>河北省</v>
      </c>
      <c r="D83" t="str">
        <v>118.618051,39.032678</v>
      </c>
    </row>
    <row r="84">
      <c r="A84" t="str">
        <v>成安县</v>
      </c>
      <c r="B84" t="str">
        <f>36.443832</f>
        <v>114.680356</v>
      </c>
      <c r="C84" t="str">
        <v>河北省</v>
      </c>
      <c r="D84" t="str">
        <v>118.618051,39.032678</v>
      </c>
    </row>
    <row r="85">
      <c r="A85" t="str">
        <v>大名县</v>
      </c>
      <c r="B85" t="str">
        <f>36.283316</f>
        <v>115.152586</v>
      </c>
      <c r="C85" t="str">
        <v>河北省</v>
      </c>
      <c r="D85" t="str">
        <v>118.618051,39.032678</v>
      </c>
    </row>
    <row r="86">
      <c r="A86" t="str">
        <v>涉县</v>
      </c>
      <c r="B86" t="str">
        <f>36.563143</f>
        <v>113.673297</v>
      </c>
      <c r="C86" t="str">
        <v>河北省</v>
      </c>
      <c r="D86" t="str">
        <v>118.618051,39.032678</v>
      </c>
    </row>
    <row r="87">
      <c r="A87" t="str">
        <v>磁县</v>
      </c>
      <c r="B87" t="str">
        <f>36.367673</f>
        <v>114.38208</v>
      </c>
      <c r="C87" t="str">
        <v>河北省</v>
      </c>
      <c r="D87" t="str">
        <v>118.618051,39.032678</v>
      </c>
    </row>
    <row r="88">
      <c r="A88" t="str">
        <v>邱县</v>
      </c>
      <c r="B88" t="str">
        <f>36.81325</f>
        <v>115.168584</v>
      </c>
      <c r="C88" t="str">
        <v>河北省</v>
      </c>
      <c r="D88" t="str">
        <v>118.618051,39.032678</v>
      </c>
    </row>
    <row r="89">
      <c r="A89" t="str">
        <v>鸡泽县</v>
      </c>
      <c r="B89" t="str">
        <f>36.914908</f>
        <v>114.878517</v>
      </c>
      <c r="C89" t="str">
        <v>河北省</v>
      </c>
      <c r="D89" t="str">
        <v>118.618051,39.032678</v>
      </c>
    </row>
    <row r="90">
      <c r="A90" t="str">
        <v>广平县</v>
      </c>
      <c r="B90" t="str">
        <f>36.483603</f>
        <v>114.950859</v>
      </c>
      <c r="C90" t="str">
        <v>河北省</v>
      </c>
      <c r="D90" t="str">
        <v>118.618051,39.032678</v>
      </c>
    </row>
    <row r="91">
      <c r="A91" t="str">
        <v>馆陶县</v>
      </c>
      <c r="B91" t="str">
        <f>36.539461</f>
        <v>115.289057</v>
      </c>
      <c r="C91" t="str">
        <v>河北省</v>
      </c>
      <c r="D91" t="str">
        <v>118.618051,39.032678</v>
      </c>
    </row>
    <row r="92">
      <c r="A92" t="str">
        <v>魏县</v>
      </c>
      <c r="B92" t="str">
        <f>36.354248</f>
        <v>114.93411</v>
      </c>
      <c r="C92" t="str">
        <v>河北省</v>
      </c>
      <c r="D92" t="str">
        <v>118.618051,39.032678</v>
      </c>
    </row>
    <row r="93">
      <c r="A93" t="str">
        <v>曲周县</v>
      </c>
      <c r="B93" t="str">
        <f>36.773398</f>
        <v>114.957588</v>
      </c>
      <c r="C93" t="str">
        <v>河北省</v>
      </c>
      <c r="D93" t="str">
        <v>118.618051,39.032678</v>
      </c>
    </row>
    <row r="94">
      <c r="A94" t="str">
        <v>武安市</v>
      </c>
      <c r="B94" t="str">
        <f>36.696115</f>
        <v>114.194581</v>
      </c>
      <c r="C94" t="str">
        <v>河北省</v>
      </c>
      <c r="D94" t="str">
        <v>118.618051,39.032678</v>
      </c>
    </row>
    <row r="95">
      <c r="A95" t="str">
        <v>襄都区</v>
      </c>
      <c r="B95" t="str">
        <f>37.064125</f>
        <v>114.507131</v>
      </c>
      <c r="C95" t="str">
        <v>河北省</v>
      </c>
      <c r="D95" t="str">
        <v>118.618051,39.032678</v>
      </c>
    </row>
    <row r="96">
      <c r="A96" t="str">
        <v>信都区</v>
      </c>
      <c r="B96" t="str">
        <f>37.068009</f>
        <v>114.473687</v>
      </c>
      <c r="C96" t="str">
        <v>河北省</v>
      </c>
      <c r="D96" t="str">
        <v>118.618051,39.032678</v>
      </c>
    </row>
    <row r="97">
      <c r="A97" t="str">
        <v>任泽区</v>
      </c>
      <c r="B97" t="str">
        <f>37.129952</f>
        <v>114.684469</v>
      </c>
      <c r="C97" t="str">
        <v>河北省</v>
      </c>
      <c r="D97" t="str">
        <v>118.618051,39.032678</v>
      </c>
    </row>
    <row r="98">
      <c r="A98" t="str">
        <v>南和区</v>
      </c>
      <c r="B98" t="str">
        <f>37.003812</f>
        <v>114.691377</v>
      </c>
      <c r="C98" t="str">
        <v>河北省</v>
      </c>
      <c r="D98" t="str">
        <v>118.618051,39.032678</v>
      </c>
    </row>
    <row r="99">
      <c r="A99" t="str">
        <v>临城县</v>
      </c>
      <c r="B99" t="str">
        <f>37.444009</f>
        <v>114.506873</v>
      </c>
      <c r="C99" t="str">
        <v>河北省</v>
      </c>
      <c r="D99" t="str">
        <v>118.618051,39.032678</v>
      </c>
    </row>
    <row r="100">
      <c r="A100" t="str">
        <v>内丘县</v>
      </c>
      <c r="B100" t="str">
        <f>37.287663</f>
        <v>114.511523</v>
      </c>
      <c r="C100" t="str">
        <v>河北省</v>
      </c>
      <c r="D100" t="str">
        <v>118.618051,39.032678</v>
      </c>
    </row>
    <row r="101">
      <c r="A101" t="str">
        <v>柏乡县</v>
      </c>
      <c r="B101" t="str">
        <f>37.483596</f>
        <v>114.693382</v>
      </c>
      <c r="C101" t="str">
        <v>河北省</v>
      </c>
      <c r="D101" t="str">
        <v>118.618051,39.032678</v>
      </c>
    </row>
    <row r="102">
      <c r="A102" t="str">
        <v>隆尧县</v>
      </c>
      <c r="B102" t="str">
        <f>37.350925</f>
        <v>114.776348</v>
      </c>
      <c r="C102" t="str">
        <v>河北省</v>
      </c>
      <c r="D102" t="str">
        <v>118.618051,39.032678</v>
      </c>
    </row>
    <row r="103">
      <c r="A103" t="str">
        <v>宁晋县</v>
      </c>
      <c r="B103" t="str">
        <f>37.618956</f>
        <v>114.921027</v>
      </c>
      <c r="C103" t="str">
        <v>河北省</v>
      </c>
      <c r="D103" t="str">
        <v>118.618051,39.032678</v>
      </c>
    </row>
    <row r="104">
      <c r="A104" t="str">
        <v>巨鹿县</v>
      </c>
      <c r="B104" t="str">
        <f>37.21768</f>
        <v>115.038782</v>
      </c>
      <c r="C104" t="str">
        <v>河北省</v>
      </c>
      <c r="D104" t="str">
        <v>118.618051,39.032678</v>
      </c>
    </row>
    <row r="105">
      <c r="A105" t="str">
        <v>新河县</v>
      </c>
      <c r="B105" t="str">
        <f>37.526216</f>
        <v>115.247537</v>
      </c>
      <c r="C105" t="str">
        <v>河北省</v>
      </c>
      <c r="D105" t="str">
        <v>118.618051,39.032678</v>
      </c>
    </row>
    <row r="106">
      <c r="A106" t="str">
        <v>广宗县</v>
      </c>
      <c r="B106" t="str">
        <f>37.075548</f>
        <v>115.142797</v>
      </c>
      <c r="C106" t="str">
        <v>河北省</v>
      </c>
      <c r="D106" t="str">
        <v>118.618051,39.032678</v>
      </c>
    </row>
    <row r="107">
      <c r="A107" t="str">
        <v>平乡县</v>
      </c>
      <c r="B107" t="str">
        <f>37.069404</f>
        <v>115.029218</v>
      </c>
      <c r="C107" t="str">
        <v>河北省</v>
      </c>
      <c r="D107" t="str">
        <v>118.618051,39.032678</v>
      </c>
    </row>
    <row r="108">
      <c r="A108" t="str">
        <v>威县</v>
      </c>
      <c r="B108" t="str">
        <f>36.983272</f>
        <v>115.272749</v>
      </c>
      <c r="C108" t="str">
        <v>河北省</v>
      </c>
      <c r="D108" t="str">
        <v>118.618051,39.032678</v>
      </c>
    </row>
    <row r="109">
      <c r="A109" t="str">
        <v>清河县</v>
      </c>
      <c r="B109" t="str">
        <f>37.059991</f>
        <v>115.668999</v>
      </c>
      <c r="C109" t="str">
        <v>河北省</v>
      </c>
      <c r="D109" t="str">
        <v>118.618051,39.032678</v>
      </c>
    </row>
    <row r="110">
      <c r="A110" t="str">
        <v>临西县</v>
      </c>
      <c r="B110" t="str">
        <f>36.8642</f>
        <v>115.498684</v>
      </c>
      <c r="C110" t="str">
        <v>河北省</v>
      </c>
      <c r="D110" t="str">
        <v>118.618051,39.032678</v>
      </c>
    </row>
    <row r="111">
      <c r="A111" t="str">
        <v>南宫市</v>
      </c>
      <c r="B111" t="str">
        <f>37.359668</f>
        <v>115.398102</v>
      </c>
      <c r="C111" t="str">
        <v>河北省</v>
      </c>
      <c r="D111" t="str">
        <v>118.618051,39.032678</v>
      </c>
    </row>
    <row r="112">
      <c r="A112" t="str">
        <v>沙河市</v>
      </c>
      <c r="B112" t="str">
        <f>36.861903</f>
        <v>114.504902</v>
      </c>
      <c r="C112" t="str">
        <v>河北省</v>
      </c>
      <c r="D112" t="str">
        <v>118.618051,39.032678</v>
      </c>
    </row>
    <row r="113">
      <c r="A113" t="str">
        <v>竞秀区</v>
      </c>
      <c r="B113" t="str">
        <f>38.88662</f>
        <v>115.470659</v>
      </c>
      <c r="C113" t="str">
        <v>河北省</v>
      </c>
      <c r="D113" t="str">
        <v>118.618051,39.032678</v>
      </c>
    </row>
    <row r="114">
      <c r="A114" t="str">
        <v>莲池区</v>
      </c>
      <c r="B114" t="str">
        <f>38.865005</f>
        <v>115.500934</v>
      </c>
      <c r="C114" t="str">
        <v>河北省</v>
      </c>
      <c r="D114" t="str">
        <v>118.618051,39.032678</v>
      </c>
    </row>
    <row r="115">
      <c r="A115" t="str">
        <v>满城区</v>
      </c>
      <c r="B115" t="str">
        <f>38.95138</f>
        <v>115.32442</v>
      </c>
      <c r="C115" t="str">
        <v>河北省</v>
      </c>
      <c r="D115" t="str">
        <v>118.618051,39.032678</v>
      </c>
    </row>
    <row r="116">
      <c r="A116" t="str">
        <v>清苑区</v>
      </c>
      <c r="B116" t="str">
        <f>38.771012</f>
        <v>115.492221</v>
      </c>
      <c r="C116" t="str">
        <v>河北省</v>
      </c>
      <c r="D116" t="str">
        <v>118.618051,39.032678</v>
      </c>
    </row>
    <row r="117">
      <c r="A117" t="str">
        <v>徐水区</v>
      </c>
      <c r="B117" t="str">
        <f>39.020395</f>
        <v>115.64941</v>
      </c>
      <c r="C117" t="str">
        <v>河北省</v>
      </c>
      <c r="D117" t="str">
        <v>118.618051,39.032678</v>
      </c>
    </row>
    <row r="118">
      <c r="A118" t="str">
        <v>涞水县</v>
      </c>
      <c r="B118" t="str">
        <f>39.393148</f>
        <v>115.711985</v>
      </c>
      <c r="C118" t="str">
        <v>河北省</v>
      </c>
      <c r="D118" t="str">
        <v>118.618051,39.032678</v>
      </c>
    </row>
    <row r="119">
      <c r="A119" t="str">
        <v>阜平县</v>
      </c>
      <c r="B119" t="str">
        <f>38.847276</f>
        <v>114.198801</v>
      </c>
      <c r="C119" t="str">
        <v>河北省</v>
      </c>
      <c r="D119" t="str">
        <v>118.618051,39.032678</v>
      </c>
    </row>
    <row r="120">
      <c r="A120" t="str">
        <v>定兴县</v>
      </c>
      <c r="B120" t="str">
        <f>39.266195</f>
        <v>115.796895</v>
      </c>
      <c r="C120" t="str">
        <v>河北省</v>
      </c>
      <c r="D120" t="str">
        <v>118.618051,39.032678</v>
      </c>
    </row>
    <row r="121">
      <c r="A121" t="str">
        <v>唐县</v>
      </c>
      <c r="B121" t="str">
        <f>38.748542</f>
        <v>114.981241</v>
      </c>
      <c r="C121" t="str">
        <v>河北省</v>
      </c>
      <c r="D121" t="str">
        <v>118.618051,39.032678</v>
      </c>
    </row>
    <row r="122">
      <c r="A122" t="str">
        <v>高阳县</v>
      </c>
      <c r="B122" t="str">
        <f>38.690092</f>
        <v>115.778878</v>
      </c>
      <c r="C122" t="str">
        <v>河北省</v>
      </c>
      <c r="D122" t="str">
        <v>118.618051,39.032678</v>
      </c>
    </row>
    <row r="123">
      <c r="A123" t="str">
        <v>容城县</v>
      </c>
      <c r="B123" t="str">
        <f>39.05282</f>
        <v>115.866247</v>
      </c>
      <c r="C123" t="str">
        <v>河北省</v>
      </c>
      <c r="D123" t="str">
        <v>118.618051,39.032678</v>
      </c>
    </row>
    <row r="124">
      <c r="A124" t="str">
        <v>涞源县</v>
      </c>
      <c r="B124" t="str">
        <f>39.35755</f>
        <v>114.692567</v>
      </c>
      <c r="C124" t="str">
        <v>河北省</v>
      </c>
      <c r="D124" t="str">
        <v>118.618051,39.032678</v>
      </c>
    </row>
    <row r="125">
      <c r="A125" t="str">
        <v>望都县</v>
      </c>
      <c r="B125" t="str">
        <f>38.707448</f>
        <v>115.154009</v>
      </c>
      <c r="C125" t="str">
        <v>河北省</v>
      </c>
      <c r="D125" t="str">
        <v>118.618051,39.032678</v>
      </c>
    </row>
    <row r="126">
      <c r="A126" t="str">
        <v>安新县</v>
      </c>
      <c r="B126" t="str">
        <f>38.929912</f>
        <v>115.931979</v>
      </c>
      <c r="C126" t="str">
        <v>河北省</v>
      </c>
      <c r="D126" t="str">
        <v>118.618051,39.032678</v>
      </c>
    </row>
    <row r="127">
      <c r="A127" t="str">
        <v>易县</v>
      </c>
      <c r="B127" t="str">
        <f>39.35297</f>
        <v>115.501146</v>
      </c>
      <c r="C127" t="str">
        <v>河北省</v>
      </c>
      <c r="D127" t="str">
        <v>118.618051,39.032678</v>
      </c>
    </row>
    <row r="128">
      <c r="A128" t="str">
        <v>曲阳县</v>
      </c>
      <c r="B128" t="str">
        <f>38.619992</f>
        <v>114.704055</v>
      </c>
      <c r="C128" t="str">
        <v>河北省</v>
      </c>
      <c r="D128" t="str">
        <v>118.618051,39.032678</v>
      </c>
    </row>
    <row r="129">
      <c r="A129" t="str">
        <v>蠡县</v>
      </c>
      <c r="B129" t="str">
        <f>38.496429</f>
        <v>115.583631</v>
      </c>
      <c r="C129" t="str">
        <v>河北省</v>
      </c>
      <c r="D129" t="str">
        <v>118.618051,39.032678</v>
      </c>
    </row>
    <row r="130">
      <c r="A130" t="str">
        <v>顺平县</v>
      </c>
      <c r="B130" t="str">
        <f>38.845127</f>
        <v>115.132749</v>
      </c>
      <c r="C130" t="str">
        <v>河北省</v>
      </c>
      <c r="D130" t="str">
        <v>118.618051,39.032678</v>
      </c>
    </row>
    <row r="131">
      <c r="A131" t="str">
        <v>博野县</v>
      </c>
      <c r="B131" t="str">
        <f>38.458271</f>
        <v>115.461798</v>
      </c>
      <c r="C131" t="str">
        <v>河北省</v>
      </c>
      <c r="D131" t="str">
        <v>118.618051,39.032678</v>
      </c>
    </row>
    <row r="132">
      <c r="A132" t="str">
        <v>雄县</v>
      </c>
      <c r="B132" t="str">
        <f>38.990819</f>
        <v>116.107474</v>
      </c>
      <c r="C132" t="str">
        <v>河北省</v>
      </c>
      <c r="D132" t="str">
        <v>118.618051,39.032678</v>
      </c>
    </row>
    <row r="133">
      <c r="A133" t="str">
        <v>涿州市</v>
      </c>
      <c r="B133" t="str">
        <f>39.485765</f>
        <v>115.973409</v>
      </c>
      <c r="C133" t="str">
        <v>河北省</v>
      </c>
      <c r="D133" t="str">
        <v>118.618051,39.032678</v>
      </c>
    </row>
    <row r="134">
      <c r="A134" t="str">
        <v>定州市</v>
      </c>
      <c r="B134" t="str">
        <f>38.517602</f>
        <v>114.991389</v>
      </c>
      <c r="C134" t="str">
        <v>河北省</v>
      </c>
      <c r="D134" t="str">
        <v>118.618051,39.032678</v>
      </c>
    </row>
    <row r="135">
      <c r="A135" t="str">
        <v>安国市</v>
      </c>
      <c r="B135" t="str">
        <f>38.421367</f>
        <v>115.33141</v>
      </c>
      <c r="C135" t="str">
        <v>河北省</v>
      </c>
      <c r="D135" t="str">
        <v>118.618051,39.032678</v>
      </c>
    </row>
    <row r="136">
      <c r="A136" t="str">
        <v>高碑店市</v>
      </c>
      <c r="B136" t="str">
        <f>39.327689</f>
        <v>115.882704</v>
      </c>
      <c r="C136" t="str">
        <v>河北省</v>
      </c>
      <c r="D136" t="str">
        <v>118.618051,39.032678</v>
      </c>
    </row>
    <row r="137">
      <c r="A137" t="str">
        <v>桥东区</v>
      </c>
      <c r="B137" t="str">
        <f>40.813875</f>
        <v>114.885658</v>
      </c>
      <c r="C137" t="str">
        <v>河北省</v>
      </c>
      <c r="D137" t="str">
        <v>118.618051,39.032678</v>
      </c>
    </row>
    <row r="138">
      <c r="A138" t="str">
        <v>桥西区</v>
      </c>
      <c r="B138" t="str">
        <f>40.824385</f>
        <v>114.882127</v>
      </c>
      <c r="C138" t="str">
        <v>河北省</v>
      </c>
      <c r="D138" t="str">
        <v>118.618051,39.032678</v>
      </c>
    </row>
    <row r="139">
      <c r="A139" t="str">
        <v>宣化区</v>
      </c>
      <c r="B139" t="str">
        <f>40.609368</f>
        <v>115.0632</v>
      </c>
      <c r="C139" t="str">
        <v>河北省</v>
      </c>
      <c r="D139" t="str">
        <v>118.618051,39.032678</v>
      </c>
    </row>
    <row r="140">
      <c r="A140" t="str">
        <v>下花园区</v>
      </c>
      <c r="B140" t="str">
        <f>40.488645</f>
        <v>115.281002</v>
      </c>
      <c r="C140" t="str">
        <v>河北省</v>
      </c>
      <c r="D140" t="str">
        <v>118.618051,39.032678</v>
      </c>
    </row>
    <row r="141">
      <c r="A141" t="str">
        <v>万全区</v>
      </c>
      <c r="B141" t="str">
        <f>40.765136</f>
        <v>114.736131</v>
      </c>
      <c r="C141" t="str">
        <v>河北省</v>
      </c>
      <c r="D141" t="str">
        <v>118.618051,39.032678</v>
      </c>
    </row>
    <row r="142">
      <c r="A142" t="str">
        <v>崇礼区</v>
      </c>
      <c r="B142" t="str">
        <f>40.971302</f>
        <v>115.281652</v>
      </c>
      <c r="C142" t="str">
        <v>河北省</v>
      </c>
      <c r="D142" t="str">
        <v>118.618051,39.032678</v>
      </c>
    </row>
    <row r="143">
      <c r="A143" t="str">
        <v>张北县</v>
      </c>
      <c r="B143" t="str">
        <f>41.151713</f>
        <v>114.715951</v>
      </c>
      <c r="C143" t="str">
        <v>河北省</v>
      </c>
      <c r="D143" t="str">
        <v>118.618051,39.032678</v>
      </c>
    </row>
    <row r="144">
      <c r="A144" t="str">
        <v>康保县</v>
      </c>
      <c r="B144" t="str">
        <f>41.850046</f>
        <v>114.615809</v>
      </c>
      <c r="C144" t="str">
        <v>河北省</v>
      </c>
      <c r="D144" t="str">
        <v>118.618051,39.032678</v>
      </c>
    </row>
    <row r="145">
      <c r="A145" t="str">
        <v>沽源县</v>
      </c>
      <c r="B145" t="str">
        <f>41.667419</f>
        <v>115.684836</v>
      </c>
      <c r="C145" t="str">
        <v>河北省</v>
      </c>
      <c r="D145" t="str">
        <v>118.618051,39.032678</v>
      </c>
    </row>
    <row r="146">
      <c r="A146" t="str">
        <v>尚义县</v>
      </c>
      <c r="B146" t="str">
        <f>41.080091</f>
        <v>113.977713</v>
      </c>
      <c r="C146" t="str">
        <v>河北省</v>
      </c>
      <c r="D146" t="str">
        <v>118.618051,39.032678</v>
      </c>
    </row>
    <row r="147">
      <c r="A147" t="str">
        <v>蔚县</v>
      </c>
      <c r="B147" t="str">
        <f>39.837181</f>
        <v>114.582695</v>
      </c>
      <c r="C147" t="str">
        <v>河北省</v>
      </c>
      <c r="D147" t="str">
        <v>118.618051,39.032678</v>
      </c>
    </row>
    <row r="148">
      <c r="A148" t="str">
        <v>阳原县</v>
      </c>
      <c r="B148" t="str">
        <f>40.113419</f>
        <v>114.167343</v>
      </c>
      <c r="C148" t="str">
        <v>河北省</v>
      </c>
      <c r="D148" t="str">
        <v>118.618051,39.032678</v>
      </c>
    </row>
    <row r="149">
      <c r="A149" t="str">
        <v>怀安县</v>
      </c>
      <c r="B149" t="str">
        <f>40.671274</f>
        <v>114.422364</v>
      </c>
      <c r="C149" t="str">
        <v>河北省</v>
      </c>
      <c r="D149" t="str">
        <v>118.618051,39.032678</v>
      </c>
    </row>
    <row r="150">
      <c r="A150" t="str">
        <v>怀来县</v>
      </c>
      <c r="B150" t="str">
        <f>40.405405</f>
        <v>115.520846</v>
      </c>
      <c r="C150" t="str">
        <v>河北省</v>
      </c>
      <c r="D150" t="str">
        <v>118.618051,39.032678</v>
      </c>
    </row>
    <row r="151">
      <c r="A151" t="str">
        <v>涿鹿县</v>
      </c>
      <c r="B151" t="str">
        <f>40.378701</f>
        <v>115.219246</v>
      </c>
      <c r="C151" t="str">
        <v>河北省</v>
      </c>
      <c r="D151" t="str">
        <v>118.618051,39.032678</v>
      </c>
    </row>
    <row r="152">
      <c r="A152" t="str">
        <v>赤城县</v>
      </c>
      <c r="B152" t="str">
        <f>40.912081</f>
        <v>115.832708</v>
      </c>
      <c r="C152" t="str">
        <v>河北省</v>
      </c>
      <c r="D152" t="str">
        <v>118.618051,39.032678</v>
      </c>
    </row>
    <row r="153">
      <c r="A153" t="str">
        <v>双桥区</v>
      </c>
      <c r="B153" t="str">
        <f>40.976204</f>
        <v>117.939152</v>
      </c>
      <c r="C153" t="str">
        <v>河北省</v>
      </c>
      <c r="D153" t="str">
        <v>118.618051,39.032678</v>
      </c>
    </row>
    <row r="154">
      <c r="A154" t="str">
        <v>双滦区</v>
      </c>
      <c r="B154" t="str">
        <f>40.959756</f>
        <v>117.797485</v>
      </c>
      <c r="C154" t="str">
        <v>河北省</v>
      </c>
      <c r="D154" t="str">
        <v>118.618051,39.032678</v>
      </c>
    </row>
    <row r="155">
      <c r="A155" t="str">
        <v>鹰手营子矿区</v>
      </c>
      <c r="B155" t="str">
        <f>40.546956</f>
        <v>117.661154</v>
      </c>
      <c r="C155" t="str">
        <v>河北省</v>
      </c>
      <c r="D155" t="str">
        <v>118.618051,39.032678</v>
      </c>
    </row>
    <row r="156">
      <c r="A156" t="str">
        <v>承德县</v>
      </c>
      <c r="B156" t="str">
        <f>40.768637</f>
        <v>118.172496</v>
      </c>
      <c r="C156" t="str">
        <v>河北省</v>
      </c>
      <c r="D156" t="str">
        <v>118.618051,39.032678</v>
      </c>
    </row>
    <row r="157">
      <c r="A157" t="str">
        <v>兴隆县</v>
      </c>
      <c r="B157" t="str">
        <f>40.418525</f>
        <v>117.507098</v>
      </c>
      <c r="C157" t="str">
        <v>河北省</v>
      </c>
      <c r="D157" t="str">
        <v>118.618051,39.032678</v>
      </c>
    </row>
    <row r="158">
      <c r="A158" t="str">
        <v>滦平县</v>
      </c>
      <c r="B158" t="str">
        <f>40.936644</f>
        <v>117.337124</v>
      </c>
      <c r="C158" t="str">
        <v>河北省</v>
      </c>
      <c r="D158" t="str">
        <v>118.618051,39.032678</v>
      </c>
    </row>
    <row r="159">
      <c r="A159" t="str">
        <v>隆化县</v>
      </c>
      <c r="B159" t="str">
        <f>41.316667</f>
        <v>117.736343</v>
      </c>
      <c r="C159" t="str">
        <v>河北省</v>
      </c>
      <c r="D159" t="str">
        <v>118.618051,39.032678</v>
      </c>
    </row>
    <row r="160">
      <c r="A160" t="str">
        <v>丰宁满族自治县</v>
      </c>
      <c r="B160" t="str">
        <f>41.209903</f>
        <v>116.65121</v>
      </c>
      <c r="C160" t="str">
        <v>河北省</v>
      </c>
      <c r="D160" t="str">
        <v>118.618051,39.032678</v>
      </c>
    </row>
    <row r="161">
      <c r="A161" t="str">
        <v>宽城满族自治县</v>
      </c>
      <c r="B161" t="str">
        <f>40.607981</f>
        <v>118.488642</v>
      </c>
      <c r="C161" t="str">
        <v>河北省</v>
      </c>
      <c r="D161" t="str">
        <v>118.618051,39.032678</v>
      </c>
    </row>
    <row r="162">
      <c r="A162" t="str">
        <v>围场满族蒙古族自治县</v>
      </c>
      <c r="B162" t="str">
        <f>41.949404</f>
        <v>117.764086</v>
      </c>
      <c r="C162" t="str">
        <v>河北省</v>
      </c>
      <c r="D162" t="str">
        <v>118.618051,39.032678</v>
      </c>
    </row>
    <row r="163">
      <c r="A163" t="str">
        <v>平泉市</v>
      </c>
      <c r="B163" t="str">
        <f>41.00561</f>
        <v>118.690238</v>
      </c>
      <c r="C163" t="str">
        <v>河北省</v>
      </c>
      <c r="D163" t="str">
        <v>118.618051,39.032678</v>
      </c>
    </row>
    <row r="164">
      <c r="A164" t="str">
        <v>新华区</v>
      </c>
      <c r="B164" t="str">
        <f>38.308273</f>
        <v>116.873049</v>
      </c>
      <c r="C164" t="str">
        <v>河北省</v>
      </c>
      <c r="D164" t="str">
        <v>118.618051,39.032678</v>
      </c>
    </row>
    <row r="165">
      <c r="A165" t="str">
        <v>运河区</v>
      </c>
      <c r="B165" t="str">
        <f>38.307405</f>
        <v>116.840063</v>
      </c>
      <c r="C165" t="str">
        <v>河北省</v>
      </c>
      <c r="D165" t="str">
        <v>118.618051,39.032678</v>
      </c>
    </row>
    <row r="166">
      <c r="A166" t="str">
        <v>沧县</v>
      </c>
      <c r="B166" t="str">
        <f>38.219856</f>
        <v>117.007478</v>
      </c>
      <c r="C166" t="str">
        <v>河北省</v>
      </c>
      <c r="D166" t="str">
        <v>118.618051,39.032678</v>
      </c>
    </row>
    <row r="167">
      <c r="A167" t="str">
        <v>青县</v>
      </c>
      <c r="B167" t="str">
        <f>38.569646</f>
        <v>116.838384</v>
      </c>
      <c r="C167" t="str">
        <v>河北省</v>
      </c>
      <c r="D167" t="str">
        <v>118.618051,39.032678</v>
      </c>
    </row>
    <row r="168">
      <c r="A168" t="str">
        <v>东光县</v>
      </c>
      <c r="B168" t="str">
        <f>37.88655</f>
        <v>116.542062</v>
      </c>
      <c r="C168" t="str">
        <v>河北省</v>
      </c>
      <c r="D168" t="str">
        <v>118.618051,39.032678</v>
      </c>
    </row>
    <row r="169">
      <c r="A169" t="str">
        <v>海兴县</v>
      </c>
      <c r="B169" t="str">
        <f>38.141582</f>
        <v>117.496606</v>
      </c>
      <c r="C169" t="str">
        <v>河北省</v>
      </c>
      <c r="D169" t="str">
        <v>118.618051,39.032678</v>
      </c>
    </row>
    <row r="170">
      <c r="A170" t="str">
        <v>盐山县</v>
      </c>
      <c r="B170" t="str">
        <f>38.056141</f>
        <v>117.229814</v>
      </c>
      <c r="C170" t="str">
        <v>河北省</v>
      </c>
      <c r="D170" t="str">
        <v>118.618051,39.032678</v>
      </c>
    </row>
    <row r="171">
      <c r="A171" t="str">
        <v>肃宁县</v>
      </c>
      <c r="B171" t="str">
        <f>38.427102</f>
        <v>115.835856</v>
      </c>
      <c r="C171" t="str">
        <v>河北省</v>
      </c>
      <c r="D171" t="str">
        <v>118.618051,39.032678</v>
      </c>
    </row>
    <row r="172">
      <c r="A172" t="str">
        <v>南皮县</v>
      </c>
      <c r="B172" t="str">
        <f>38.042439</f>
        <v>116.709171</v>
      </c>
      <c r="C172" t="str">
        <v>河北省</v>
      </c>
      <c r="D172" t="str">
        <v>118.618051,39.032678</v>
      </c>
    </row>
    <row r="173">
      <c r="A173" t="str">
        <v>吴桥县</v>
      </c>
      <c r="B173" t="str">
        <f>37.628182</f>
        <v>116.391512</v>
      </c>
      <c r="C173" t="str">
        <v>河北省</v>
      </c>
      <c r="D173" t="str">
        <v>118.618051,39.032678</v>
      </c>
    </row>
    <row r="174">
      <c r="A174" t="str">
        <v>献县</v>
      </c>
      <c r="B174" t="str">
        <f>38.189661</f>
        <v>116.123844</v>
      </c>
      <c r="C174" t="str">
        <v>河北省</v>
      </c>
      <c r="D174" t="str">
        <v>118.618051,39.032678</v>
      </c>
    </row>
    <row r="175">
      <c r="A175" t="str">
        <v>孟村回族自治县</v>
      </c>
      <c r="B175" t="str">
        <f>38.057953</f>
        <v>117.105104</v>
      </c>
      <c r="C175" t="str">
        <v>河北省</v>
      </c>
      <c r="D175" t="str">
        <v>118.618051,39.032678</v>
      </c>
    </row>
    <row r="176">
      <c r="A176" t="str">
        <v>泊头市</v>
      </c>
      <c r="B176" t="str">
        <f>38.073479</f>
        <v>116.570163</v>
      </c>
      <c r="C176" t="str">
        <v>河北省</v>
      </c>
      <c r="D176" t="str">
        <v>118.618051,39.032678</v>
      </c>
    </row>
    <row r="177">
      <c r="A177" t="str">
        <v>任丘市</v>
      </c>
      <c r="B177" t="str">
        <f>38.706513</f>
        <v>116.106764</v>
      </c>
      <c r="C177" t="str">
        <v>河北省</v>
      </c>
      <c r="D177" t="str">
        <v>118.618051,39.032678</v>
      </c>
    </row>
    <row r="178">
      <c r="A178" t="str">
        <v>黄骅市</v>
      </c>
      <c r="B178" t="str">
        <f>38.369238</f>
        <v>117.343803</v>
      </c>
      <c r="C178" t="str">
        <v>河北省</v>
      </c>
      <c r="D178" t="str">
        <v>118.618051,39.032678</v>
      </c>
    </row>
    <row r="179">
      <c r="A179" t="str">
        <v>河间市</v>
      </c>
      <c r="B179" t="str">
        <f>38.44149</f>
        <v>116.089452</v>
      </c>
      <c r="C179" t="str">
        <v>河北省</v>
      </c>
      <c r="D179" t="str">
        <v>118.618051,39.032678</v>
      </c>
    </row>
    <row r="180">
      <c r="A180" t="str">
        <v>安次区</v>
      </c>
      <c r="B180" t="str">
        <f>39.502569</f>
        <v>116.694544</v>
      </c>
      <c r="C180" t="str">
        <v>河北省</v>
      </c>
      <c r="D180" t="str">
        <v>118.618051,39.032678</v>
      </c>
    </row>
    <row r="181">
      <c r="A181" t="str">
        <v>广阳区</v>
      </c>
      <c r="B181" t="str">
        <f>39.521931</f>
        <v>116.713708</v>
      </c>
      <c r="C181" t="str">
        <v>河北省</v>
      </c>
      <c r="D181" t="str">
        <v>118.618051,39.032678</v>
      </c>
    </row>
    <row r="182">
      <c r="A182" t="str">
        <v>固安县</v>
      </c>
      <c r="B182" t="str">
        <f>39.436468</f>
        <v>116.299894</v>
      </c>
      <c r="C182" t="str">
        <v>河北省</v>
      </c>
      <c r="D182" t="str">
        <v>118.618051,39.032678</v>
      </c>
    </row>
    <row r="183">
      <c r="A183" t="str">
        <v>永清县</v>
      </c>
      <c r="B183" t="str">
        <f>39.319717</f>
        <v>116.498089</v>
      </c>
      <c r="C183" t="str">
        <v>河北省</v>
      </c>
      <c r="D183" t="str">
        <v>118.618051,39.032678</v>
      </c>
    </row>
    <row r="184">
      <c r="A184" t="str">
        <v>香河县</v>
      </c>
      <c r="B184" t="str">
        <f>39.757212</f>
        <v>117.007161</v>
      </c>
      <c r="C184" t="str">
        <v>河北省</v>
      </c>
      <c r="D184" t="str">
        <v>118.618051,39.032678</v>
      </c>
    </row>
    <row r="185">
      <c r="A185" t="str">
        <v>大城县</v>
      </c>
      <c r="B185" t="str">
        <f>38.699215</f>
        <v>116.640735</v>
      </c>
      <c r="C185" t="str">
        <v>河北省</v>
      </c>
      <c r="D185" t="str">
        <v>118.618051,39.032678</v>
      </c>
    </row>
    <row r="186">
      <c r="A186" t="str">
        <v>文安县</v>
      </c>
      <c r="B186" t="str">
        <f>38.866801</f>
        <v>116.460107</v>
      </c>
      <c r="C186" t="str">
        <v>河北省</v>
      </c>
      <c r="D186" t="str">
        <v>118.618051,39.032678</v>
      </c>
    </row>
    <row r="187">
      <c r="A187" t="str">
        <v>大厂回族自治县</v>
      </c>
      <c r="B187" t="str">
        <f>39.889266</f>
        <v>116.986501</v>
      </c>
      <c r="C187" t="str">
        <v>河北省</v>
      </c>
      <c r="D187" t="str">
        <v>118.618051,39.032678</v>
      </c>
    </row>
    <row r="188">
      <c r="A188" t="str">
        <v>霸州市</v>
      </c>
      <c r="B188" t="str">
        <f>39.117331</f>
        <v>116.392021</v>
      </c>
      <c r="C188" t="str">
        <v>河北省</v>
      </c>
      <c r="D188" t="str">
        <v>118.618051,39.032678</v>
      </c>
    </row>
    <row r="189">
      <c r="A189" t="str">
        <v>三河市</v>
      </c>
      <c r="B189" t="str">
        <f>39.982778</f>
        <v>117.077018</v>
      </c>
      <c r="C189" t="str">
        <v>河北省</v>
      </c>
      <c r="D189" t="str">
        <v>118.618051,39.032678</v>
      </c>
    </row>
    <row r="190">
      <c r="A190" t="str">
        <v>桃城区</v>
      </c>
      <c r="B190" t="str">
        <f>37.732237</f>
        <v>115.694945</v>
      </c>
      <c r="C190" t="str">
        <v>河北省</v>
      </c>
      <c r="D190" t="str">
        <v>118.618051,39.032678</v>
      </c>
    </row>
    <row r="191">
      <c r="A191" t="str">
        <v>冀州区</v>
      </c>
      <c r="B191" t="str">
        <f>37.542788</f>
        <v>115.579173</v>
      </c>
      <c r="C191" t="str">
        <v>河北省</v>
      </c>
      <c r="D191" t="str">
        <v>118.618051,39.032678</v>
      </c>
    </row>
    <row r="192">
      <c r="A192" t="str">
        <v>枣强县</v>
      </c>
      <c r="B192" t="str">
        <f>37.511512</f>
        <v>115.726499</v>
      </c>
      <c r="C192" t="str">
        <v>河北省</v>
      </c>
      <c r="D192" t="str">
        <v>118.618051,39.032678</v>
      </c>
    </row>
    <row r="193">
      <c r="A193" t="str">
        <v>武邑县</v>
      </c>
      <c r="B193" t="str">
        <f>37.803774</f>
        <v>115.892415</v>
      </c>
      <c r="C193" t="str">
        <v>河北省</v>
      </c>
      <c r="D193" t="str">
        <v>118.618051,39.032678</v>
      </c>
    </row>
    <row r="194">
      <c r="A194" t="str">
        <v>武强县</v>
      </c>
      <c r="B194" t="str">
        <f>38.03698</f>
        <v>115.970236</v>
      </c>
      <c r="C194" t="str">
        <v>河北省</v>
      </c>
      <c r="D194" t="str">
        <v>118.618051,39.032678</v>
      </c>
    </row>
    <row r="195">
      <c r="A195" t="str">
        <v>饶阳县</v>
      </c>
      <c r="B195" t="str">
        <f>38.232671</f>
        <v>115.726577</v>
      </c>
      <c r="C195" t="str">
        <v>河北省</v>
      </c>
      <c r="D195" t="str">
        <v>118.618051,39.032678</v>
      </c>
    </row>
    <row r="196">
      <c r="A196" t="str">
        <v>安平县</v>
      </c>
      <c r="B196" t="str">
        <f>38.233511</f>
        <v>115.519627</v>
      </c>
      <c r="C196" t="str">
        <v>河北省</v>
      </c>
      <c r="D196" t="str">
        <v>118.618051,39.032678</v>
      </c>
    </row>
    <row r="197">
      <c r="A197" t="str">
        <v>故城县</v>
      </c>
      <c r="B197" t="str">
        <f>37.350981</f>
        <v>115.966747</v>
      </c>
      <c r="C197" t="str">
        <v>河北省</v>
      </c>
      <c r="D197" t="str">
        <v>118.618051,39.032678</v>
      </c>
    </row>
    <row r="198">
      <c r="A198" t="str">
        <v>景县</v>
      </c>
      <c r="B198" t="str">
        <f>37.686622</f>
        <v>116.258446</v>
      </c>
      <c r="C198" t="str">
        <v>河北省</v>
      </c>
      <c r="D198" t="str">
        <v>118.618051,39.032678</v>
      </c>
    </row>
    <row r="199">
      <c r="A199" t="str">
        <v>阜城县</v>
      </c>
      <c r="B199" t="str">
        <f>37.869945</f>
        <v>116.164727</v>
      </c>
      <c r="C199" t="str">
        <v>河北省</v>
      </c>
      <c r="D199" t="str">
        <v>118.618051,39.032678</v>
      </c>
    </row>
    <row r="200">
      <c r="A200" t="str">
        <v>深州市</v>
      </c>
      <c r="B200" t="str">
        <f>38.00347</f>
        <v>115.554596</v>
      </c>
      <c r="C200" t="str">
        <v>河北省</v>
      </c>
      <c r="D200" t="str">
        <v>118.618051,39.032678</v>
      </c>
    </row>
    <row r="201">
      <c r="A201" t="str">
        <v>小店区</v>
      </c>
      <c r="B201" t="str">
        <f>37.817974</f>
        <v>112.564273</v>
      </c>
      <c r="C201" t="str">
        <v>山西省</v>
      </c>
      <c r="D201" t="str">
        <v>112.734873,40.167451</v>
      </c>
    </row>
    <row r="202">
      <c r="A202" t="str">
        <v>迎泽区</v>
      </c>
      <c r="B202" t="str">
        <f>37.855804</f>
        <v>112.558851</v>
      </c>
      <c r="C202" t="str">
        <v>山西省</v>
      </c>
      <c r="D202" t="str">
        <v>112.734873,40.167451</v>
      </c>
    </row>
    <row r="203">
      <c r="A203" t="str">
        <v>杏花岭区</v>
      </c>
      <c r="B203" t="str">
        <f>37.879291</f>
        <v>112.560743</v>
      </c>
      <c r="C203" t="str">
        <v>山西省</v>
      </c>
      <c r="D203" t="str">
        <v>112.734873,40.167451</v>
      </c>
    </row>
    <row r="204">
      <c r="A204" t="str">
        <v>尖草坪区</v>
      </c>
      <c r="B204" t="str">
        <f>37.939893</f>
        <v>112.487122</v>
      </c>
      <c r="C204" t="str">
        <v>山西省</v>
      </c>
      <c r="D204" t="str">
        <v>112.734873,40.167451</v>
      </c>
    </row>
    <row r="205">
      <c r="A205" t="str">
        <v>万柏林区</v>
      </c>
      <c r="B205" t="str">
        <f>37.862653</f>
        <v>112.522258</v>
      </c>
      <c r="C205" t="str">
        <v>山西省</v>
      </c>
      <c r="D205" t="str">
        <v>112.734873,40.167451</v>
      </c>
    </row>
    <row r="206">
      <c r="A206" t="str">
        <v>晋源区</v>
      </c>
      <c r="B206" t="str">
        <f>37.715619</f>
        <v>112.477849</v>
      </c>
      <c r="C206" t="str">
        <v>山西省</v>
      </c>
      <c r="D206" t="str">
        <v>112.734873,40.167451</v>
      </c>
    </row>
    <row r="207">
      <c r="A207" t="str">
        <v>清徐县</v>
      </c>
      <c r="B207" t="str">
        <f>37.60729</f>
        <v>112.357961</v>
      </c>
      <c r="C207" t="str">
        <v>山西省</v>
      </c>
      <c r="D207" t="str">
        <v>112.734873,40.167451</v>
      </c>
    </row>
    <row r="208">
      <c r="A208" t="str">
        <v>阳曲县</v>
      </c>
      <c r="B208" t="str">
        <f>38.058797</f>
        <v>112.673818</v>
      </c>
      <c r="C208" t="str">
        <v>山西省</v>
      </c>
      <c r="D208" t="str">
        <v>112.734873,40.167451</v>
      </c>
    </row>
    <row r="209">
      <c r="A209" t="str">
        <v>娄烦县</v>
      </c>
      <c r="B209" t="str">
        <f>38.066035</f>
        <v>111.793798</v>
      </c>
      <c r="C209" t="str">
        <v>山西省</v>
      </c>
      <c r="D209" t="str">
        <v>112.734873,40.167451</v>
      </c>
    </row>
    <row r="210">
      <c r="A210" t="str">
        <v>古交市</v>
      </c>
      <c r="B210" t="str">
        <f>37.908534</f>
        <v>112.174353</v>
      </c>
      <c r="C210" t="str">
        <v>山西省</v>
      </c>
      <c r="D210" t="str">
        <v>112.734873,40.167451</v>
      </c>
    </row>
    <row r="211">
      <c r="A211" t="str">
        <v>新荣区</v>
      </c>
      <c r="B211" t="str">
        <f>40.258269</f>
        <v>113.141044</v>
      </c>
      <c r="C211" t="str">
        <v>山西省</v>
      </c>
      <c r="D211" t="str">
        <v>112.734873,40.167451</v>
      </c>
    </row>
    <row r="212">
      <c r="A212" t="str">
        <v>平城区</v>
      </c>
      <c r="B212" t="str">
        <f>40.075667</f>
        <v>113.298027</v>
      </c>
      <c r="C212" t="str">
        <v>山西省</v>
      </c>
      <c r="D212" t="str">
        <v>112.734873,40.167451</v>
      </c>
    </row>
    <row r="213">
      <c r="A213" t="str">
        <v>云冈区</v>
      </c>
      <c r="B213" t="str">
        <f>40.005405</f>
        <v>113.149693</v>
      </c>
      <c r="C213" t="str">
        <v>山西省</v>
      </c>
      <c r="D213" t="str">
        <v>112.734873,40.167451</v>
      </c>
    </row>
    <row r="214">
      <c r="A214" t="str">
        <v>云州区</v>
      </c>
      <c r="B214" t="str">
        <f>40.040295</f>
        <v>113.61244</v>
      </c>
      <c r="C214" t="str">
        <v>山西省</v>
      </c>
      <c r="D214" t="str">
        <v>112.734873,40.167451</v>
      </c>
    </row>
    <row r="215">
      <c r="A215" t="str">
        <v>阳高县</v>
      </c>
      <c r="B215" t="str">
        <f>40.364927</f>
        <v>113.749871</v>
      </c>
      <c r="C215" t="str">
        <v>山西省</v>
      </c>
      <c r="D215" t="str">
        <v>112.734873,40.167451</v>
      </c>
    </row>
    <row r="216">
      <c r="A216" t="str">
        <v>天镇县</v>
      </c>
      <c r="B216" t="str">
        <f>40.421336</f>
        <v>114.09112</v>
      </c>
      <c r="C216" t="str">
        <v>山西省</v>
      </c>
      <c r="D216" t="str">
        <v>112.734873,40.167451</v>
      </c>
    </row>
    <row r="217">
      <c r="A217" t="str">
        <v>广灵县</v>
      </c>
      <c r="B217" t="str">
        <f>39.763051</f>
        <v>114.279252</v>
      </c>
      <c r="C217" t="str">
        <v>山西省</v>
      </c>
      <c r="D217" t="str">
        <v>112.734873,40.167451</v>
      </c>
    </row>
    <row r="218">
      <c r="A218" t="str">
        <v>灵丘县</v>
      </c>
      <c r="B218" t="str">
        <f>39.438867</f>
        <v>114.23576</v>
      </c>
      <c r="C218" t="str">
        <v>山西省</v>
      </c>
      <c r="D218" t="str">
        <v>112.734873,40.167451</v>
      </c>
    </row>
    <row r="219">
      <c r="A219" t="str">
        <v>浑源县</v>
      </c>
      <c r="B219" t="str">
        <f>39.699099</f>
        <v>113.698091</v>
      </c>
      <c r="C219" t="str">
        <v>山西省</v>
      </c>
      <c r="D219" t="str">
        <v>112.734873,40.167451</v>
      </c>
    </row>
    <row r="220">
      <c r="A220" t="str">
        <v>左云县</v>
      </c>
      <c r="B220" t="str">
        <f>40.012873</f>
        <v>112.70641</v>
      </c>
      <c r="C220" t="str">
        <v>山西省</v>
      </c>
      <c r="D220" t="str">
        <v>112.734873,40.167451</v>
      </c>
    </row>
    <row r="221">
      <c r="A221" t="str">
        <v>城区</v>
      </c>
      <c r="B221" t="str">
        <f>37.860938</f>
        <v>113.586513</v>
      </c>
      <c r="C221" t="str">
        <v>山西省</v>
      </c>
      <c r="D221" t="str">
        <v>112.734873,40.167451</v>
      </c>
    </row>
    <row r="222">
      <c r="A222" t="str">
        <v>矿区</v>
      </c>
      <c r="B222" t="str">
        <f>37.870085</f>
        <v>113.559066</v>
      </c>
      <c r="C222" t="str">
        <v>山西省</v>
      </c>
      <c r="D222" t="str">
        <v>112.734873,40.167451</v>
      </c>
    </row>
    <row r="223">
      <c r="A223" t="str">
        <v>郊区</v>
      </c>
      <c r="B223" t="str">
        <f>37.94096</f>
        <v>113.58664</v>
      </c>
      <c r="C223" t="str">
        <v>山西省</v>
      </c>
      <c r="D223" t="str">
        <v>112.734873,40.167451</v>
      </c>
    </row>
    <row r="224">
      <c r="A224" t="str">
        <v>平定县</v>
      </c>
      <c r="B224" t="str">
        <f>37.800289</f>
        <v>113.631049</v>
      </c>
      <c r="C224" t="str">
        <v>山西省</v>
      </c>
      <c r="D224" t="str">
        <v>112.734873,40.167451</v>
      </c>
    </row>
    <row r="225">
      <c r="A225" t="str">
        <v>盂县</v>
      </c>
      <c r="B225" t="str">
        <f>38.086131</f>
        <v>113.41223</v>
      </c>
      <c r="C225" t="str">
        <v>山西省</v>
      </c>
      <c r="D225" t="str">
        <v>112.734873,40.167451</v>
      </c>
    </row>
    <row r="226">
      <c r="A226" t="str">
        <v>潞州区</v>
      </c>
      <c r="B226" t="str">
        <f>36.187895</f>
        <v>113.114107</v>
      </c>
      <c r="C226" t="str">
        <v>山西省</v>
      </c>
      <c r="D226" t="str">
        <v>112.734873,40.167451</v>
      </c>
    </row>
    <row r="227">
      <c r="A227" t="str">
        <v>上党区</v>
      </c>
      <c r="B227" t="str">
        <f>36.052438</f>
        <v>113.056679</v>
      </c>
      <c r="C227" t="str">
        <v>山西省</v>
      </c>
      <c r="D227" t="str">
        <v>112.734873,40.167451</v>
      </c>
    </row>
    <row r="228">
      <c r="A228" t="str">
        <v>屯留区</v>
      </c>
      <c r="B228" t="str">
        <f>36.314072</f>
        <v>112.892741</v>
      </c>
      <c r="C228" t="str">
        <v>山西省</v>
      </c>
      <c r="D228" t="str">
        <v>112.734873,40.167451</v>
      </c>
    </row>
    <row r="229">
      <c r="A229" t="str">
        <v>潞城区</v>
      </c>
      <c r="B229" t="str">
        <f>36.332232</f>
        <v>113.223245</v>
      </c>
      <c r="C229" t="str">
        <v>山西省</v>
      </c>
      <c r="D229" t="str">
        <v>112.734873,40.167451</v>
      </c>
    </row>
    <row r="230">
      <c r="A230" t="str">
        <v>襄垣县</v>
      </c>
      <c r="B230" t="str">
        <f>36.532854</f>
        <v>113.050094</v>
      </c>
      <c r="C230" t="str">
        <v>山西省</v>
      </c>
      <c r="D230" t="str">
        <v>112.734873,40.167451</v>
      </c>
    </row>
    <row r="231">
      <c r="A231" t="str">
        <v>平顺县</v>
      </c>
      <c r="B231" t="str">
        <f>36.200202</f>
        <v>113.438791</v>
      </c>
      <c r="C231" t="str">
        <v>山西省</v>
      </c>
      <c r="D231" t="str">
        <v>112.734873,40.167451</v>
      </c>
    </row>
    <row r="232">
      <c r="A232" t="str">
        <v>黎城县</v>
      </c>
      <c r="B232" t="str">
        <f>36.502971</f>
        <v>113.387366</v>
      </c>
      <c r="C232" t="str">
        <v>山西省</v>
      </c>
      <c r="D232" t="str">
        <v>112.734873,40.167451</v>
      </c>
    </row>
    <row r="233">
      <c r="A233" t="str">
        <v>壶关县</v>
      </c>
      <c r="B233" t="str">
        <f>36.110938</f>
        <v>113.206138</v>
      </c>
      <c r="C233" t="str">
        <v>山西省</v>
      </c>
      <c r="D233" t="str">
        <v>112.734873,40.167451</v>
      </c>
    </row>
    <row r="234">
      <c r="A234" t="str">
        <v>长子县</v>
      </c>
      <c r="B234" t="str">
        <f>36.119484</f>
        <v>112.884656</v>
      </c>
      <c r="C234" t="str">
        <v>山西省</v>
      </c>
      <c r="D234" t="str">
        <v>112.734873,40.167451</v>
      </c>
    </row>
    <row r="235">
      <c r="A235" t="str">
        <v>武乡县</v>
      </c>
      <c r="B235" t="str">
        <f>36.834315</f>
        <v>112.8653</v>
      </c>
      <c r="C235" t="str">
        <v>山西省</v>
      </c>
      <c r="D235" t="str">
        <v>112.734873,40.167451</v>
      </c>
    </row>
    <row r="236">
      <c r="A236" t="str">
        <v>沁县</v>
      </c>
      <c r="B236" t="str">
        <f>36.757123</f>
        <v>112.70138</v>
      </c>
      <c r="C236" t="str">
        <v>山西省</v>
      </c>
      <c r="D236" t="str">
        <v>112.734873,40.167451</v>
      </c>
    </row>
    <row r="237">
      <c r="A237" t="str">
        <v>沁源县</v>
      </c>
      <c r="B237" t="str">
        <f>36.500777</f>
        <v>112.340878</v>
      </c>
      <c r="C237" t="str">
        <v>山西省</v>
      </c>
      <c r="D237" t="str">
        <v>112.734873,40.167451</v>
      </c>
    </row>
    <row r="238">
      <c r="A238" t="str">
        <v>城区</v>
      </c>
      <c r="B238" t="str">
        <f>35.496641</f>
        <v>112.853106</v>
      </c>
      <c r="C238" t="str">
        <v>山西省</v>
      </c>
      <c r="D238" t="str">
        <v>112.734873,40.167451</v>
      </c>
    </row>
    <row r="239">
      <c r="A239" t="str">
        <v>沁水县</v>
      </c>
      <c r="B239" t="str">
        <f>35.689472</f>
        <v>112.187213</v>
      </c>
      <c r="C239" t="str">
        <v>山西省</v>
      </c>
      <c r="D239" t="str">
        <v>112.734873,40.167451</v>
      </c>
    </row>
    <row r="240">
      <c r="A240" t="str">
        <v>阳城县</v>
      </c>
      <c r="B240" t="str">
        <f>35.482177</f>
        <v>112.422014</v>
      </c>
      <c r="C240" t="str">
        <v>山西省</v>
      </c>
      <c r="D240" t="str">
        <v>112.734873,40.167451</v>
      </c>
    </row>
    <row r="241">
      <c r="A241" t="str">
        <v>陵川县</v>
      </c>
      <c r="B241" t="str">
        <f>35.775614</f>
        <v>113.278877</v>
      </c>
      <c r="C241" t="str">
        <v>山西省</v>
      </c>
      <c r="D241" t="str">
        <v>112.734873,40.167451</v>
      </c>
    </row>
    <row r="242">
      <c r="A242" t="str">
        <v>泽州县</v>
      </c>
      <c r="B242" t="str">
        <f>35.617221</f>
        <v>112.899137</v>
      </c>
      <c r="C242" t="str">
        <v>山西省</v>
      </c>
      <c r="D242" t="str">
        <v>112.734873,40.167451</v>
      </c>
    </row>
    <row r="243">
      <c r="A243" t="str">
        <v>高平市</v>
      </c>
      <c r="B243" t="str">
        <f>35.791355</f>
        <v>112.930691</v>
      </c>
      <c r="C243" t="str">
        <v>山西省</v>
      </c>
      <c r="D243" t="str">
        <v>112.734873,40.167451</v>
      </c>
    </row>
    <row r="244">
      <c r="A244" t="str">
        <v>朔城区</v>
      </c>
      <c r="B244" t="str">
        <f>39.324525</f>
        <v>112.428676</v>
      </c>
      <c r="C244" t="str">
        <v>山西省</v>
      </c>
      <c r="D244" t="str">
        <v>112.734873,40.167451</v>
      </c>
    </row>
    <row r="245">
      <c r="A245" t="str">
        <v>平鲁区</v>
      </c>
      <c r="B245" t="str">
        <f>39.515603</f>
        <v>112.295227</v>
      </c>
      <c r="C245" t="str">
        <v>山西省</v>
      </c>
      <c r="D245" t="str">
        <v>112.734873,40.167451</v>
      </c>
    </row>
    <row r="246">
      <c r="A246" t="str">
        <v>山阴县</v>
      </c>
      <c r="B246" t="str">
        <f>39.52677</f>
        <v>112.816396</v>
      </c>
      <c r="C246" t="str">
        <v>山西省</v>
      </c>
      <c r="D246" t="str">
        <v>112.734873,40.167451</v>
      </c>
    </row>
    <row r="247">
      <c r="A247" t="str">
        <v>应县</v>
      </c>
      <c r="B247" t="str">
        <f>39.559187</f>
        <v>113.187505</v>
      </c>
      <c r="C247" t="str">
        <v>山西省</v>
      </c>
      <c r="D247" t="str">
        <v>112.734873,40.167451</v>
      </c>
    </row>
    <row r="248">
      <c r="A248" t="str">
        <v>右玉县</v>
      </c>
      <c r="B248" t="str">
        <f>39.988812</f>
        <v>112.465588</v>
      </c>
      <c r="C248" t="str">
        <v>山西省</v>
      </c>
      <c r="D248" t="str">
        <v>112.734873,40.167451</v>
      </c>
    </row>
    <row r="249">
      <c r="A249" t="str">
        <v>怀仁市</v>
      </c>
      <c r="B249" t="str">
        <f>39.820789</f>
        <v>113.100511</v>
      </c>
      <c r="C249" t="str">
        <v>山西省</v>
      </c>
      <c r="D249" t="str">
        <v>112.734873,40.167451</v>
      </c>
    </row>
    <row r="250">
      <c r="A250" t="str">
        <v>榆次区</v>
      </c>
      <c r="B250" t="str">
        <f>37.6976</f>
        <v>112.740056</v>
      </c>
      <c r="C250" t="str">
        <v>山西省</v>
      </c>
      <c r="D250" t="str">
        <v>112.734873,40.167451</v>
      </c>
    </row>
    <row r="251">
      <c r="A251" t="str">
        <v>太谷区</v>
      </c>
      <c r="B251" t="str">
        <f>37.424595</f>
        <v>112.554103</v>
      </c>
      <c r="C251" t="str">
        <v>山西省</v>
      </c>
      <c r="D251" t="str">
        <v>112.734873,40.167451</v>
      </c>
    </row>
    <row r="252">
      <c r="A252" t="str">
        <v>榆社县</v>
      </c>
      <c r="B252" t="str">
        <f>37.069019</f>
        <v>112.973521</v>
      </c>
      <c r="C252" t="str">
        <v>山西省</v>
      </c>
      <c r="D252" t="str">
        <v>112.734873,40.167451</v>
      </c>
    </row>
    <row r="253">
      <c r="A253" t="str">
        <v>左权县</v>
      </c>
      <c r="B253" t="str">
        <f>37.079672</f>
        <v>113.377834</v>
      </c>
      <c r="C253" t="str">
        <v>山西省</v>
      </c>
      <c r="D253" t="str">
        <v>112.734873,40.167451</v>
      </c>
    </row>
    <row r="254">
      <c r="A254" t="str">
        <v>和顺县</v>
      </c>
      <c r="B254" t="str">
        <f>37.327027</f>
        <v>113.572919</v>
      </c>
      <c r="C254" t="str">
        <v>山西省</v>
      </c>
      <c r="D254" t="str">
        <v>112.734873,40.167451</v>
      </c>
    </row>
    <row r="255">
      <c r="A255" t="str">
        <v>昔阳县</v>
      </c>
      <c r="B255" t="str">
        <f>37.60437</f>
        <v>113.706166</v>
      </c>
      <c r="C255" t="str">
        <v>山西省</v>
      </c>
      <c r="D255" t="str">
        <v>112.734873,40.167451</v>
      </c>
    </row>
    <row r="256">
      <c r="A256" t="str">
        <v>寿阳县</v>
      </c>
      <c r="B256" t="str">
        <f>37.891136</f>
        <v>113.177708</v>
      </c>
      <c r="C256" t="str">
        <v>山西省</v>
      </c>
      <c r="D256" t="str">
        <v>112.734873,40.167451</v>
      </c>
    </row>
    <row r="257">
      <c r="A257" t="str">
        <v>祁县</v>
      </c>
      <c r="B257" t="str">
        <f>37.358739</f>
        <v>112.330532</v>
      </c>
      <c r="C257" t="str">
        <v>山西省</v>
      </c>
      <c r="D257" t="str">
        <v>112.734873,40.167451</v>
      </c>
    </row>
    <row r="258">
      <c r="A258" t="str">
        <v>平遥县</v>
      </c>
      <c r="B258" t="str">
        <f>37.195474</f>
        <v>112.174059</v>
      </c>
      <c r="C258" t="str">
        <v>山西省</v>
      </c>
      <c r="D258" t="str">
        <v>112.734873,40.167451</v>
      </c>
    </row>
    <row r="259">
      <c r="A259" t="str">
        <v>灵石县</v>
      </c>
      <c r="B259" t="str">
        <f>36.847469</f>
        <v>111.772759</v>
      </c>
      <c r="C259" t="str">
        <v>山西省</v>
      </c>
      <c r="D259" t="str">
        <v>112.734873,40.167451</v>
      </c>
    </row>
    <row r="260">
      <c r="A260" t="str">
        <v>介休市</v>
      </c>
      <c r="B260" t="str">
        <f>37.027616</f>
        <v>111.913857</v>
      </c>
      <c r="C260" t="str">
        <v>山西省</v>
      </c>
      <c r="D260" t="str">
        <v>112.734873,40.167451</v>
      </c>
    </row>
    <row r="261">
      <c r="A261" t="str">
        <v>盐湖区</v>
      </c>
      <c r="B261" t="str">
        <f>35.025643</f>
        <v>111.000627</v>
      </c>
      <c r="C261" t="str">
        <v>山西省</v>
      </c>
      <c r="D261" t="str">
        <v>112.734873,40.167451</v>
      </c>
    </row>
    <row r="262">
      <c r="A262" t="str">
        <v>临猗县</v>
      </c>
      <c r="B262" t="str">
        <f>35.141883</f>
        <v>110.77493</v>
      </c>
      <c r="C262" t="str">
        <v>山西省</v>
      </c>
      <c r="D262" t="str">
        <v>112.734873,40.167451</v>
      </c>
    </row>
    <row r="263">
      <c r="A263" t="str">
        <v>万荣县</v>
      </c>
      <c r="B263" t="str">
        <f>35.417042</f>
        <v>110.843561</v>
      </c>
      <c r="C263" t="str">
        <v>山西省</v>
      </c>
      <c r="D263" t="str">
        <v>112.734873,40.167451</v>
      </c>
    </row>
    <row r="264">
      <c r="A264" t="str">
        <v>闻喜县</v>
      </c>
      <c r="B264" t="str">
        <f>35.353839</f>
        <v>111.220306</v>
      </c>
      <c r="C264" t="str">
        <v>山西省</v>
      </c>
      <c r="D264" t="str">
        <v>112.734873,40.167451</v>
      </c>
    </row>
    <row r="265">
      <c r="A265" t="str">
        <v>稷山县</v>
      </c>
      <c r="B265" t="str">
        <f>35.600412</f>
        <v>110.978996</v>
      </c>
      <c r="C265" t="str">
        <v>山西省</v>
      </c>
      <c r="D265" t="str">
        <v>112.734873,40.167451</v>
      </c>
    </row>
    <row r="266">
      <c r="A266" t="str">
        <v>新绛县</v>
      </c>
      <c r="B266" t="str">
        <f>35.613697</f>
        <v>111.225205</v>
      </c>
      <c r="C266" t="str">
        <v>山西省</v>
      </c>
      <c r="D266" t="str">
        <v>112.734873,40.167451</v>
      </c>
    </row>
    <row r="267">
      <c r="A267" t="str">
        <v>绛县</v>
      </c>
      <c r="B267" t="str">
        <f>35.49045</f>
        <v>111.576182</v>
      </c>
      <c r="C267" t="str">
        <v>山西省</v>
      </c>
      <c r="D267" t="str">
        <v>112.734873,40.167451</v>
      </c>
    </row>
    <row r="268">
      <c r="A268" t="str">
        <v>垣曲县</v>
      </c>
      <c r="B268" t="str">
        <f>35.298293</f>
        <v>111.67099</v>
      </c>
      <c r="C268" t="str">
        <v>山西省</v>
      </c>
      <c r="D268" t="str">
        <v>112.734873,40.167451</v>
      </c>
    </row>
    <row r="269">
      <c r="A269" t="str">
        <v>夏县</v>
      </c>
      <c r="B269" t="str">
        <f>35.140441</f>
        <v>111.223174</v>
      </c>
      <c r="C269" t="str">
        <v>山西省</v>
      </c>
      <c r="D269" t="str">
        <v>112.734873,40.167451</v>
      </c>
    </row>
    <row r="270">
      <c r="A270" t="str">
        <v>平陆县</v>
      </c>
      <c r="B270" t="str">
        <f>34.837256</f>
        <v>111.212377</v>
      </c>
      <c r="C270" t="str">
        <v>山西省</v>
      </c>
      <c r="D270" t="str">
        <v>112.734873,40.167451</v>
      </c>
    </row>
    <row r="271">
      <c r="A271" t="str">
        <v>芮城县</v>
      </c>
      <c r="B271" t="str">
        <f>34.694769</f>
        <v>110.69114</v>
      </c>
      <c r="C271" t="str">
        <v>山西省</v>
      </c>
      <c r="D271" t="str">
        <v>112.734873,40.167451</v>
      </c>
    </row>
    <row r="272">
      <c r="A272" t="str">
        <v>永济市</v>
      </c>
      <c r="B272" t="str">
        <f>34.865125</f>
        <v>110.447984</v>
      </c>
      <c r="C272" t="str">
        <v>山西省</v>
      </c>
      <c r="D272" t="str">
        <v>112.734873,40.167451</v>
      </c>
    </row>
    <row r="273">
      <c r="A273" t="str">
        <v>河津市</v>
      </c>
      <c r="B273" t="str">
        <f>35.59715</f>
        <v>110.710268</v>
      </c>
      <c r="C273" t="str">
        <v>山西省</v>
      </c>
      <c r="D273" t="str">
        <v>112.734873,40.167451</v>
      </c>
    </row>
    <row r="274">
      <c r="A274" t="str">
        <v>忻府区</v>
      </c>
      <c r="B274" t="str">
        <f>38.417743</f>
        <v>112.734112</v>
      </c>
      <c r="C274" t="str">
        <v>山西省</v>
      </c>
      <c r="D274" t="str">
        <v>112.734873,40.167451</v>
      </c>
    </row>
    <row r="275">
      <c r="A275" t="str">
        <v>定襄县</v>
      </c>
      <c r="B275" t="str">
        <f>38.484948</f>
        <v>112.963231</v>
      </c>
      <c r="C275" t="str">
        <v>山西省</v>
      </c>
      <c r="D275" t="str">
        <v>112.734873,40.167451</v>
      </c>
    </row>
    <row r="276">
      <c r="A276" t="str">
        <v>五台县</v>
      </c>
      <c r="B276" t="str">
        <f>38.725711</f>
        <v>113.259012</v>
      </c>
      <c r="C276" t="str">
        <v>山西省</v>
      </c>
      <c r="D276" t="str">
        <v>112.734873,40.167451</v>
      </c>
    </row>
    <row r="277">
      <c r="A277" t="str">
        <v>代县</v>
      </c>
      <c r="B277" t="str">
        <f>39.065138</f>
        <v>112.962519</v>
      </c>
      <c r="C277" t="str">
        <v>山西省</v>
      </c>
      <c r="D277" t="str">
        <v>112.734873,40.167451</v>
      </c>
    </row>
    <row r="278">
      <c r="A278" t="str">
        <v>繁峙县</v>
      </c>
      <c r="B278" t="str">
        <f>39.188104</f>
        <v>113.267707</v>
      </c>
      <c r="C278" t="str">
        <v>山西省</v>
      </c>
      <c r="D278" t="str">
        <v>112.734873,40.167451</v>
      </c>
    </row>
    <row r="279">
      <c r="A279" t="str">
        <v>宁武县</v>
      </c>
      <c r="B279" t="str">
        <f>39.001718</f>
        <v>112.307936</v>
      </c>
      <c r="C279" t="str">
        <v>山西省</v>
      </c>
      <c r="D279" t="str">
        <v>112.734873,40.167451</v>
      </c>
    </row>
    <row r="280">
      <c r="A280" t="str">
        <v>静乐县</v>
      </c>
      <c r="B280" t="str">
        <f>38.355947</f>
        <v>111.940231</v>
      </c>
      <c r="C280" t="str">
        <v>山西省</v>
      </c>
      <c r="D280" t="str">
        <v>112.734873,40.167451</v>
      </c>
    </row>
    <row r="281">
      <c r="A281" t="str">
        <v>神池县</v>
      </c>
      <c r="B281" t="str">
        <f>39.088467</f>
        <v>112.200438</v>
      </c>
      <c r="C281" t="str">
        <v>山西省</v>
      </c>
      <c r="D281" t="str">
        <v>112.734873,40.167451</v>
      </c>
    </row>
    <row r="282">
      <c r="A282" t="str">
        <v>五寨县</v>
      </c>
      <c r="B282" t="str">
        <f>38.912761</f>
        <v>111.841015</v>
      </c>
      <c r="C282" t="str">
        <v>山西省</v>
      </c>
      <c r="D282" t="str">
        <v>112.734873,40.167451</v>
      </c>
    </row>
    <row r="283">
      <c r="A283" t="str">
        <v>岢岚县</v>
      </c>
      <c r="B283" t="str">
        <f>38.705625</f>
        <v>111.56981</v>
      </c>
      <c r="C283" t="str">
        <v>山西省</v>
      </c>
      <c r="D283" t="str">
        <v>112.734873,40.167451</v>
      </c>
    </row>
    <row r="284">
      <c r="A284" t="str">
        <v>河曲县</v>
      </c>
      <c r="B284" t="str">
        <f>39.381895</f>
        <v>111.146609</v>
      </c>
      <c r="C284" t="str">
        <v>山西省</v>
      </c>
      <c r="D284" t="str">
        <v>112.734873,40.167451</v>
      </c>
    </row>
    <row r="285">
      <c r="A285" t="str">
        <v>保德县</v>
      </c>
      <c r="B285" t="str">
        <f>39.022576</f>
        <v>111.085688</v>
      </c>
      <c r="C285" t="str">
        <v>山西省</v>
      </c>
      <c r="D285" t="str">
        <v>112.734873,40.167451</v>
      </c>
    </row>
    <row r="286">
      <c r="A286" t="str">
        <v>偏关县</v>
      </c>
      <c r="B286" t="str">
        <f>39.442153</f>
        <v>111.500477</v>
      </c>
      <c r="C286" t="str">
        <v>山西省</v>
      </c>
      <c r="D286" t="str">
        <v>112.734873,40.167451</v>
      </c>
    </row>
    <row r="287">
      <c r="A287" t="str">
        <v>原平市</v>
      </c>
      <c r="B287" t="str">
        <f>38.729186</f>
        <v>112.713132</v>
      </c>
      <c r="C287" t="str">
        <v>山西省</v>
      </c>
      <c r="D287" t="str">
        <v>112.734873,40.167451</v>
      </c>
    </row>
    <row r="288">
      <c r="A288" t="str">
        <v>尧都区</v>
      </c>
      <c r="B288" t="str">
        <f>36.080366</f>
        <v>111.522945</v>
      </c>
      <c r="C288" t="str">
        <v>山西省</v>
      </c>
      <c r="D288" t="str">
        <v>112.734873,40.167451</v>
      </c>
    </row>
    <row r="289">
      <c r="A289" t="str">
        <v>曲沃县</v>
      </c>
      <c r="B289" t="str">
        <f>35.641387</f>
        <v>111.475529</v>
      </c>
      <c r="C289" t="str">
        <v>山西省</v>
      </c>
      <c r="D289" t="str">
        <v>112.734873,40.167451</v>
      </c>
    </row>
    <row r="290">
      <c r="A290" t="str">
        <v>翼城县</v>
      </c>
      <c r="B290" t="str">
        <f>35.738621</f>
        <v>111.713508</v>
      </c>
      <c r="C290" t="str">
        <v>山西省</v>
      </c>
      <c r="D290" t="str">
        <v>112.734873,40.167451</v>
      </c>
    </row>
    <row r="291">
      <c r="A291" t="str">
        <v>襄汾县</v>
      </c>
      <c r="B291" t="str">
        <f>35.876139</f>
        <v>111.442932</v>
      </c>
      <c r="C291" t="str">
        <v>山西省</v>
      </c>
      <c r="D291" t="str">
        <v>112.734873,40.167451</v>
      </c>
    </row>
    <row r="292">
      <c r="A292" t="str">
        <v>洪洞县</v>
      </c>
      <c r="B292" t="str">
        <f>36.255742</f>
        <v>111.673692</v>
      </c>
      <c r="C292" t="str">
        <v>山西省</v>
      </c>
      <c r="D292" t="str">
        <v>112.734873,40.167451</v>
      </c>
    </row>
    <row r="293">
      <c r="A293" t="str">
        <v>古县</v>
      </c>
      <c r="B293" t="str">
        <f>36.26855</f>
        <v>111.920207</v>
      </c>
      <c r="C293" t="str">
        <v>山西省</v>
      </c>
      <c r="D293" t="str">
        <v>112.734873,40.167451</v>
      </c>
    </row>
    <row r="294">
      <c r="A294" t="str">
        <v>安泽县</v>
      </c>
      <c r="B294" t="str">
        <f>36.146032</f>
        <v>112.251372</v>
      </c>
      <c r="C294" t="str">
        <v>山西省</v>
      </c>
      <c r="D294" t="str">
        <v>112.734873,40.167451</v>
      </c>
    </row>
    <row r="295">
      <c r="A295" t="str">
        <v>浮山县</v>
      </c>
      <c r="B295" t="str">
        <f>35.971359</f>
        <v>111.850039</v>
      </c>
      <c r="C295" t="str">
        <v>山西省</v>
      </c>
      <c r="D295" t="str">
        <v>112.734873,40.167451</v>
      </c>
    </row>
    <row r="296">
      <c r="A296" t="str">
        <v>吉县</v>
      </c>
      <c r="B296" t="str">
        <f>36.099355</f>
        <v>110.682853</v>
      </c>
      <c r="C296" t="str">
        <v>山西省</v>
      </c>
      <c r="D296" t="str">
        <v>112.734873,40.167451</v>
      </c>
    </row>
    <row r="297">
      <c r="A297" t="str">
        <v>乡宁县</v>
      </c>
      <c r="B297" t="str">
        <f>35.975402</f>
        <v>110.857365</v>
      </c>
      <c r="C297" t="str">
        <v>山西省</v>
      </c>
      <c r="D297" t="str">
        <v>112.734873,40.167451</v>
      </c>
    </row>
    <row r="298">
      <c r="A298" t="str">
        <v>大宁县</v>
      </c>
      <c r="B298" t="str">
        <f>36.46383</f>
        <v>110.751283</v>
      </c>
      <c r="C298" t="str">
        <v>山西省</v>
      </c>
      <c r="D298" t="str">
        <v>112.734873,40.167451</v>
      </c>
    </row>
    <row r="299">
      <c r="A299" t="str">
        <v>隰县</v>
      </c>
      <c r="B299" t="str">
        <f>36.692675</f>
        <v>110.935809</v>
      </c>
      <c r="C299" t="str">
        <v>山西省</v>
      </c>
      <c r="D299" t="str">
        <v>112.734873,40.167451</v>
      </c>
    </row>
    <row r="300">
      <c r="A300" t="str">
        <v>永和县</v>
      </c>
      <c r="B300" t="str">
        <f>36.760614</f>
        <v>110.631276</v>
      </c>
      <c r="C300" t="str">
        <v>山西省</v>
      </c>
      <c r="D300" t="str">
        <v>112.734873,40.167451</v>
      </c>
    </row>
    <row r="301">
      <c r="A301" t="str">
        <v>蒲县</v>
      </c>
      <c r="B301" t="str">
        <f>36.411682</f>
        <v>111.09733</v>
      </c>
      <c r="C301" t="str">
        <v>山西省</v>
      </c>
      <c r="D301" t="str">
        <v>112.734873,40.167451</v>
      </c>
    </row>
    <row r="302">
      <c r="A302" t="str">
        <v>汾西县</v>
      </c>
      <c r="B302" t="str">
        <f>36.653368</f>
        <v>111.563021</v>
      </c>
      <c r="C302" t="str">
        <v>山西省</v>
      </c>
      <c r="D302" t="str">
        <v>112.734873,40.167451</v>
      </c>
    </row>
    <row r="303">
      <c r="A303" t="str">
        <v>侯马市</v>
      </c>
      <c r="B303" t="str">
        <f>35.620302</f>
        <v>111.371272</v>
      </c>
      <c r="C303" t="str">
        <v>山西省</v>
      </c>
      <c r="D303" t="str">
        <v>112.734873,40.167451</v>
      </c>
    </row>
    <row r="304">
      <c r="A304" t="str">
        <v>霍州市</v>
      </c>
      <c r="B304" t="str">
        <f>36.57202</f>
        <v>111.723103</v>
      </c>
      <c r="C304" t="str">
        <v>山西省</v>
      </c>
      <c r="D304" t="str">
        <v>112.734873,40.167451</v>
      </c>
    </row>
    <row r="305">
      <c r="A305" t="str">
        <v>离石区</v>
      </c>
      <c r="B305" t="str">
        <f>37.524037</f>
        <v>111.134462</v>
      </c>
      <c r="C305" t="str">
        <v>山西省</v>
      </c>
      <c r="D305" t="str">
        <v>112.734873,40.167451</v>
      </c>
    </row>
    <row r="306">
      <c r="A306" t="str">
        <v>文水县</v>
      </c>
      <c r="B306" t="str">
        <f>37.436314</f>
        <v>112.032595</v>
      </c>
      <c r="C306" t="str">
        <v>山西省</v>
      </c>
      <c r="D306" t="str">
        <v>112.734873,40.167451</v>
      </c>
    </row>
    <row r="307">
      <c r="A307" t="str">
        <v>交城县</v>
      </c>
      <c r="B307" t="str">
        <f>37.555155</f>
        <v>112.159154</v>
      </c>
      <c r="C307" t="str">
        <v>山西省</v>
      </c>
      <c r="D307" t="str">
        <v>112.734873,40.167451</v>
      </c>
    </row>
    <row r="308">
      <c r="A308" t="str">
        <v>兴县</v>
      </c>
      <c r="B308" t="str">
        <f>38.464136</f>
        <v>111.124816</v>
      </c>
      <c r="C308" t="str">
        <v>山西省</v>
      </c>
      <c r="D308" t="str">
        <v>112.734873,40.167451</v>
      </c>
    </row>
    <row r="309">
      <c r="A309" t="str">
        <v>临县</v>
      </c>
      <c r="B309" t="str">
        <f>37.960806</f>
        <v>110.995963</v>
      </c>
      <c r="C309" t="str">
        <v>山西省</v>
      </c>
      <c r="D309" t="str">
        <v>112.734873,40.167451</v>
      </c>
    </row>
    <row r="310">
      <c r="A310" t="str">
        <v>柳林县</v>
      </c>
      <c r="B310" t="str">
        <f>37.431664</f>
        <v>110.89613</v>
      </c>
      <c r="C310" t="str">
        <v>山西省</v>
      </c>
      <c r="D310" t="str">
        <v>112.734873,40.167451</v>
      </c>
    </row>
    <row r="311">
      <c r="A311" t="str">
        <v>石楼县</v>
      </c>
      <c r="B311" t="str">
        <f>36.999426</f>
        <v>110.837119</v>
      </c>
      <c r="C311" t="str">
        <v>山西省</v>
      </c>
      <c r="D311" t="str">
        <v>112.734873,40.167451</v>
      </c>
    </row>
    <row r="312">
      <c r="A312" t="str">
        <v>岚县</v>
      </c>
      <c r="B312" t="str">
        <f>38.278654</f>
        <v>111.671555</v>
      </c>
      <c r="C312" t="str">
        <v>山西省</v>
      </c>
      <c r="D312" t="str">
        <v>112.734873,40.167451</v>
      </c>
    </row>
    <row r="313">
      <c r="A313" t="str">
        <v>方山县</v>
      </c>
      <c r="B313" t="str">
        <f>37.892632</f>
        <v>111.238885</v>
      </c>
      <c r="C313" t="str">
        <v>山西省</v>
      </c>
      <c r="D313" t="str">
        <v>112.734873,40.167451</v>
      </c>
    </row>
    <row r="314">
      <c r="A314" t="str">
        <v>中阳县</v>
      </c>
      <c r="B314" t="str">
        <f>37.342054</f>
        <v>111.193319</v>
      </c>
      <c r="C314" t="str">
        <v>山西省</v>
      </c>
      <c r="D314" t="str">
        <v>112.734873,40.167451</v>
      </c>
    </row>
    <row r="315">
      <c r="A315" t="str">
        <v>交口县</v>
      </c>
      <c r="B315" t="str">
        <f>36.983068</f>
        <v>111.183188</v>
      </c>
      <c r="C315" t="str">
        <v>山西省</v>
      </c>
      <c r="D315" t="str">
        <v>112.734873,40.167451</v>
      </c>
    </row>
    <row r="316">
      <c r="A316" t="str">
        <v>孝义市</v>
      </c>
      <c r="B316" t="str">
        <f>37.144474</f>
        <v>111.781568</v>
      </c>
      <c r="C316" t="str">
        <v>山西省</v>
      </c>
      <c r="D316" t="str">
        <v>112.734873,40.167451</v>
      </c>
    </row>
    <row r="317">
      <c r="A317" t="str">
        <v>汾阳市</v>
      </c>
      <c r="B317" t="str">
        <f>37.267742</f>
        <v>111.785273</v>
      </c>
      <c r="C317" t="str">
        <v>山西省</v>
      </c>
      <c r="D317" t="str">
        <v>112.734873,40.167451</v>
      </c>
    </row>
    <row r="318">
      <c r="A318" t="str">
        <v>新城区</v>
      </c>
      <c r="B318" t="str">
        <f>40.826225</f>
        <v>111.685964</v>
      </c>
      <c r="C318" t="str">
        <v>内蒙古自治区</v>
      </c>
      <c r="D318" t="str">
        <v>124.45673,51.36081</v>
      </c>
    </row>
    <row r="319">
      <c r="A319" t="str">
        <v>回民区</v>
      </c>
      <c r="B319" t="str">
        <f>40.815149</f>
        <v>111.662162</v>
      </c>
      <c r="C319" t="str">
        <v>内蒙古自治区</v>
      </c>
      <c r="D319" t="str">
        <v>124.45673,51.36081</v>
      </c>
    </row>
    <row r="320">
      <c r="A320" t="str">
        <v>玉泉区</v>
      </c>
      <c r="B320" t="str">
        <f>40.799421</f>
        <v>111.66543</v>
      </c>
      <c r="C320" t="str">
        <v>内蒙古自治区</v>
      </c>
      <c r="D320" t="str">
        <v>124.45673,51.36081</v>
      </c>
    </row>
    <row r="321">
      <c r="A321" t="str">
        <v>赛罕区</v>
      </c>
      <c r="B321" t="str">
        <f>40.807834</f>
        <v>111.698463</v>
      </c>
      <c r="C321" t="str">
        <v>内蒙古自治区</v>
      </c>
      <c r="D321" t="str">
        <v>124.45673,51.36081</v>
      </c>
    </row>
    <row r="322">
      <c r="A322" t="str">
        <v>土默特左旗</v>
      </c>
      <c r="B322" t="str">
        <f>40.720416</f>
        <v>111.133615</v>
      </c>
      <c r="C322" t="str">
        <v>内蒙古自治区</v>
      </c>
      <c r="D322" t="str">
        <v>124.45673,51.36081</v>
      </c>
    </row>
    <row r="323">
      <c r="A323" t="str">
        <v>托克托县</v>
      </c>
      <c r="B323" t="str">
        <f>40.276729</f>
        <v>111.197317</v>
      </c>
      <c r="C323" t="str">
        <v>内蒙古自治区</v>
      </c>
      <c r="D323" t="str">
        <v>124.45673,51.36081</v>
      </c>
    </row>
    <row r="324">
      <c r="A324" t="str">
        <v>和林格尔县</v>
      </c>
      <c r="B324" t="str">
        <f>40.380288</f>
        <v>111.824143</v>
      </c>
      <c r="C324" t="str">
        <v>内蒙古自治区</v>
      </c>
      <c r="D324" t="str">
        <v>124.45673,51.36081</v>
      </c>
    </row>
    <row r="325">
      <c r="A325" t="str">
        <v>清水河县</v>
      </c>
      <c r="B325" t="str">
        <f>39.912479</f>
        <v>111.67222</v>
      </c>
      <c r="C325" t="str">
        <v>内蒙古自治区</v>
      </c>
      <c r="D325" t="str">
        <v>124.45673,51.36081</v>
      </c>
    </row>
    <row r="326">
      <c r="A326" t="str">
        <v>武川县</v>
      </c>
      <c r="B326" t="str">
        <f>41.094483</f>
        <v>111.456563</v>
      </c>
      <c r="C326" t="str">
        <v>内蒙古自治区</v>
      </c>
      <c r="D326" t="str">
        <v>124.45673,51.36081</v>
      </c>
    </row>
    <row r="327">
      <c r="A327" t="str">
        <v>东河区</v>
      </c>
      <c r="B327" t="str">
        <f>40.587056</f>
        <v>110.026895</v>
      </c>
      <c r="C327" t="str">
        <v>内蒙古自治区</v>
      </c>
      <c r="D327" t="str">
        <v>124.45673,51.36081</v>
      </c>
    </row>
    <row r="328">
      <c r="A328" t="str">
        <v>昆都仑区</v>
      </c>
      <c r="B328" t="str">
        <f>40.661345</f>
        <v>109.822932</v>
      </c>
      <c r="C328" t="str">
        <v>内蒙古自治区</v>
      </c>
      <c r="D328" t="str">
        <v>124.45673,51.36081</v>
      </c>
    </row>
    <row r="329">
      <c r="A329" t="str">
        <v>青山区</v>
      </c>
      <c r="B329" t="str">
        <f>40.668558</f>
        <v>109.880049</v>
      </c>
      <c r="C329" t="str">
        <v>内蒙古自治区</v>
      </c>
      <c r="D329" t="str">
        <v>124.45673,51.36081</v>
      </c>
    </row>
    <row r="330">
      <c r="A330" t="str">
        <v>石拐区</v>
      </c>
      <c r="B330" t="str">
        <f>40.672094</f>
        <v>110.272565</v>
      </c>
      <c r="C330" t="str">
        <v>内蒙古自治区</v>
      </c>
      <c r="D330" t="str">
        <v>124.45673,51.36081</v>
      </c>
    </row>
    <row r="331">
      <c r="A331" t="str">
        <v>白云鄂博矿区</v>
      </c>
      <c r="B331" t="str">
        <f>41.769246</f>
        <v>109.97016</v>
      </c>
      <c r="C331" t="str">
        <v>内蒙古自治区</v>
      </c>
      <c r="D331" t="str">
        <v>124.45673,51.36081</v>
      </c>
    </row>
    <row r="332">
      <c r="A332" t="str">
        <v>九原区</v>
      </c>
      <c r="B332" t="str">
        <f>40.600581</f>
        <v>109.968122</v>
      </c>
      <c r="C332" t="str">
        <v>内蒙古自治区</v>
      </c>
      <c r="D332" t="str">
        <v>124.45673,51.36081</v>
      </c>
    </row>
    <row r="333">
      <c r="A333" t="str">
        <v>土默特右旗</v>
      </c>
      <c r="B333" t="str">
        <f>40.566434</f>
        <v>110.526766</v>
      </c>
      <c r="C333" t="str">
        <v>内蒙古自治区</v>
      </c>
      <c r="D333" t="str">
        <v>124.45673,51.36081</v>
      </c>
    </row>
    <row r="334">
      <c r="A334" t="str">
        <v>固阳县</v>
      </c>
      <c r="B334" t="str">
        <f>41.030004</f>
        <v>110.063421</v>
      </c>
      <c r="C334" t="str">
        <v>内蒙古自治区</v>
      </c>
      <c r="D334" t="str">
        <v>124.45673,51.36081</v>
      </c>
    </row>
    <row r="335">
      <c r="A335" t="str">
        <v>达尔罕茂明安联合旗</v>
      </c>
      <c r="B335" t="str">
        <f>41.702836</f>
        <v>110.438452</v>
      </c>
      <c r="C335" t="str">
        <v>内蒙古自治区</v>
      </c>
      <c r="D335" t="str">
        <v>124.45673,51.36081</v>
      </c>
    </row>
    <row r="336">
      <c r="A336" t="str">
        <v>海勃湾区</v>
      </c>
      <c r="B336" t="str">
        <f>39.673527</f>
        <v>106.817762</v>
      </c>
      <c r="C336" t="str">
        <v>内蒙古自治区</v>
      </c>
      <c r="D336" t="str">
        <v>124.45673,51.36081</v>
      </c>
    </row>
    <row r="337">
      <c r="A337" t="str">
        <v>海南区</v>
      </c>
      <c r="B337" t="str">
        <f>39.44153</f>
        <v>106.884789</v>
      </c>
      <c r="C337" t="str">
        <v>内蒙古自治区</v>
      </c>
      <c r="D337" t="str">
        <v>124.45673,51.36081</v>
      </c>
    </row>
    <row r="338">
      <c r="A338" t="str">
        <v>乌达区</v>
      </c>
      <c r="B338" t="str">
        <f>39.502288</f>
        <v>106.722711</v>
      </c>
      <c r="C338" t="str">
        <v>内蒙古自治区</v>
      </c>
      <c r="D338" t="str">
        <v>124.45673,51.36081</v>
      </c>
    </row>
    <row r="339">
      <c r="A339" t="str">
        <v>红山区</v>
      </c>
      <c r="B339" t="str">
        <f>42.269732</f>
        <v>118.961087</v>
      </c>
      <c r="C339" t="str">
        <v>内蒙古自治区</v>
      </c>
      <c r="D339" t="str">
        <v>124.45673,51.36081</v>
      </c>
    </row>
    <row r="340">
      <c r="A340" t="str">
        <v>元宝山区</v>
      </c>
      <c r="B340" t="str">
        <f>42.041168</f>
        <v>119.289877</v>
      </c>
      <c r="C340" t="str">
        <v>内蒙古自治区</v>
      </c>
      <c r="D340" t="str">
        <v>124.45673,51.36081</v>
      </c>
    </row>
    <row r="341">
      <c r="A341" t="str">
        <v>松山区</v>
      </c>
      <c r="B341" t="str">
        <f>42.281046</f>
        <v>118.938958</v>
      </c>
      <c r="C341" t="str">
        <v>内蒙古自治区</v>
      </c>
      <c r="D341" t="str">
        <v>124.45673,51.36081</v>
      </c>
    </row>
    <row r="342">
      <c r="A342" t="str">
        <v>阿鲁科尔沁旗</v>
      </c>
      <c r="B342" t="str">
        <f>43.87877</f>
        <v>120.094969</v>
      </c>
      <c r="C342" t="str">
        <v>内蒙古自治区</v>
      </c>
      <c r="D342" t="str">
        <v>124.45673,51.36081</v>
      </c>
    </row>
    <row r="343">
      <c r="A343" t="str">
        <v>巴林左旗</v>
      </c>
      <c r="B343" t="str">
        <f>43.980715</f>
        <v>119.391737</v>
      </c>
      <c r="C343" t="str">
        <v>内蒙古自治区</v>
      </c>
      <c r="D343" t="str">
        <v>124.45673,51.36081</v>
      </c>
    </row>
    <row r="344">
      <c r="A344" t="str">
        <v>巴林右旗</v>
      </c>
      <c r="B344" t="str">
        <f>43.528963</f>
        <v>118.678347</v>
      </c>
      <c r="C344" t="str">
        <v>内蒙古自治区</v>
      </c>
      <c r="D344" t="str">
        <v>124.45673,51.36081</v>
      </c>
    </row>
    <row r="345">
      <c r="A345" t="str">
        <v>林西县</v>
      </c>
      <c r="B345" t="str">
        <f>43.605326</f>
        <v>118.05775</v>
      </c>
      <c r="C345" t="str">
        <v>内蒙古自治区</v>
      </c>
      <c r="D345" t="str">
        <v>124.45673,51.36081</v>
      </c>
    </row>
    <row r="346">
      <c r="A346" t="str">
        <v>克什克腾旗</v>
      </c>
      <c r="B346" t="str">
        <f>43.256233</f>
        <v>117.542465</v>
      </c>
      <c r="C346" t="str">
        <v>内蒙古自治区</v>
      </c>
      <c r="D346" t="str">
        <v>124.45673,51.36081</v>
      </c>
    </row>
    <row r="347">
      <c r="A347" t="str">
        <v>翁牛特旗</v>
      </c>
      <c r="B347" t="str">
        <f>42.937128</f>
        <v>119.022619</v>
      </c>
      <c r="C347" t="str">
        <v>内蒙古自治区</v>
      </c>
      <c r="D347" t="str">
        <v>124.45673,51.36081</v>
      </c>
    </row>
    <row r="348">
      <c r="A348" t="str">
        <v>喀喇沁旗</v>
      </c>
      <c r="B348" t="str">
        <f>41.92778</f>
        <v>118.708572</v>
      </c>
      <c r="C348" t="str">
        <v>内蒙古自治区</v>
      </c>
      <c r="D348" t="str">
        <v>124.45673,51.36081</v>
      </c>
    </row>
    <row r="349">
      <c r="A349" t="str">
        <v>宁城县</v>
      </c>
      <c r="B349" t="str">
        <f>41.598692</f>
        <v>119.339242</v>
      </c>
      <c r="C349" t="str">
        <v>内蒙古自治区</v>
      </c>
      <c r="D349" t="str">
        <v>124.45673,51.36081</v>
      </c>
    </row>
    <row r="350">
      <c r="A350" t="str">
        <v>敖汉旗</v>
      </c>
      <c r="B350" t="str">
        <f>42.287012</f>
        <v>119.906486</v>
      </c>
      <c r="C350" t="str">
        <v>内蒙古自治区</v>
      </c>
      <c r="D350" t="str">
        <v>124.45673,51.36081</v>
      </c>
    </row>
    <row r="351">
      <c r="A351" t="str">
        <v>科尔沁区</v>
      </c>
      <c r="B351" t="str">
        <f>43.617422</f>
        <v>122.264042</v>
      </c>
      <c r="C351" t="str">
        <v>内蒙古自治区</v>
      </c>
      <c r="D351" t="str">
        <v>124.45673,51.36081</v>
      </c>
    </row>
    <row r="352">
      <c r="A352" t="str">
        <v>科尔沁左翼中旗</v>
      </c>
      <c r="B352" t="str">
        <f>44.127166</f>
        <v>123.313873</v>
      </c>
      <c r="C352" t="str">
        <v>内蒙古自治区</v>
      </c>
      <c r="D352" t="str">
        <v>124.45673,51.36081</v>
      </c>
    </row>
    <row r="353">
      <c r="A353" t="str">
        <v>科尔沁左翼后旗</v>
      </c>
      <c r="B353" t="str">
        <f>42.954564</f>
        <v>122.355155</v>
      </c>
      <c r="C353" t="str">
        <v>内蒙古自治区</v>
      </c>
      <c r="D353" t="str">
        <v>124.45673,51.36081</v>
      </c>
    </row>
    <row r="354">
      <c r="A354" t="str">
        <v>开鲁县</v>
      </c>
      <c r="B354" t="str">
        <f>43.602432</f>
        <v>121.308797</v>
      </c>
      <c r="C354" t="str">
        <v>内蒙古自治区</v>
      </c>
      <c r="D354" t="str">
        <v>124.45673,51.36081</v>
      </c>
    </row>
    <row r="355">
      <c r="A355" t="str">
        <v>库伦旗</v>
      </c>
      <c r="B355" t="str">
        <f>42.734692</f>
        <v>121.774886</v>
      </c>
      <c r="C355" t="str">
        <v>内蒙古自治区</v>
      </c>
      <c r="D355" t="str">
        <v>124.45673,51.36081</v>
      </c>
    </row>
    <row r="356">
      <c r="A356" t="str">
        <v>奈曼旗</v>
      </c>
      <c r="B356" t="str">
        <f>42.84685</f>
        <v>120.662543</v>
      </c>
      <c r="C356" t="str">
        <v>内蒙古自治区</v>
      </c>
      <c r="D356" t="str">
        <v>124.45673,51.36081</v>
      </c>
    </row>
    <row r="357">
      <c r="A357" t="str">
        <v>扎鲁特旗</v>
      </c>
      <c r="B357" t="str">
        <f>44.555294</f>
        <v>120.905275</v>
      </c>
      <c r="C357" t="str">
        <v>内蒙古自治区</v>
      </c>
      <c r="D357" t="str">
        <v>124.45673,51.36081</v>
      </c>
    </row>
    <row r="358">
      <c r="A358" t="str">
        <v>霍林郭勒市</v>
      </c>
      <c r="B358" t="str">
        <f>45.532361</f>
        <v>119.657862</v>
      </c>
      <c r="C358" t="str">
        <v>内蒙古自治区</v>
      </c>
      <c r="D358" t="str">
        <v>124.45673,51.36081</v>
      </c>
    </row>
    <row r="359">
      <c r="A359" t="str">
        <v>东胜区</v>
      </c>
      <c r="B359" t="str">
        <f>39.81788</f>
        <v>109.98945</v>
      </c>
      <c r="C359" t="str">
        <v>内蒙古自治区</v>
      </c>
      <c r="D359" t="str">
        <v>124.45673,51.36081</v>
      </c>
    </row>
    <row r="360">
      <c r="A360" t="str">
        <v>康巴什区</v>
      </c>
      <c r="B360" t="str">
        <f>39.607472</f>
        <v>109.790076</v>
      </c>
      <c r="C360" t="str">
        <v>内蒙古自治区</v>
      </c>
      <c r="D360" t="str">
        <v>124.45673,51.36081</v>
      </c>
    </row>
    <row r="361">
      <c r="A361" t="str">
        <v>达拉特旗</v>
      </c>
      <c r="B361" t="str">
        <f>40.404076</f>
        <v>110.040281</v>
      </c>
      <c r="C361" t="str">
        <v>内蒙古自治区</v>
      </c>
      <c r="D361" t="str">
        <v>124.45673,51.36081</v>
      </c>
    </row>
    <row r="362">
      <c r="A362" t="str">
        <v>准格尔旗</v>
      </c>
      <c r="B362" t="str">
        <f>39.865221</f>
        <v>111.238332</v>
      </c>
      <c r="C362" t="str">
        <v>内蒙古自治区</v>
      </c>
      <c r="D362" t="str">
        <v>124.45673,51.36081</v>
      </c>
    </row>
    <row r="363">
      <c r="A363" t="str">
        <v>鄂托克前旗</v>
      </c>
      <c r="B363" t="str">
        <f>38.183257</f>
        <v>107.48172</v>
      </c>
      <c r="C363" t="str">
        <v>内蒙古自治区</v>
      </c>
      <c r="D363" t="str">
        <v>124.45673,51.36081</v>
      </c>
    </row>
    <row r="364">
      <c r="A364" t="str">
        <v>鄂托克旗</v>
      </c>
      <c r="B364" t="str">
        <f>39.095752</f>
        <v>107.982604</v>
      </c>
      <c r="C364" t="str">
        <v>内蒙古自治区</v>
      </c>
      <c r="D364" t="str">
        <v>124.45673,51.36081</v>
      </c>
    </row>
    <row r="365">
      <c r="A365" t="str">
        <v>杭锦旗</v>
      </c>
      <c r="B365" t="str">
        <f>39.831789</f>
        <v>108.736324</v>
      </c>
      <c r="C365" t="str">
        <v>内蒙古自治区</v>
      </c>
      <c r="D365" t="str">
        <v>124.45673,51.36081</v>
      </c>
    </row>
    <row r="366">
      <c r="A366" t="str">
        <v>乌审旗</v>
      </c>
      <c r="B366" t="str">
        <f>38.596611</f>
        <v>108.842454</v>
      </c>
      <c r="C366" t="str">
        <v>内蒙古自治区</v>
      </c>
      <c r="D366" t="str">
        <v>124.45673,51.36081</v>
      </c>
    </row>
    <row r="367">
      <c r="A367" t="str">
        <v>伊金霍洛旗</v>
      </c>
      <c r="B367" t="str">
        <f>39.604312</f>
        <v>109.787402</v>
      </c>
      <c r="C367" t="str">
        <v>内蒙古自治区</v>
      </c>
      <c r="D367" t="str">
        <v>124.45673,51.36081</v>
      </c>
    </row>
    <row r="368">
      <c r="A368" t="str">
        <v>海拉尔区</v>
      </c>
      <c r="B368" t="str">
        <f>49.213889</f>
        <v>119.764923</v>
      </c>
      <c r="C368" t="str">
        <v>内蒙古自治区</v>
      </c>
      <c r="D368" t="str">
        <v>124.45673,51.36081</v>
      </c>
    </row>
    <row r="369">
      <c r="A369" t="str">
        <v>扎赉诺尔区</v>
      </c>
      <c r="B369" t="str">
        <f>49.456567</f>
        <v>117.716373</v>
      </c>
      <c r="C369" t="str">
        <v>内蒙古自治区</v>
      </c>
      <c r="D369" t="str">
        <v>124.45673,51.36081</v>
      </c>
    </row>
    <row r="370">
      <c r="A370" t="str">
        <v>阿荣旗</v>
      </c>
      <c r="B370" t="str">
        <f>48.130503</f>
        <v>123.464615</v>
      </c>
      <c r="C370" t="str">
        <v>内蒙古自治区</v>
      </c>
      <c r="D370" t="str">
        <v>124.45673,51.36081</v>
      </c>
    </row>
    <row r="371">
      <c r="A371" t="str">
        <v>莫力达瓦达斡尔族自治旗</v>
      </c>
      <c r="B371" t="str">
        <f>48.478385</f>
        <v>124.507401</v>
      </c>
      <c r="C371" t="str">
        <v>内蒙古自治区</v>
      </c>
      <c r="D371" t="str">
        <v>124.45673,51.36081</v>
      </c>
    </row>
    <row r="372">
      <c r="A372" t="str">
        <v>鄂伦春自治旗</v>
      </c>
      <c r="B372" t="str">
        <f>50.590177</f>
        <v>123.725684</v>
      </c>
      <c r="C372" t="str">
        <v>内蒙古自治区</v>
      </c>
      <c r="D372" t="str">
        <v>124.45673,51.36081</v>
      </c>
    </row>
    <row r="373">
      <c r="A373" t="str">
        <v>鄂温克族自治旗</v>
      </c>
      <c r="B373" t="str">
        <f>49.143293</f>
        <v>119.754041</v>
      </c>
      <c r="C373" t="str">
        <v>内蒙古自治区</v>
      </c>
      <c r="D373" t="str">
        <v>124.45673,51.36081</v>
      </c>
    </row>
    <row r="374">
      <c r="A374" t="str">
        <v>陈巴尔虎旗</v>
      </c>
      <c r="B374" t="str">
        <f>49.328422</f>
        <v>119.437609</v>
      </c>
      <c r="C374" t="str">
        <v>内蒙古自治区</v>
      </c>
      <c r="D374" t="str">
        <v>124.45673,51.36081</v>
      </c>
    </row>
    <row r="375">
      <c r="A375" t="str">
        <v>新巴尔虎左旗</v>
      </c>
      <c r="B375" t="str">
        <f>48.216571</f>
        <v>118.267454</v>
      </c>
      <c r="C375" t="str">
        <v>内蒙古自治区</v>
      </c>
      <c r="D375" t="str">
        <v>124.45673,51.36081</v>
      </c>
    </row>
    <row r="376">
      <c r="A376" t="str">
        <v>新巴尔虎右旗</v>
      </c>
      <c r="B376" t="str">
        <f>48.669134</f>
        <v>116.825991</v>
      </c>
      <c r="C376" t="str">
        <v>内蒙古自治区</v>
      </c>
      <c r="D376" t="str">
        <v>124.45673,51.36081</v>
      </c>
    </row>
    <row r="377">
      <c r="A377" t="str">
        <v>满洲里市</v>
      </c>
      <c r="B377" t="str">
        <f>49.590788</f>
        <v>117.455561</v>
      </c>
      <c r="C377" t="str">
        <v>内蒙古自治区</v>
      </c>
      <c r="D377" t="str">
        <v>124.45673,51.36081</v>
      </c>
    </row>
    <row r="378">
      <c r="A378" t="str">
        <v>牙克石市</v>
      </c>
      <c r="B378" t="str">
        <f>49.287024</f>
        <v>120.729005</v>
      </c>
      <c r="C378" t="str">
        <v>内蒙古自治区</v>
      </c>
      <c r="D378" t="str">
        <v>124.45673,51.36081</v>
      </c>
    </row>
    <row r="379">
      <c r="A379" t="str">
        <v>扎兰屯市</v>
      </c>
      <c r="B379" t="str">
        <f>48.007412</f>
        <v>122.744401</v>
      </c>
      <c r="C379" t="str">
        <v>内蒙古自治区</v>
      </c>
      <c r="D379" t="str">
        <v>124.45673,51.36081</v>
      </c>
    </row>
    <row r="380">
      <c r="A380" t="str">
        <v>额尔古纳市</v>
      </c>
      <c r="B380" t="str">
        <f>50.2439</f>
        <v>120.178636</v>
      </c>
      <c r="C380" t="str">
        <v>内蒙古自治区</v>
      </c>
      <c r="D380" t="str">
        <v>124.45673,51.36081</v>
      </c>
    </row>
    <row r="381">
      <c r="A381" t="str">
        <v>根河市</v>
      </c>
      <c r="B381" t="str">
        <f>50.780454</f>
        <v>121.532724</v>
      </c>
      <c r="C381" t="str">
        <v>内蒙古自治区</v>
      </c>
      <c r="D381" t="str">
        <v>124.45673,51.36081</v>
      </c>
    </row>
    <row r="382">
      <c r="A382" t="str">
        <v>临河区</v>
      </c>
      <c r="B382" t="str">
        <f>40.757092</f>
        <v>107.417018</v>
      </c>
      <c r="C382" t="str">
        <v>内蒙古自治区</v>
      </c>
      <c r="D382" t="str">
        <v>124.45673,51.36081</v>
      </c>
    </row>
    <row r="383">
      <c r="A383" t="str">
        <v>五原县</v>
      </c>
      <c r="B383" t="str">
        <f>41.097639</f>
        <v>108.270658</v>
      </c>
      <c r="C383" t="str">
        <v>内蒙古自治区</v>
      </c>
      <c r="D383" t="str">
        <v>124.45673,51.36081</v>
      </c>
    </row>
    <row r="384">
      <c r="A384" t="str">
        <v>磴口县</v>
      </c>
      <c r="B384" t="str">
        <f>40.330479</f>
        <v>107.006056</v>
      </c>
      <c r="C384" t="str">
        <v>内蒙古自治区</v>
      </c>
      <c r="D384" t="str">
        <v>124.45673,51.36081</v>
      </c>
    </row>
    <row r="385">
      <c r="A385" t="str">
        <v>乌拉特前旗</v>
      </c>
      <c r="B385" t="str">
        <f>40.725209</f>
        <v>108.656816</v>
      </c>
      <c r="C385" t="str">
        <v>内蒙古自治区</v>
      </c>
      <c r="D385" t="str">
        <v>124.45673,51.36081</v>
      </c>
    </row>
    <row r="386">
      <c r="A386" t="str">
        <v>乌拉特中旗</v>
      </c>
      <c r="B386" t="str">
        <f>41.57254</f>
        <v>108.515255</v>
      </c>
      <c r="C386" t="str">
        <v>内蒙古自治区</v>
      </c>
      <c r="D386" t="str">
        <v>124.45673,51.36081</v>
      </c>
    </row>
    <row r="387">
      <c r="A387" t="str">
        <v>乌拉特后旗</v>
      </c>
      <c r="B387" t="str">
        <f>41.084307</f>
        <v>107.074941</v>
      </c>
      <c r="C387" t="str">
        <v>内蒙古自治区</v>
      </c>
      <c r="D387" t="str">
        <v>124.45673,51.36081</v>
      </c>
    </row>
    <row r="388">
      <c r="A388" t="str">
        <v>杭锦后旗</v>
      </c>
      <c r="B388" t="str">
        <f>40.888797</f>
        <v>107.147682</v>
      </c>
      <c r="C388" t="str">
        <v>内蒙古自治区</v>
      </c>
      <c r="D388" t="str">
        <v>124.45673,51.36081</v>
      </c>
    </row>
    <row r="389">
      <c r="A389" t="str">
        <v>集宁区</v>
      </c>
      <c r="B389" t="str">
        <f>41.034134</f>
        <v>113.116453</v>
      </c>
      <c r="C389" t="str">
        <v>内蒙古自治区</v>
      </c>
      <c r="D389" t="str">
        <v>124.45673,51.36081</v>
      </c>
    </row>
    <row r="390">
      <c r="A390" t="str">
        <v>卓资县</v>
      </c>
      <c r="B390" t="str">
        <f>40.89576</f>
        <v>112.577702</v>
      </c>
      <c r="C390" t="str">
        <v>内蒙古自治区</v>
      </c>
      <c r="D390" t="str">
        <v>124.45673,51.36081</v>
      </c>
    </row>
    <row r="391">
      <c r="A391" t="str">
        <v>化德县</v>
      </c>
      <c r="B391" t="str">
        <f>41.899335</f>
        <v>114.01008</v>
      </c>
      <c r="C391" t="str">
        <v>内蒙古自治区</v>
      </c>
      <c r="D391" t="str">
        <v>124.45673,51.36081</v>
      </c>
    </row>
    <row r="392">
      <c r="A392" t="str">
        <v>商都县</v>
      </c>
      <c r="B392" t="str">
        <f>41.560163</f>
        <v>113.560643</v>
      </c>
      <c r="C392" t="str">
        <v>内蒙古自治区</v>
      </c>
      <c r="D392" t="str">
        <v>124.45673,51.36081</v>
      </c>
    </row>
    <row r="393">
      <c r="A393" t="str">
        <v>兴和县</v>
      </c>
      <c r="B393" t="str">
        <f>40.872437</f>
        <v>113.834009</v>
      </c>
      <c r="C393" t="str">
        <v>内蒙古自治区</v>
      </c>
      <c r="D393" t="str">
        <v>124.45673,51.36081</v>
      </c>
    </row>
    <row r="394">
      <c r="A394" t="str">
        <v>凉城县</v>
      </c>
      <c r="B394" t="str">
        <f>40.531627</f>
        <v>112.500911</v>
      </c>
      <c r="C394" t="str">
        <v>内蒙古自治区</v>
      </c>
      <c r="D394" t="str">
        <v>124.45673,51.36081</v>
      </c>
    </row>
    <row r="395">
      <c r="A395" t="str">
        <v>察哈尔右翼前旗</v>
      </c>
      <c r="B395" t="str">
        <f>40.786859</f>
        <v>113.211958</v>
      </c>
      <c r="C395" t="str">
        <v>内蒙古自治区</v>
      </c>
      <c r="D395" t="str">
        <v>124.45673,51.36081</v>
      </c>
    </row>
    <row r="396">
      <c r="A396" t="str">
        <v>察哈尔右翼中旗</v>
      </c>
      <c r="B396" t="str">
        <f>41.274212</f>
        <v>112.633563</v>
      </c>
      <c r="C396" t="str">
        <v>内蒙古自治区</v>
      </c>
      <c r="D396" t="str">
        <v>124.45673,51.36081</v>
      </c>
    </row>
    <row r="397">
      <c r="A397" t="str">
        <v>察哈尔右翼后旗</v>
      </c>
      <c r="B397" t="str">
        <f>41.447213</f>
        <v>113.1906</v>
      </c>
      <c r="C397" t="str">
        <v>内蒙古自治区</v>
      </c>
      <c r="D397" t="str">
        <v>124.45673,51.36081</v>
      </c>
    </row>
    <row r="398">
      <c r="A398" t="str">
        <v>四子王旗</v>
      </c>
      <c r="B398" t="str">
        <f>41.528114</f>
        <v>111.70123</v>
      </c>
      <c r="C398" t="str">
        <v>内蒙古自治区</v>
      </c>
      <c r="D398" t="str">
        <v>124.45673,51.36081</v>
      </c>
    </row>
    <row r="399">
      <c r="A399" t="str">
        <v>丰镇市</v>
      </c>
      <c r="B399" t="str">
        <f>40.437534</f>
        <v>113.163462</v>
      </c>
      <c r="C399" t="str">
        <v>内蒙古自治区</v>
      </c>
      <c r="D399" t="str">
        <v>124.45673,51.36081</v>
      </c>
    </row>
    <row r="400">
      <c r="A400" t="str">
        <v>乌兰浩特市</v>
      </c>
      <c r="B400" t="str">
        <f>46.077238</f>
        <v>122.068975</v>
      </c>
      <c r="C400" t="str">
        <v>内蒙古自治区</v>
      </c>
      <c r="D400" t="str">
        <v>124.45673,51.36081</v>
      </c>
    </row>
    <row r="401">
      <c r="A401" t="str">
        <v>阿尔山市</v>
      </c>
      <c r="B401" t="str">
        <f>47.177</f>
        <v>119.943656</v>
      </c>
      <c r="C401" t="str">
        <v>内蒙古自治区</v>
      </c>
      <c r="D401" t="str">
        <v>124.45673,51.36081</v>
      </c>
    </row>
    <row r="402">
      <c r="A402" t="str">
        <v>科尔沁右翼前旗</v>
      </c>
      <c r="B402" t="str">
        <f>46.076497</f>
        <v>121.957544</v>
      </c>
      <c r="C402" t="str">
        <v>内蒙古自治区</v>
      </c>
      <c r="D402" t="str">
        <v>124.45673,51.36081</v>
      </c>
    </row>
    <row r="403">
      <c r="A403" t="str">
        <v>科尔沁右翼中旗</v>
      </c>
      <c r="B403" t="str">
        <f>45.059645</f>
        <v>121.472818</v>
      </c>
      <c r="C403" t="str">
        <v>内蒙古自治区</v>
      </c>
      <c r="D403" t="str">
        <v>124.45673,51.36081</v>
      </c>
    </row>
    <row r="404">
      <c r="A404" t="str">
        <v>扎赉特旗</v>
      </c>
      <c r="B404" t="str">
        <f>46.725136</f>
        <v>122.909332</v>
      </c>
      <c r="C404" t="str">
        <v>内蒙古自治区</v>
      </c>
      <c r="D404" t="str">
        <v>124.45673,51.36081</v>
      </c>
    </row>
    <row r="405">
      <c r="A405" t="str">
        <v>突泉县</v>
      </c>
      <c r="B405" t="str">
        <f>45.380986</f>
        <v>121.564856</v>
      </c>
      <c r="C405" t="str">
        <v>内蒙古自治区</v>
      </c>
      <c r="D405" t="str">
        <v>124.45673,51.36081</v>
      </c>
    </row>
    <row r="406">
      <c r="A406" t="str">
        <v>二连浩特市</v>
      </c>
      <c r="B406" t="str">
        <f>43.652895</f>
        <v>111.97981</v>
      </c>
      <c r="C406" t="str">
        <v>内蒙古自治区</v>
      </c>
      <c r="D406" t="str">
        <v>124.45673,51.36081</v>
      </c>
    </row>
    <row r="407">
      <c r="A407" t="str">
        <v>锡林浩特市</v>
      </c>
      <c r="B407" t="str">
        <f>43.944301</f>
        <v>116.091903</v>
      </c>
      <c r="C407" t="str">
        <v>内蒙古自治区</v>
      </c>
      <c r="D407" t="str">
        <v>124.45673,51.36081</v>
      </c>
    </row>
    <row r="408">
      <c r="A408" t="str">
        <v>阿巴嘎旗</v>
      </c>
      <c r="B408" t="str">
        <f>44.022728</f>
        <v>114.970618</v>
      </c>
      <c r="C408" t="str">
        <v>内蒙古自治区</v>
      </c>
      <c r="D408" t="str">
        <v>124.45673,51.36081</v>
      </c>
    </row>
    <row r="409">
      <c r="A409" t="str">
        <v>苏尼特左旗</v>
      </c>
      <c r="B409" t="str">
        <f>43.854108</f>
        <v>113.653412</v>
      </c>
      <c r="C409" t="str">
        <v>内蒙古自治区</v>
      </c>
      <c r="D409" t="str">
        <v>124.45673,51.36081</v>
      </c>
    </row>
    <row r="410">
      <c r="A410" t="str">
        <v>苏尼特右旗</v>
      </c>
      <c r="B410" t="str">
        <f>42.746662</f>
        <v>112.65539</v>
      </c>
      <c r="C410" t="str">
        <v>内蒙古自治区</v>
      </c>
      <c r="D410" t="str">
        <v>124.45673,51.36081</v>
      </c>
    </row>
    <row r="411">
      <c r="A411" t="str">
        <v>东乌珠穆沁旗</v>
      </c>
      <c r="B411" t="str">
        <f>45.510307</f>
        <v>116.980022</v>
      </c>
      <c r="C411" t="str">
        <v>内蒙古自治区</v>
      </c>
      <c r="D411" t="str">
        <v>124.45673,51.36081</v>
      </c>
    </row>
    <row r="412">
      <c r="A412" t="str">
        <v>西乌珠穆沁旗</v>
      </c>
      <c r="B412" t="str">
        <f>44.586147</f>
        <v>117.615249</v>
      </c>
      <c r="C412" t="str">
        <v>内蒙古自治区</v>
      </c>
      <c r="D412" t="str">
        <v>124.45673,51.36081</v>
      </c>
    </row>
    <row r="413">
      <c r="A413" t="str">
        <v>太仆寺旗</v>
      </c>
      <c r="B413" t="str">
        <f>41.895199</f>
        <v>115.28728</v>
      </c>
      <c r="C413" t="str">
        <v>内蒙古自治区</v>
      </c>
      <c r="D413" t="str">
        <v>124.45673,51.36081</v>
      </c>
    </row>
    <row r="414">
      <c r="A414" t="str">
        <v>镶黄旗</v>
      </c>
      <c r="B414" t="str">
        <f>42.239229</f>
        <v>113.843869</v>
      </c>
      <c r="C414" t="str">
        <v>内蒙古自治区</v>
      </c>
      <c r="D414" t="str">
        <v>124.45673,51.36081</v>
      </c>
    </row>
    <row r="415">
      <c r="A415" t="str">
        <v>正镶白旗</v>
      </c>
      <c r="B415" t="str">
        <f>42.286807</f>
        <v>115.031423</v>
      </c>
      <c r="C415" t="str">
        <v>内蒙古自治区</v>
      </c>
      <c r="D415" t="str">
        <v>124.45673,51.36081</v>
      </c>
    </row>
    <row r="416">
      <c r="A416" t="str">
        <v>正蓝旗</v>
      </c>
      <c r="B416" t="str">
        <f>42.245895</f>
        <v>116.003311</v>
      </c>
      <c r="C416" t="str">
        <v>内蒙古自治区</v>
      </c>
      <c r="D416" t="str">
        <v>124.45673,51.36081</v>
      </c>
    </row>
    <row r="417">
      <c r="A417" t="str">
        <v>多伦县</v>
      </c>
      <c r="B417" t="str">
        <f>42.197962</f>
        <v>116.477288</v>
      </c>
      <c r="C417" t="str">
        <v>内蒙古自治区</v>
      </c>
      <c r="D417" t="str">
        <v>124.45673,51.36081</v>
      </c>
    </row>
    <row r="418">
      <c r="A418" t="str">
        <v>阿拉善左旗</v>
      </c>
      <c r="B418" t="str">
        <f>38.847241</f>
        <v>105.70192</v>
      </c>
      <c r="C418" t="str">
        <v>内蒙古自治区</v>
      </c>
      <c r="D418" t="str">
        <v>124.45673,51.36081</v>
      </c>
    </row>
    <row r="419">
      <c r="A419" t="str">
        <v>阿拉善右旗</v>
      </c>
      <c r="B419" t="str">
        <f>39.21159</f>
        <v>101.671984</v>
      </c>
      <c r="C419" t="str">
        <v>内蒙古自治区</v>
      </c>
      <c r="D419" t="str">
        <v>124.45673,51.36081</v>
      </c>
    </row>
    <row r="420">
      <c r="A420" t="str">
        <v>额济纳旗</v>
      </c>
      <c r="B420" t="str">
        <f>41.958813</f>
        <v>101.06944</v>
      </c>
      <c r="C420" t="str">
        <v>内蒙古自治区</v>
      </c>
      <c r="D420" t="str">
        <v>124.45673,51.36081</v>
      </c>
    </row>
    <row r="421">
      <c r="A421" t="str">
        <v>和平区</v>
      </c>
      <c r="B421" t="str">
        <f>41.788074</f>
        <v>123.406664</v>
      </c>
      <c r="C421" t="str">
        <v>辽宁省</v>
      </c>
      <c r="D421" t="str">
        <v>120.823884,40.530266</v>
      </c>
    </row>
    <row r="422">
      <c r="A422" t="str">
        <v>沈河区</v>
      </c>
      <c r="B422" t="str">
        <f>41.795591</f>
        <v>123.445696</v>
      </c>
      <c r="C422" t="str">
        <v>辽宁省</v>
      </c>
      <c r="D422" t="str">
        <v>120.823884,40.530266</v>
      </c>
    </row>
    <row r="423">
      <c r="A423" t="str">
        <v>大东区</v>
      </c>
      <c r="B423" t="str">
        <f>41.808503</f>
        <v>123.469956</v>
      </c>
      <c r="C423" t="str">
        <v>辽宁省</v>
      </c>
      <c r="D423" t="str">
        <v>120.823884,40.530266</v>
      </c>
    </row>
    <row r="424">
      <c r="A424" t="str">
        <v>皇姑区</v>
      </c>
      <c r="B424" t="str">
        <f>41.822336</f>
        <v>123.405677</v>
      </c>
      <c r="C424" t="str">
        <v>辽宁省</v>
      </c>
      <c r="D424" t="str">
        <v>120.823884,40.530266</v>
      </c>
    </row>
    <row r="425">
      <c r="A425" t="str">
        <v>铁西区</v>
      </c>
      <c r="B425" t="str">
        <f>41.787808</f>
        <v>123.350664</v>
      </c>
      <c r="C425" t="str">
        <v>辽宁省</v>
      </c>
      <c r="D425" t="str">
        <v>120.823884,40.530266</v>
      </c>
    </row>
    <row r="426">
      <c r="A426" t="str">
        <v>苏家屯区</v>
      </c>
      <c r="B426" t="str">
        <f>41.665904</f>
        <v>123.341604</v>
      </c>
      <c r="C426" t="str">
        <v>辽宁省</v>
      </c>
      <c r="D426" t="str">
        <v>120.823884,40.530266</v>
      </c>
    </row>
    <row r="427">
      <c r="A427" t="str">
        <v>浑南区</v>
      </c>
      <c r="B427" t="str">
        <f>41.741946</f>
        <v>123.458981</v>
      </c>
      <c r="C427" t="str">
        <v>辽宁省</v>
      </c>
      <c r="D427" t="str">
        <v>120.823884,40.530266</v>
      </c>
    </row>
    <row r="428">
      <c r="A428" t="str">
        <v>沈北新区</v>
      </c>
      <c r="B428" t="str">
        <f>42.052312</f>
        <v>123.521471</v>
      </c>
      <c r="C428" t="str">
        <v>辽宁省</v>
      </c>
      <c r="D428" t="str">
        <v>120.823884,40.530266</v>
      </c>
    </row>
    <row r="429">
      <c r="A429" t="str">
        <v>于洪区</v>
      </c>
      <c r="B429" t="str">
        <f>41.795833</f>
        <v>123.310829</v>
      </c>
      <c r="C429" t="str">
        <v>辽宁省</v>
      </c>
      <c r="D429" t="str">
        <v>120.823884,40.530266</v>
      </c>
    </row>
    <row r="430">
      <c r="A430" t="str">
        <v>辽中区</v>
      </c>
      <c r="B430" t="str">
        <f>41.512725</f>
        <v>122.731269</v>
      </c>
      <c r="C430" t="str">
        <v>辽宁省</v>
      </c>
      <c r="D430" t="str">
        <v>120.823884,40.530266</v>
      </c>
    </row>
    <row r="431">
      <c r="A431" t="str">
        <v>康平县</v>
      </c>
      <c r="B431" t="str">
        <f>42.741533</f>
        <v>123.352703</v>
      </c>
      <c r="C431" t="str">
        <v>辽宁省</v>
      </c>
      <c r="D431" t="str">
        <v>120.823884,40.530266</v>
      </c>
    </row>
    <row r="432">
      <c r="A432" t="str">
        <v>法库县</v>
      </c>
      <c r="B432" t="str">
        <f>42.507045</f>
        <v>123.416722</v>
      </c>
      <c r="C432" t="str">
        <v>辽宁省</v>
      </c>
      <c r="D432" t="str">
        <v>120.823884,40.530266</v>
      </c>
    </row>
    <row r="433">
      <c r="A433" t="str">
        <v>新民市</v>
      </c>
      <c r="B433" t="str">
        <f>41.996508</f>
        <v>122.828868</v>
      </c>
      <c r="C433" t="str">
        <v>辽宁省</v>
      </c>
      <c r="D433" t="str">
        <v>120.823884,40.530266</v>
      </c>
    </row>
    <row r="434">
      <c r="A434" t="str">
        <v>中山区</v>
      </c>
      <c r="B434" t="str">
        <f>38.921553</f>
        <v>121.64376</v>
      </c>
      <c r="C434" t="str">
        <v>辽宁省</v>
      </c>
      <c r="D434" t="str">
        <v>120.823884,40.530266</v>
      </c>
    </row>
    <row r="435">
      <c r="A435" t="str">
        <v>西岗区</v>
      </c>
      <c r="B435" t="str">
        <f>38.914266</f>
        <v>121.616112</v>
      </c>
      <c r="C435" t="str">
        <v>辽宁省</v>
      </c>
      <c r="D435" t="str">
        <v>120.823884,40.530266</v>
      </c>
    </row>
    <row r="436">
      <c r="A436" t="str">
        <v>沙河口区</v>
      </c>
      <c r="B436" t="str">
        <f>38.912859</f>
        <v>121.593702</v>
      </c>
      <c r="C436" t="str">
        <v>辽宁省</v>
      </c>
      <c r="D436" t="str">
        <v>120.823884,40.530266</v>
      </c>
    </row>
    <row r="437">
      <c r="A437" t="str">
        <v>甘井子区</v>
      </c>
      <c r="B437" t="str">
        <f>38.975148</f>
        <v>121.582614</v>
      </c>
      <c r="C437" t="str">
        <v>辽宁省</v>
      </c>
      <c r="D437" t="str">
        <v>120.823884,40.530266</v>
      </c>
    </row>
    <row r="438">
      <c r="A438" t="str">
        <v>旅顺口区</v>
      </c>
      <c r="B438" t="str">
        <f>38.812043</f>
        <v>121.26713</v>
      </c>
      <c r="C438" t="str">
        <v>辽宁省</v>
      </c>
      <c r="D438" t="str">
        <v>120.823884,40.530266</v>
      </c>
    </row>
    <row r="439">
      <c r="A439" t="str">
        <v>金州区</v>
      </c>
      <c r="B439" t="str">
        <f>39.052745</f>
        <v>121.789413</v>
      </c>
      <c r="C439" t="str">
        <v>辽宁省</v>
      </c>
      <c r="D439" t="str">
        <v>120.823884,40.530266</v>
      </c>
    </row>
    <row r="440">
      <c r="A440" t="str">
        <v>普兰店区</v>
      </c>
      <c r="B440" t="str">
        <f>39.401555</f>
        <v>121.9705</v>
      </c>
      <c r="C440" t="str">
        <v>辽宁省</v>
      </c>
      <c r="D440" t="str">
        <v>120.823884,40.530266</v>
      </c>
    </row>
    <row r="441">
      <c r="A441" t="str">
        <v>长海县</v>
      </c>
      <c r="B441" t="str">
        <f>39.272399</f>
        <v>122.587824</v>
      </c>
      <c r="C441" t="str">
        <v>辽宁省</v>
      </c>
      <c r="D441" t="str">
        <v>120.823884,40.530266</v>
      </c>
    </row>
    <row r="442">
      <c r="A442" t="str">
        <v>瓦房店市</v>
      </c>
      <c r="B442" t="str">
        <f>39.63065</f>
        <v>122.002656</v>
      </c>
      <c r="C442" t="str">
        <v>辽宁省</v>
      </c>
      <c r="D442" t="str">
        <v>120.823884,40.530266</v>
      </c>
    </row>
    <row r="443">
      <c r="A443" t="str">
        <v>庄河市</v>
      </c>
      <c r="B443" t="str">
        <f>39.69829</f>
        <v>122.970612</v>
      </c>
      <c r="C443" t="str">
        <v>辽宁省</v>
      </c>
      <c r="D443" t="str">
        <v>120.823884,40.530266</v>
      </c>
    </row>
    <row r="444">
      <c r="A444" t="str">
        <v>铁东区</v>
      </c>
      <c r="B444" t="str">
        <f>41.110344</f>
        <v>122.994475</v>
      </c>
      <c r="C444" t="str">
        <v>辽宁省</v>
      </c>
      <c r="D444" t="str">
        <v>120.823884,40.530266</v>
      </c>
    </row>
    <row r="445">
      <c r="A445" t="str">
        <v>铁西区</v>
      </c>
      <c r="B445" t="str">
        <f>41.11069</f>
        <v>122.971834</v>
      </c>
      <c r="C445" t="str">
        <v>辽宁省</v>
      </c>
      <c r="D445" t="str">
        <v>120.823884,40.530266</v>
      </c>
    </row>
    <row r="446">
      <c r="A446" t="str">
        <v>立山区</v>
      </c>
      <c r="B446" t="str">
        <f>41.150622</f>
        <v>123.024806</v>
      </c>
      <c r="C446" t="str">
        <v>辽宁省</v>
      </c>
      <c r="D446" t="str">
        <v>120.823884,40.530266</v>
      </c>
    </row>
    <row r="447">
      <c r="A447" t="str">
        <v>千山区</v>
      </c>
      <c r="B447" t="str">
        <f>41.068909</f>
        <v>122.949298</v>
      </c>
      <c r="C447" t="str">
        <v>辽宁省</v>
      </c>
      <c r="D447" t="str">
        <v>120.823884,40.530266</v>
      </c>
    </row>
    <row r="448">
      <c r="A448" t="str">
        <v>台安县</v>
      </c>
      <c r="B448" t="str">
        <f>41.38686</f>
        <v>122.429736</v>
      </c>
      <c r="C448" t="str">
        <v>辽宁省</v>
      </c>
      <c r="D448" t="str">
        <v>120.823884,40.530266</v>
      </c>
    </row>
    <row r="449">
      <c r="A449" t="str">
        <v>岫岩满族自治县</v>
      </c>
      <c r="B449" t="str">
        <f>40.281509</f>
        <v>123.28833</v>
      </c>
      <c r="C449" t="str">
        <v>辽宁省</v>
      </c>
      <c r="D449" t="str">
        <v>120.823884,40.530266</v>
      </c>
    </row>
    <row r="450">
      <c r="A450" t="str">
        <v>海城市</v>
      </c>
      <c r="B450" t="str">
        <f>40.852533</f>
        <v>122.752199</v>
      </c>
      <c r="C450" t="str">
        <v>辽宁省</v>
      </c>
      <c r="D450" t="str">
        <v>120.823884,40.530266</v>
      </c>
    </row>
    <row r="451">
      <c r="A451" t="str">
        <v>新抚区</v>
      </c>
      <c r="B451" t="str">
        <f>41.86082</f>
        <v>123.902858</v>
      </c>
      <c r="C451" t="str">
        <v>辽宁省</v>
      </c>
      <c r="D451" t="str">
        <v>120.823884,40.530266</v>
      </c>
    </row>
    <row r="452">
      <c r="A452" t="str">
        <v>东洲区</v>
      </c>
      <c r="B452" t="str">
        <f>41.866829</f>
        <v>124.047219</v>
      </c>
      <c r="C452" t="str">
        <v>辽宁省</v>
      </c>
      <c r="D452" t="str">
        <v>120.823884,40.530266</v>
      </c>
    </row>
    <row r="453">
      <c r="A453" t="str">
        <v>望花区</v>
      </c>
      <c r="B453" t="str">
        <f>41.851803</f>
        <v>123.801509</v>
      </c>
      <c r="C453" t="str">
        <v>辽宁省</v>
      </c>
      <c r="D453" t="str">
        <v>120.823884,40.530266</v>
      </c>
    </row>
    <row r="454">
      <c r="A454" t="str">
        <v>顺城区</v>
      </c>
      <c r="B454" t="str">
        <f>41.881132</f>
        <v>123.917165</v>
      </c>
      <c r="C454" t="str">
        <v>辽宁省</v>
      </c>
      <c r="D454" t="str">
        <v>120.823884,40.530266</v>
      </c>
    </row>
    <row r="455">
      <c r="A455" t="str">
        <v>抚顺县</v>
      </c>
      <c r="B455" t="str">
        <f>41.922644</f>
        <v>124.097979</v>
      </c>
      <c r="C455" t="str">
        <v>辽宁省</v>
      </c>
      <c r="D455" t="str">
        <v>120.823884,40.530266</v>
      </c>
    </row>
    <row r="456">
      <c r="A456" t="str">
        <v>新宾满族自治县</v>
      </c>
      <c r="B456" t="str">
        <f>41.732456</f>
        <v>125.037547</v>
      </c>
      <c r="C456" t="str">
        <v>辽宁省</v>
      </c>
      <c r="D456" t="str">
        <v>120.823884,40.530266</v>
      </c>
    </row>
    <row r="457">
      <c r="A457" t="str">
        <v>清原满族自治县</v>
      </c>
      <c r="B457" t="str">
        <f>42.10135</f>
        <v>124.927192</v>
      </c>
      <c r="C457" t="str">
        <v>辽宁省</v>
      </c>
      <c r="D457" t="str">
        <v>120.823884,40.530266</v>
      </c>
    </row>
    <row r="458">
      <c r="A458" t="str">
        <v>平山区</v>
      </c>
      <c r="B458" t="str">
        <f>41.291581</f>
        <v>123.761231</v>
      </c>
      <c r="C458" t="str">
        <v>辽宁省</v>
      </c>
      <c r="D458" t="str">
        <v>120.823884,40.530266</v>
      </c>
    </row>
    <row r="459">
      <c r="A459" t="str">
        <v>溪湖区</v>
      </c>
      <c r="B459" t="str">
        <f>41.330056</f>
        <v>123.765226</v>
      </c>
      <c r="C459" t="str">
        <v>辽宁省</v>
      </c>
      <c r="D459" t="str">
        <v>120.823884,40.530266</v>
      </c>
    </row>
    <row r="460">
      <c r="A460" t="str">
        <v>明山区</v>
      </c>
      <c r="B460" t="str">
        <f>41.302429</f>
        <v>123.763288</v>
      </c>
      <c r="C460" t="str">
        <v>辽宁省</v>
      </c>
      <c r="D460" t="str">
        <v>120.823884,40.530266</v>
      </c>
    </row>
    <row r="461">
      <c r="A461" t="str">
        <v>南芬区</v>
      </c>
      <c r="B461" t="str">
        <f>41.104093</f>
        <v>123.748381</v>
      </c>
      <c r="C461" t="str">
        <v>辽宁省</v>
      </c>
      <c r="D461" t="str">
        <v>120.823884,40.530266</v>
      </c>
    </row>
    <row r="462">
      <c r="A462" t="str">
        <v>本溪满族自治县</v>
      </c>
      <c r="B462" t="str">
        <f>41.300344</f>
        <v>124.126156</v>
      </c>
      <c r="C462" t="str">
        <v>辽宁省</v>
      </c>
      <c r="D462" t="str">
        <v>120.823884,40.530266</v>
      </c>
    </row>
    <row r="463">
      <c r="A463" t="str">
        <v>桓仁满族自治县</v>
      </c>
      <c r="B463" t="str">
        <f>41.268997</f>
        <v>125.359195</v>
      </c>
      <c r="C463" t="str">
        <v>辽宁省</v>
      </c>
      <c r="D463" t="str">
        <v>120.823884,40.530266</v>
      </c>
    </row>
    <row r="464">
      <c r="A464" t="str">
        <v>元宝区</v>
      </c>
      <c r="B464" t="str">
        <f>40.136483</f>
        <v>124.397814</v>
      </c>
      <c r="C464" t="str">
        <v>辽宁省</v>
      </c>
      <c r="D464" t="str">
        <v>120.823884,40.530266</v>
      </c>
    </row>
    <row r="465">
      <c r="A465" t="str">
        <v>振兴区</v>
      </c>
      <c r="B465" t="str">
        <f>40.102801</f>
        <v>124.361153</v>
      </c>
      <c r="C465" t="str">
        <v>辽宁省</v>
      </c>
      <c r="D465" t="str">
        <v>120.823884,40.530266</v>
      </c>
    </row>
    <row r="466">
      <c r="A466" t="str">
        <v>振安区</v>
      </c>
      <c r="B466" t="str">
        <f>40.158557</f>
        <v>124.427709</v>
      </c>
      <c r="C466" t="str">
        <v>辽宁省</v>
      </c>
      <c r="D466" t="str">
        <v>120.823884,40.530266</v>
      </c>
    </row>
    <row r="467">
      <c r="A467" t="str">
        <v>宽甸满族自治县</v>
      </c>
      <c r="B467" t="str">
        <f>40.730412</f>
        <v>124.784867</v>
      </c>
      <c r="C467" t="str">
        <v>辽宁省</v>
      </c>
      <c r="D467" t="str">
        <v>120.823884,40.530266</v>
      </c>
    </row>
    <row r="468">
      <c r="A468" t="str">
        <v>东港市</v>
      </c>
      <c r="B468" t="str">
        <f>39.883467</f>
        <v>124.149437</v>
      </c>
      <c r="C468" t="str">
        <v>辽宁省</v>
      </c>
      <c r="D468" t="str">
        <v>120.823884,40.530266</v>
      </c>
    </row>
    <row r="469">
      <c r="A469" t="str">
        <v>凤城市</v>
      </c>
      <c r="B469" t="str">
        <f>40.457567</f>
        <v>124.071067</v>
      </c>
      <c r="C469" t="str">
        <v>辽宁省</v>
      </c>
      <c r="D469" t="str">
        <v>120.823884,40.530266</v>
      </c>
    </row>
    <row r="470">
      <c r="A470" t="str">
        <v>古塔区</v>
      </c>
      <c r="B470" t="str">
        <f>41.115719</f>
        <v>121.130085</v>
      </c>
      <c r="C470" t="str">
        <v>辽宁省</v>
      </c>
      <c r="D470" t="str">
        <v>120.823884,40.530266</v>
      </c>
    </row>
    <row r="471">
      <c r="A471" t="str">
        <v>凌河区</v>
      </c>
      <c r="B471" t="str">
        <f>41.114662</f>
        <v>121.151304</v>
      </c>
      <c r="C471" t="str">
        <v>辽宁省</v>
      </c>
      <c r="D471" t="str">
        <v>120.823884,40.530266</v>
      </c>
    </row>
    <row r="472">
      <c r="A472" t="str">
        <v>太和区</v>
      </c>
      <c r="B472" t="str">
        <f>41.105378</f>
        <v>121.107297</v>
      </c>
      <c r="C472" t="str">
        <v>辽宁省</v>
      </c>
      <c r="D472" t="str">
        <v>120.823884,40.530266</v>
      </c>
    </row>
    <row r="473">
      <c r="A473" t="str">
        <v>黑山县</v>
      </c>
      <c r="B473" t="str">
        <f>41.691804</f>
        <v>122.117915</v>
      </c>
      <c r="C473" t="str">
        <v>辽宁省</v>
      </c>
      <c r="D473" t="str">
        <v>120.823884,40.530266</v>
      </c>
    </row>
    <row r="474">
      <c r="A474" t="str">
        <v>义县</v>
      </c>
      <c r="B474" t="str">
        <f>41.537224</f>
        <v>121.242831</v>
      </c>
      <c r="C474" t="str">
        <v>辽宁省</v>
      </c>
      <c r="D474" t="str">
        <v>120.823884,40.530266</v>
      </c>
    </row>
    <row r="475">
      <c r="A475" t="str">
        <v>凌海市</v>
      </c>
      <c r="B475" t="str">
        <f>41.171738</f>
        <v>121.364236</v>
      </c>
      <c r="C475" t="str">
        <v>辽宁省</v>
      </c>
      <c r="D475" t="str">
        <v>120.823884,40.530266</v>
      </c>
    </row>
    <row r="476">
      <c r="A476" t="str">
        <v>北镇市</v>
      </c>
      <c r="B476" t="str">
        <f>41.598764</f>
        <v>121.795962</v>
      </c>
      <c r="C476" t="str">
        <v>辽宁省</v>
      </c>
      <c r="D476" t="str">
        <v>120.823884,40.530266</v>
      </c>
    </row>
    <row r="477">
      <c r="A477" t="str">
        <v>站前区</v>
      </c>
      <c r="B477" t="str">
        <f>40.669949</f>
        <v>122.253235</v>
      </c>
      <c r="C477" t="str">
        <v>辽宁省</v>
      </c>
      <c r="D477" t="str">
        <v>120.823884,40.530266</v>
      </c>
    </row>
    <row r="478">
      <c r="A478" t="str">
        <v>西市区</v>
      </c>
      <c r="B478" t="str">
        <f>40.663086</f>
        <v>122.210067</v>
      </c>
      <c r="C478" t="str">
        <v>辽宁省</v>
      </c>
      <c r="D478" t="str">
        <v>120.823884,40.530266</v>
      </c>
    </row>
    <row r="479">
      <c r="A479" t="str">
        <v>鲅鱼圈区</v>
      </c>
      <c r="B479" t="str">
        <f>40.263646</f>
        <v>122.127242</v>
      </c>
      <c r="C479" t="str">
        <v>辽宁省</v>
      </c>
      <c r="D479" t="str">
        <v>120.823884,40.530266</v>
      </c>
    </row>
    <row r="480">
      <c r="A480" t="str">
        <v>老边区</v>
      </c>
      <c r="B480" t="str">
        <f>40.682723</f>
        <v>122.382584</v>
      </c>
      <c r="C480" t="str">
        <v>辽宁省</v>
      </c>
      <c r="D480" t="str">
        <v>120.823884,40.530266</v>
      </c>
    </row>
    <row r="481">
      <c r="A481" t="str">
        <v>盖州市</v>
      </c>
      <c r="B481" t="str">
        <f>40.405234</f>
        <v>122.355534</v>
      </c>
      <c r="C481" t="str">
        <v>辽宁省</v>
      </c>
      <c r="D481" t="str">
        <v>120.823884,40.530266</v>
      </c>
    </row>
    <row r="482">
      <c r="A482" t="str">
        <v>大石桥市</v>
      </c>
      <c r="B482" t="str">
        <f>40.633973</f>
        <v>122.505894</v>
      </c>
      <c r="C482" t="str">
        <v>辽宁省</v>
      </c>
      <c r="D482" t="str">
        <v>120.823884,40.530266</v>
      </c>
    </row>
    <row r="483">
      <c r="A483" t="str">
        <v>海州区</v>
      </c>
      <c r="B483" t="str">
        <f>42.011162</f>
        <v>121.657639</v>
      </c>
      <c r="C483" t="str">
        <v>辽宁省</v>
      </c>
      <c r="D483" t="str">
        <v>120.823884,40.530266</v>
      </c>
    </row>
    <row r="484">
      <c r="A484" t="str">
        <v>新邱区</v>
      </c>
      <c r="B484" t="str">
        <f>42.086603</f>
        <v>121.790541</v>
      </c>
      <c r="C484" t="str">
        <v>辽宁省</v>
      </c>
      <c r="D484" t="str">
        <v>120.823884,40.530266</v>
      </c>
    </row>
    <row r="485">
      <c r="A485" t="str">
        <v>太平区</v>
      </c>
      <c r="B485" t="str">
        <f>42.011145</f>
        <v>121.677575</v>
      </c>
      <c r="C485" t="str">
        <v>辽宁省</v>
      </c>
      <c r="D485" t="str">
        <v>120.823884,40.530266</v>
      </c>
    </row>
    <row r="486">
      <c r="A486" t="str">
        <v>清河门区</v>
      </c>
      <c r="B486" t="str">
        <f>41.780477</f>
        <v>121.42018</v>
      </c>
      <c r="C486" t="str">
        <v>辽宁省</v>
      </c>
      <c r="D486" t="str">
        <v>120.823884,40.530266</v>
      </c>
    </row>
    <row r="487">
      <c r="A487" t="str">
        <v>细河区</v>
      </c>
      <c r="B487" t="str">
        <f>42.019218</f>
        <v>121.654791</v>
      </c>
      <c r="C487" t="str">
        <v>辽宁省</v>
      </c>
      <c r="D487" t="str">
        <v>120.823884,40.530266</v>
      </c>
    </row>
    <row r="488">
      <c r="A488" t="str">
        <v>阜新蒙古族自治县</v>
      </c>
      <c r="B488" t="str">
        <f>42.058607</f>
        <v>121.743125</v>
      </c>
      <c r="C488" t="str">
        <v>辽宁省</v>
      </c>
      <c r="D488" t="str">
        <v>120.823884,40.530266</v>
      </c>
    </row>
    <row r="489">
      <c r="A489" t="str">
        <v>彰武县</v>
      </c>
      <c r="B489" t="str">
        <f>42.384823</f>
        <v>122.537444</v>
      </c>
      <c r="C489" t="str">
        <v>辽宁省</v>
      </c>
      <c r="D489" t="str">
        <v>120.823884,40.530266</v>
      </c>
    </row>
    <row r="490">
      <c r="A490" t="str">
        <v>白塔区</v>
      </c>
      <c r="B490" t="str">
        <f>41.26745</f>
        <v>123.172611</v>
      </c>
      <c r="C490" t="str">
        <v>辽宁省</v>
      </c>
      <c r="D490" t="str">
        <v>120.823884,40.530266</v>
      </c>
    </row>
    <row r="491">
      <c r="A491" t="str">
        <v>文圣区</v>
      </c>
      <c r="B491" t="str">
        <f>41.266765</f>
        <v>123.188227</v>
      </c>
      <c r="C491" t="str">
        <v>辽宁省</v>
      </c>
      <c r="D491" t="str">
        <v>120.823884,40.530266</v>
      </c>
    </row>
    <row r="492">
      <c r="A492" t="str">
        <v>宏伟区</v>
      </c>
      <c r="B492" t="str">
        <f>41.205747</f>
        <v>123.200461</v>
      </c>
      <c r="C492" t="str">
        <v>辽宁省</v>
      </c>
      <c r="D492" t="str">
        <v>120.823884,40.530266</v>
      </c>
    </row>
    <row r="493">
      <c r="A493" t="str">
        <v>弓长岭区</v>
      </c>
      <c r="B493" t="str">
        <f>41.157831</f>
        <v>123.431633</v>
      </c>
      <c r="C493" t="str">
        <v>辽宁省</v>
      </c>
      <c r="D493" t="str">
        <v>120.823884,40.530266</v>
      </c>
    </row>
    <row r="494">
      <c r="A494" t="str">
        <v>太子河区</v>
      </c>
      <c r="B494" t="str">
        <f>41.251682</f>
        <v>123.185336</v>
      </c>
      <c r="C494" t="str">
        <v>辽宁省</v>
      </c>
      <c r="D494" t="str">
        <v>120.823884,40.530266</v>
      </c>
    </row>
    <row r="495">
      <c r="A495" t="str">
        <v>辽阳县</v>
      </c>
      <c r="B495" t="str">
        <f>41.216479</f>
        <v>123.079674</v>
      </c>
      <c r="C495" t="str">
        <v>辽宁省</v>
      </c>
      <c r="D495" t="str">
        <v>120.823884,40.530266</v>
      </c>
    </row>
    <row r="496">
      <c r="A496" t="str">
        <v>灯塔市</v>
      </c>
      <c r="B496" t="str">
        <f>41.427836</f>
        <v>123.325864</v>
      </c>
      <c r="C496" t="str">
        <v>辽宁省</v>
      </c>
      <c r="D496" t="str">
        <v>120.823884,40.530266</v>
      </c>
    </row>
    <row r="497">
      <c r="A497" t="str">
        <v>双台子区</v>
      </c>
      <c r="B497" t="str">
        <f>41.190365</f>
        <v>122.055733</v>
      </c>
      <c r="C497" t="str">
        <v>辽宁省</v>
      </c>
      <c r="D497" t="str">
        <v>120.823884,40.530266</v>
      </c>
    </row>
    <row r="498">
      <c r="A498" t="str">
        <v>兴隆台区</v>
      </c>
      <c r="B498" t="str">
        <f>41.122423</f>
        <v>122.071624</v>
      </c>
      <c r="C498" t="str">
        <v>辽宁省</v>
      </c>
      <c r="D498" t="str">
        <v>120.823884,40.530266</v>
      </c>
    </row>
    <row r="499">
      <c r="A499" t="str">
        <v>大洼区</v>
      </c>
      <c r="B499" t="str">
        <f>40.994428</f>
        <v>122.071708</v>
      </c>
      <c r="C499" t="str">
        <v>辽宁省</v>
      </c>
      <c r="D499" t="str">
        <v>120.823884,40.530266</v>
      </c>
    </row>
    <row r="500">
      <c r="A500" t="str">
        <v>盘山县</v>
      </c>
      <c r="B500" t="str">
        <f>41.240701</f>
        <v>121.98528</v>
      </c>
      <c r="C500" t="str">
        <v>辽宁省</v>
      </c>
      <c r="D500" t="str">
        <v>120.823884,40.530266</v>
      </c>
    </row>
    <row r="501">
      <c r="A501" t="str">
        <v>银州区</v>
      </c>
      <c r="B501" t="str">
        <f>42.292278</f>
        <v>123.844877</v>
      </c>
      <c r="C501" t="str">
        <v>辽宁省</v>
      </c>
      <c r="D501" t="str">
        <v>120.823884,40.530266</v>
      </c>
    </row>
    <row r="502">
      <c r="A502" t="str">
        <v>清河区</v>
      </c>
      <c r="B502" t="str">
        <f>42.542978</f>
        <v>124.14896</v>
      </c>
      <c r="C502" t="str">
        <v>辽宁省</v>
      </c>
      <c r="D502" t="str">
        <v>120.823884,40.530266</v>
      </c>
    </row>
    <row r="503">
      <c r="A503" t="str">
        <v>铁岭县</v>
      </c>
      <c r="B503" t="str">
        <f>42.223316</f>
        <v>123.725669</v>
      </c>
      <c r="C503" t="str">
        <v>辽宁省</v>
      </c>
      <c r="D503" t="str">
        <v>120.823884,40.530266</v>
      </c>
    </row>
    <row r="504">
      <c r="A504" t="str">
        <v>西丰县</v>
      </c>
      <c r="B504" t="str">
        <f>42.738091</f>
        <v>124.72332</v>
      </c>
      <c r="C504" t="str">
        <v>辽宁省</v>
      </c>
      <c r="D504" t="str">
        <v>120.823884,40.530266</v>
      </c>
    </row>
    <row r="505">
      <c r="A505" t="str">
        <v>昌图县</v>
      </c>
      <c r="B505" t="str">
        <f>42.784441</f>
        <v>124.11017</v>
      </c>
      <c r="C505" t="str">
        <v>辽宁省</v>
      </c>
      <c r="D505" t="str">
        <v>120.823884,40.530266</v>
      </c>
    </row>
    <row r="506">
      <c r="A506" t="str">
        <v>调兵山市</v>
      </c>
      <c r="B506" t="str">
        <f>42.450734</f>
        <v>123.545366</v>
      </c>
      <c r="C506" t="str">
        <v>辽宁省</v>
      </c>
      <c r="D506" t="str">
        <v>120.823884,40.530266</v>
      </c>
    </row>
    <row r="507">
      <c r="A507" t="str">
        <v>开原市</v>
      </c>
      <c r="B507" t="str">
        <f>42.542141</f>
        <v>124.045551</v>
      </c>
      <c r="C507" t="str">
        <v>辽宁省</v>
      </c>
      <c r="D507" t="str">
        <v>120.823884,40.530266</v>
      </c>
    </row>
    <row r="508">
      <c r="A508" t="str">
        <v>双塔区</v>
      </c>
      <c r="B508" t="str">
        <f>41.579389</f>
        <v>120.44877</v>
      </c>
      <c r="C508" t="str">
        <v>辽宁省</v>
      </c>
      <c r="D508" t="str">
        <v>120.823884,40.530266</v>
      </c>
    </row>
    <row r="509">
      <c r="A509" t="str">
        <v>龙城区</v>
      </c>
      <c r="B509" t="str">
        <f>41.576749</f>
        <v>120.413376</v>
      </c>
      <c r="C509" t="str">
        <v>辽宁省</v>
      </c>
      <c r="D509" t="str">
        <v>120.823884,40.530266</v>
      </c>
    </row>
    <row r="510">
      <c r="A510" t="str">
        <v>朝阳县</v>
      </c>
      <c r="B510" t="str">
        <f>41.526342</f>
        <v>120.404217</v>
      </c>
      <c r="C510" t="str">
        <v>辽宁省</v>
      </c>
      <c r="D510" t="str">
        <v>120.823884,40.530266</v>
      </c>
    </row>
    <row r="511">
      <c r="A511" t="str">
        <v>建平县</v>
      </c>
      <c r="B511" t="str">
        <f>41.402576</f>
        <v>119.642363</v>
      </c>
      <c r="C511" t="str">
        <v>辽宁省</v>
      </c>
      <c r="D511" t="str">
        <v>120.823884,40.530266</v>
      </c>
    </row>
    <row r="512">
      <c r="A512" t="str">
        <v>喀喇沁左翼蒙古族自治县</v>
      </c>
      <c r="B512" t="str">
        <f>41.125428</f>
        <v>119.744883</v>
      </c>
      <c r="C512" t="str">
        <v>辽宁省</v>
      </c>
      <c r="D512" t="str">
        <v>120.823884,40.530266</v>
      </c>
    </row>
    <row r="513">
      <c r="A513" t="str">
        <v>北票市</v>
      </c>
      <c r="B513" t="str">
        <f>41.803286</f>
        <v>120.766951</v>
      </c>
      <c r="C513" t="str">
        <v>辽宁省</v>
      </c>
      <c r="D513" t="str">
        <v>120.823884,40.530266</v>
      </c>
    </row>
    <row r="514">
      <c r="A514" t="str">
        <v>凌源市</v>
      </c>
      <c r="B514" t="str">
        <f>41.243086</f>
        <v>119.404789</v>
      </c>
      <c r="C514" t="str">
        <v>辽宁省</v>
      </c>
      <c r="D514" t="str">
        <v>120.823884,40.530266</v>
      </c>
    </row>
    <row r="515">
      <c r="A515" t="str">
        <v>连山区</v>
      </c>
      <c r="B515" t="str">
        <f>40.755143</f>
        <v>120.85937</v>
      </c>
      <c r="C515" t="str">
        <v>辽宁省</v>
      </c>
      <c r="D515" t="str">
        <v>120.823884,40.530266</v>
      </c>
    </row>
    <row r="516">
      <c r="A516" t="str">
        <v>龙港区</v>
      </c>
      <c r="B516" t="str">
        <f>40.709991</f>
        <v>120.838569</v>
      </c>
      <c r="C516" t="str">
        <v>辽宁省</v>
      </c>
      <c r="D516" t="str">
        <v>120.823884,40.530266</v>
      </c>
    </row>
    <row r="517">
      <c r="A517" t="str">
        <v>南票区</v>
      </c>
      <c r="B517" t="str">
        <f>41.098813</f>
        <v>120.752314</v>
      </c>
      <c r="C517" t="str">
        <v>辽宁省</v>
      </c>
      <c r="D517" t="str">
        <v>120.823884,40.530266</v>
      </c>
    </row>
    <row r="518">
      <c r="A518" t="str">
        <v>绥中县</v>
      </c>
      <c r="B518" t="str">
        <f>40.328407</f>
        <v>120.342112</v>
      </c>
      <c r="C518" t="str">
        <v>辽宁省</v>
      </c>
      <c r="D518" t="str">
        <v>120.823884,40.530266</v>
      </c>
    </row>
    <row r="519">
      <c r="A519" t="str">
        <v>建昌县</v>
      </c>
      <c r="B519" t="str">
        <f>40.812871</f>
        <v>119.807776</v>
      </c>
      <c r="C519" t="str">
        <v>辽宁省</v>
      </c>
      <c r="D519" t="str">
        <v>120.823884,40.530266</v>
      </c>
    </row>
    <row r="520">
      <c r="A520" t="str">
        <v>兴城市</v>
      </c>
      <c r="B520" t="str">
        <f>40.619413</f>
        <v>120.729365</v>
      </c>
      <c r="C520" t="str">
        <v>辽宁省</v>
      </c>
      <c r="D520" t="str">
        <v>120.823884,40.530266</v>
      </c>
    </row>
    <row r="521">
      <c r="A521" t="str">
        <v>南关区</v>
      </c>
      <c r="B521" t="str">
        <f>43.890235</f>
        <v>125.337237</v>
      </c>
      <c r="C521" t="str">
        <v>吉林省</v>
      </c>
      <c r="D521" t="str">
        <v>126.605754,41.639697</v>
      </c>
    </row>
    <row r="522">
      <c r="A522" t="str">
        <v>宽城区</v>
      </c>
      <c r="B522" t="str">
        <f>43.903823</f>
        <v>125.342828</v>
      </c>
      <c r="C522" t="str">
        <v>吉林省</v>
      </c>
      <c r="D522" t="str">
        <v>126.605754,41.639697</v>
      </c>
    </row>
    <row r="523">
      <c r="A523" t="str">
        <v>朝阳区</v>
      </c>
      <c r="B523" t="str">
        <f>43.86491</f>
        <v>125.318042</v>
      </c>
      <c r="C523" t="str">
        <v>吉林省</v>
      </c>
      <c r="D523" t="str">
        <v>126.605754,41.639697</v>
      </c>
    </row>
    <row r="524">
      <c r="A524" t="str">
        <v>二道区</v>
      </c>
      <c r="B524" t="str">
        <f>43.870824</f>
        <v>125.384727</v>
      </c>
      <c r="C524" t="str">
        <v>吉林省</v>
      </c>
      <c r="D524" t="str">
        <v>126.605754,41.639697</v>
      </c>
    </row>
    <row r="525">
      <c r="A525" t="str">
        <v>绿园区</v>
      </c>
      <c r="B525" t="str">
        <f>43.892177</f>
        <v>125.272467</v>
      </c>
      <c r="C525" t="str">
        <v>吉林省</v>
      </c>
      <c r="D525" t="str">
        <v>126.605754,41.639697</v>
      </c>
    </row>
    <row r="526">
      <c r="A526" t="str">
        <v>双阳区</v>
      </c>
      <c r="B526" t="str">
        <f>43.525168</f>
        <v>125.659018</v>
      </c>
      <c r="C526" t="str">
        <v>吉林省</v>
      </c>
      <c r="D526" t="str">
        <v>126.605754,41.639697</v>
      </c>
    </row>
    <row r="527">
      <c r="A527" t="str">
        <v>九台区</v>
      </c>
      <c r="B527" t="str">
        <f>44.157155</f>
        <v>125.844682</v>
      </c>
      <c r="C527" t="str">
        <v>吉林省</v>
      </c>
      <c r="D527" t="str">
        <v>126.605754,41.639697</v>
      </c>
    </row>
    <row r="528">
      <c r="A528" t="str">
        <v>农安县</v>
      </c>
      <c r="B528" t="str">
        <f>44.431258</f>
        <v>125.175287</v>
      </c>
      <c r="C528" t="str">
        <v>吉林省</v>
      </c>
      <c r="D528" t="str">
        <v>126.605754,41.639697</v>
      </c>
    </row>
    <row r="529">
      <c r="A529" t="str">
        <v>榆树市</v>
      </c>
      <c r="B529" t="str">
        <f>44.827642</f>
        <v>126.550107</v>
      </c>
      <c r="C529" t="str">
        <v>吉林省</v>
      </c>
      <c r="D529" t="str">
        <v>126.605754,41.639697</v>
      </c>
    </row>
    <row r="530">
      <c r="A530" t="str">
        <v>德惠市</v>
      </c>
      <c r="B530" t="str">
        <f>44.533909</f>
        <v>125.703327</v>
      </c>
      <c r="C530" t="str">
        <v>吉林省</v>
      </c>
      <c r="D530" t="str">
        <v>126.605754,41.639697</v>
      </c>
    </row>
    <row r="531">
      <c r="A531" t="str">
        <v>公主岭市</v>
      </c>
      <c r="B531" t="str">
        <f>43.509474</f>
        <v>124.817588</v>
      </c>
      <c r="C531" t="str">
        <v>吉林省</v>
      </c>
      <c r="D531" t="str">
        <v>126.605754,41.639697</v>
      </c>
    </row>
    <row r="532">
      <c r="A532" t="str">
        <v>昌邑区</v>
      </c>
      <c r="B532" t="str">
        <f>43.851118</f>
        <v>126.570766</v>
      </c>
      <c r="C532" t="str">
        <v>吉林省</v>
      </c>
      <c r="D532" t="str">
        <v>126.605754,41.639697</v>
      </c>
    </row>
    <row r="533">
      <c r="A533" t="str">
        <v>龙潭区</v>
      </c>
      <c r="B533" t="str">
        <f>43.909755</f>
        <v>126.561429</v>
      </c>
      <c r="C533" t="str">
        <v>吉林省</v>
      </c>
      <c r="D533" t="str">
        <v>126.605754,41.639697</v>
      </c>
    </row>
    <row r="534">
      <c r="A534" t="str">
        <v>船营区</v>
      </c>
      <c r="B534" t="str">
        <f>43.843804</f>
        <v>126.55239</v>
      </c>
      <c r="C534" t="str">
        <v>吉林省</v>
      </c>
      <c r="D534" t="str">
        <v>126.605754,41.639697</v>
      </c>
    </row>
    <row r="535">
      <c r="A535" t="str">
        <v>丰满区</v>
      </c>
      <c r="B535" t="str">
        <f>43.816594</f>
        <v>126.560759</v>
      </c>
      <c r="C535" t="str">
        <v>吉林省</v>
      </c>
      <c r="D535" t="str">
        <v>126.605754,41.639697</v>
      </c>
    </row>
    <row r="536">
      <c r="A536" t="str">
        <v>永吉县</v>
      </c>
      <c r="B536" t="str">
        <f>43.667416</f>
        <v>126.501622</v>
      </c>
      <c r="C536" t="str">
        <v>吉林省</v>
      </c>
      <c r="D536" t="str">
        <v>126.605754,41.639697</v>
      </c>
    </row>
    <row r="537">
      <c r="A537" t="str">
        <v>蛟河市</v>
      </c>
      <c r="B537" t="str">
        <f>43.720579</f>
        <v>127.342739</v>
      </c>
      <c r="C537" t="str">
        <v>吉林省</v>
      </c>
      <c r="D537" t="str">
        <v>126.605754,41.639697</v>
      </c>
    </row>
    <row r="538">
      <c r="A538" t="str">
        <v>桦甸市</v>
      </c>
      <c r="B538" t="str">
        <f>42.972093</f>
        <v>126.745445</v>
      </c>
      <c r="C538" t="str">
        <v>吉林省</v>
      </c>
      <c r="D538" t="str">
        <v>126.605754,41.639697</v>
      </c>
    </row>
    <row r="539">
      <c r="A539" t="str">
        <v>舒兰市</v>
      </c>
      <c r="B539" t="str">
        <f>44.410906</f>
        <v>126.947813</v>
      </c>
      <c r="C539" t="str">
        <v>吉林省</v>
      </c>
      <c r="D539" t="str">
        <v>126.605754,41.639697</v>
      </c>
    </row>
    <row r="540">
      <c r="A540" t="str">
        <v>磐石市</v>
      </c>
      <c r="B540" t="str">
        <f>42.942476</f>
        <v>126.059929</v>
      </c>
      <c r="C540" t="str">
        <v>吉林省</v>
      </c>
      <c r="D540" t="str">
        <v>126.605754,41.639697</v>
      </c>
    </row>
    <row r="541">
      <c r="A541" t="str">
        <v>铁西区</v>
      </c>
      <c r="B541" t="str">
        <f>43.176263</f>
        <v>124.360894</v>
      </c>
      <c r="C541" t="str">
        <v>吉林省</v>
      </c>
      <c r="D541" t="str">
        <v>126.605754,41.639697</v>
      </c>
    </row>
    <row r="542">
      <c r="A542" t="str">
        <v>铁东区</v>
      </c>
      <c r="B542" t="str">
        <f>43.16726</f>
        <v>124.388464</v>
      </c>
      <c r="C542" t="str">
        <v>吉林省</v>
      </c>
      <c r="D542" t="str">
        <v>126.605754,41.639697</v>
      </c>
    </row>
    <row r="543">
      <c r="A543" t="str">
        <v>梨树县</v>
      </c>
      <c r="B543" t="str">
        <f>43.30831</f>
        <v>124.335802</v>
      </c>
      <c r="C543" t="str">
        <v>吉林省</v>
      </c>
      <c r="D543" t="str">
        <v>126.605754,41.639697</v>
      </c>
    </row>
    <row r="544">
      <c r="A544" t="str">
        <v>伊通满族自治县</v>
      </c>
      <c r="B544" t="str">
        <f>43.345464</f>
        <v>125.303124</v>
      </c>
      <c r="C544" t="str">
        <v>吉林省</v>
      </c>
      <c r="D544" t="str">
        <v>126.605754,41.639697</v>
      </c>
    </row>
    <row r="545">
      <c r="A545" t="str">
        <v>双辽市</v>
      </c>
      <c r="B545" t="str">
        <f>43.518275</f>
        <v>123.505283</v>
      </c>
      <c r="C545" t="str">
        <v>吉林省</v>
      </c>
      <c r="D545" t="str">
        <v>126.605754,41.639697</v>
      </c>
    </row>
    <row r="546">
      <c r="A546" t="str">
        <v>龙山区</v>
      </c>
      <c r="B546" t="str">
        <f>42.902702</f>
        <v>125.145164</v>
      </c>
      <c r="C546" t="str">
        <v>吉林省</v>
      </c>
      <c r="D546" t="str">
        <v>126.605754,41.639697</v>
      </c>
    </row>
    <row r="547">
      <c r="A547" t="str">
        <v>西安区</v>
      </c>
      <c r="B547" t="str">
        <f>42.920415</f>
        <v>125.151424</v>
      </c>
      <c r="C547" t="str">
        <v>吉林省</v>
      </c>
      <c r="D547" t="str">
        <v>126.605754,41.639697</v>
      </c>
    </row>
    <row r="548">
      <c r="A548" t="str">
        <v>东丰县</v>
      </c>
      <c r="B548" t="str">
        <f>42.675228</f>
        <v>125.529623</v>
      </c>
      <c r="C548" t="str">
        <v>吉林省</v>
      </c>
      <c r="D548" t="str">
        <v>126.605754,41.639697</v>
      </c>
    </row>
    <row r="549">
      <c r="A549" t="str">
        <v>东辽县</v>
      </c>
      <c r="B549" t="str">
        <f>42.927724</f>
        <v>124.991995</v>
      </c>
      <c r="C549" t="str">
        <v>吉林省</v>
      </c>
      <c r="D549" t="str">
        <v>126.605754,41.639697</v>
      </c>
    </row>
    <row r="550">
      <c r="A550" t="str">
        <v>东昌区</v>
      </c>
      <c r="B550" t="str">
        <f>41.721233</f>
        <v>125.936716</v>
      </c>
      <c r="C550" t="str">
        <v>吉林省</v>
      </c>
      <c r="D550" t="str">
        <v>126.605754,41.639697</v>
      </c>
    </row>
    <row r="551">
      <c r="A551" t="str">
        <v>二道江区</v>
      </c>
      <c r="B551" t="str">
        <f>41.777564</f>
        <v>126.045987</v>
      </c>
      <c r="C551" t="str">
        <v>吉林省</v>
      </c>
      <c r="D551" t="str">
        <v>126.605754,41.639697</v>
      </c>
    </row>
    <row r="552">
      <c r="A552" t="str">
        <v>通化县</v>
      </c>
      <c r="B552" t="str">
        <f>41.677918</f>
        <v>125.753121</v>
      </c>
      <c r="C552" t="str">
        <v>吉林省</v>
      </c>
      <c r="D552" t="str">
        <v>126.605754,41.639697</v>
      </c>
    </row>
    <row r="553">
      <c r="A553" t="str">
        <v>辉南县</v>
      </c>
      <c r="B553" t="str">
        <f>42.683459</f>
        <v>126.042821</v>
      </c>
      <c r="C553" t="str">
        <v>吉林省</v>
      </c>
      <c r="D553" t="str">
        <v>126.605754,41.639697</v>
      </c>
    </row>
    <row r="554">
      <c r="A554" t="str">
        <v>柳河县</v>
      </c>
      <c r="B554" t="str">
        <f>42.281484</f>
        <v>125.740536</v>
      </c>
      <c r="C554" t="str">
        <v>吉林省</v>
      </c>
      <c r="D554" t="str">
        <v>126.605754,41.639697</v>
      </c>
    </row>
    <row r="555">
      <c r="A555" t="str">
        <v>梅河口市</v>
      </c>
      <c r="B555" t="str">
        <f>42.530002</f>
        <v>125.687336</v>
      </c>
      <c r="C555" t="str">
        <v>吉林省</v>
      </c>
      <c r="D555" t="str">
        <v>126.605754,41.639697</v>
      </c>
    </row>
    <row r="556">
      <c r="A556" t="str">
        <v>集安市</v>
      </c>
      <c r="B556" t="str">
        <f>41.126276</f>
        <v>126.186204</v>
      </c>
      <c r="C556" t="str">
        <v>吉林省</v>
      </c>
      <c r="D556" t="str">
        <v>126.605754,41.639697</v>
      </c>
    </row>
    <row r="557">
      <c r="A557" t="str">
        <v>浑江区</v>
      </c>
      <c r="B557" t="str">
        <f>41.943065</f>
        <v>126.428035</v>
      </c>
      <c r="C557" t="str">
        <v>吉林省</v>
      </c>
      <c r="D557" t="str">
        <v>126.605754,41.639697</v>
      </c>
    </row>
    <row r="558">
      <c r="A558" t="str">
        <v>江源区</v>
      </c>
      <c r="B558" t="str">
        <f>42.048109</f>
        <v>126.584229</v>
      </c>
      <c r="C558" t="str">
        <v>吉林省</v>
      </c>
      <c r="D558" t="str">
        <v>126.605754,41.639697</v>
      </c>
    </row>
    <row r="559">
      <c r="A559" t="str">
        <v>抚松县</v>
      </c>
      <c r="B559" t="str">
        <f>42.332643</f>
        <v>127.273796</v>
      </c>
      <c r="C559" t="str">
        <v>吉林省</v>
      </c>
      <c r="D559" t="str">
        <v>126.605754,41.639697</v>
      </c>
    </row>
    <row r="560">
      <c r="A560" t="str">
        <v>靖宇县</v>
      </c>
      <c r="B560" t="str">
        <f>42.389689</f>
        <v>126.808386</v>
      </c>
      <c r="C560" t="str">
        <v>吉林省</v>
      </c>
      <c r="D560" t="str">
        <v>126.605754,41.639697</v>
      </c>
    </row>
    <row r="561">
      <c r="A561" t="str">
        <v>长白朝鲜族自治县</v>
      </c>
      <c r="B561" t="str">
        <f>41.419361</f>
        <v>128.203384</v>
      </c>
      <c r="C561" t="str">
        <v>吉林省</v>
      </c>
      <c r="D561" t="str">
        <v>126.605754,41.639697</v>
      </c>
    </row>
    <row r="562">
      <c r="A562" t="str">
        <v>临江市</v>
      </c>
      <c r="B562" t="str">
        <f>41.810689</f>
        <v>126.919296</v>
      </c>
      <c r="C562" t="str">
        <v>吉林省</v>
      </c>
      <c r="D562" t="str">
        <v>126.605754,41.639697</v>
      </c>
    </row>
    <row r="563">
      <c r="A563" t="str">
        <v>宁江区</v>
      </c>
      <c r="B563" t="str">
        <f>45.176498</f>
        <v>124.827851</v>
      </c>
      <c r="C563" t="str">
        <v>吉林省</v>
      </c>
      <c r="D563" t="str">
        <v>126.605754,41.639697</v>
      </c>
    </row>
    <row r="564">
      <c r="A564" t="str">
        <v>前郭尔罗斯蒙古族自治县</v>
      </c>
      <c r="B564" t="str">
        <f>45.116288</f>
        <v>124.826808</v>
      </c>
      <c r="C564" t="str">
        <v>吉林省</v>
      </c>
      <c r="D564" t="str">
        <v>126.605754,41.639697</v>
      </c>
    </row>
    <row r="565">
      <c r="A565" t="str">
        <v>长岭县</v>
      </c>
      <c r="B565" t="str">
        <f>44.276579</f>
        <v>123.985184</v>
      </c>
      <c r="C565" t="str">
        <v>吉林省</v>
      </c>
      <c r="D565" t="str">
        <v>126.605754,41.639697</v>
      </c>
    </row>
    <row r="566">
      <c r="A566" t="str">
        <v>乾安县</v>
      </c>
      <c r="B566" t="str">
        <f>45.006846</f>
        <v>124.024361</v>
      </c>
      <c r="C566" t="str">
        <v>吉林省</v>
      </c>
      <c r="D566" t="str">
        <v>126.605754,41.639697</v>
      </c>
    </row>
    <row r="567">
      <c r="A567" t="str">
        <v>扶余市</v>
      </c>
      <c r="B567" t="str">
        <f>44.986199</f>
        <v>126.042758</v>
      </c>
      <c r="C567" t="str">
        <v>吉林省</v>
      </c>
      <c r="D567" t="str">
        <v>126.605754,41.639697</v>
      </c>
    </row>
    <row r="568">
      <c r="A568" t="str">
        <v>洮北区</v>
      </c>
      <c r="B568" t="str">
        <f>45.619253</f>
        <v>122.842499</v>
      </c>
      <c r="C568" t="str">
        <v>吉林省</v>
      </c>
      <c r="D568" t="str">
        <v>126.605754,41.639697</v>
      </c>
    </row>
    <row r="569">
      <c r="A569" t="str">
        <v>镇赉县</v>
      </c>
      <c r="B569" t="str">
        <f>45.846089</f>
        <v>123.202246</v>
      </c>
      <c r="C569" t="str">
        <v>吉林省</v>
      </c>
      <c r="D569" t="str">
        <v>126.605754,41.639697</v>
      </c>
    </row>
    <row r="570">
      <c r="A570" t="str">
        <v>通榆县</v>
      </c>
      <c r="B570" t="str">
        <f>44.80915</f>
        <v>123.088543</v>
      </c>
      <c r="C570" t="str">
        <v>吉林省</v>
      </c>
      <c r="D570" t="str">
        <v>126.605754,41.639697</v>
      </c>
    </row>
    <row r="571">
      <c r="A571" t="str">
        <v>洮南市</v>
      </c>
      <c r="B571" t="str">
        <f>45.339113</f>
        <v>122.783779</v>
      </c>
      <c r="C571" t="str">
        <v>吉林省</v>
      </c>
      <c r="D571" t="str">
        <v>126.605754,41.639697</v>
      </c>
    </row>
    <row r="572">
      <c r="A572" t="str">
        <v>大安市</v>
      </c>
      <c r="B572" t="str">
        <f>45.507648</f>
        <v>124.291512</v>
      </c>
      <c r="C572" t="str">
        <v>吉林省</v>
      </c>
      <c r="D572" t="str">
        <v>126.605754,41.639697</v>
      </c>
    </row>
    <row r="573">
      <c r="A573" t="str">
        <v>延吉市</v>
      </c>
      <c r="B573" t="str">
        <f>42.906964</f>
        <v>129.51579</v>
      </c>
      <c r="C573" t="str">
        <v>吉林省</v>
      </c>
      <c r="D573" t="str">
        <v>126.605754,41.639697</v>
      </c>
    </row>
    <row r="574">
      <c r="A574" t="str">
        <v>图们市</v>
      </c>
      <c r="B574" t="str">
        <f>42.966621</f>
        <v>129.846701</v>
      </c>
      <c r="C574" t="str">
        <v>吉林省</v>
      </c>
      <c r="D574" t="str">
        <v>126.605754,41.639697</v>
      </c>
    </row>
    <row r="575">
      <c r="A575" t="str">
        <v>敦化市</v>
      </c>
      <c r="B575" t="str">
        <f>43.366921</f>
        <v>128.22986</v>
      </c>
      <c r="C575" t="str">
        <v>吉林省</v>
      </c>
      <c r="D575" t="str">
        <v>126.605754,41.639697</v>
      </c>
    </row>
    <row r="576">
      <c r="A576" t="str">
        <v>珲春市</v>
      </c>
      <c r="B576" t="str">
        <f>42.871057</f>
        <v>130.365787</v>
      </c>
      <c r="C576" t="str">
        <v>吉林省</v>
      </c>
      <c r="D576" t="str">
        <v>126.605754,41.639697</v>
      </c>
    </row>
    <row r="577">
      <c r="A577" t="str">
        <v>龙井市</v>
      </c>
      <c r="B577" t="str">
        <f>42.771029</f>
        <v>129.425747</v>
      </c>
      <c r="C577" t="str">
        <v>吉林省</v>
      </c>
      <c r="D577" t="str">
        <v>126.605754,41.639697</v>
      </c>
    </row>
    <row r="578">
      <c r="A578" t="str">
        <v>和龙市</v>
      </c>
      <c r="B578" t="str">
        <f>42.547004</f>
        <v>129.008748</v>
      </c>
      <c r="C578" t="str">
        <v>吉林省</v>
      </c>
      <c r="D578" t="str">
        <v>126.605754,41.639697</v>
      </c>
    </row>
    <row r="579">
      <c r="A579" t="str">
        <v>汪清县</v>
      </c>
      <c r="B579" t="str">
        <f>43.315426</f>
        <v>129.766161</v>
      </c>
      <c r="C579" t="str">
        <v>吉林省</v>
      </c>
      <c r="D579" t="str">
        <v>126.605754,41.639697</v>
      </c>
    </row>
    <row r="580">
      <c r="A580" t="str">
        <v>安图县</v>
      </c>
      <c r="B580" t="str">
        <f>43.110994</f>
        <v>128.901865</v>
      </c>
      <c r="C580" t="str">
        <v>吉林省</v>
      </c>
      <c r="D580" t="str">
        <v>126.605754,41.639697</v>
      </c>
    </row>
    <row r="581">
      <c r="A581" t="str">
        <v>黄浦区</v>
      </c>
      <c r="B581" t="str">
        <f>31.222771</f>
        <v>121.490317</v>
      </c>
      <c r="C581" t="str">
        <v>上海市</v>
      </c>
      <c r="D581" t="str">
        <v>121.778866,31.310203</v>
      </c>
    </row>
    <row r="582">
      <c r="A582" t="str">
        <v>徐汇区</v>
      </c>
      <c r="B582" t="str">
        <f>31.179973</f>
        <v>121.43752</v>
      </c>
      <c r="C582" t="str">
        <v>上海市</v>
      </c>
      <c r="D582" t="str">
        <v>121.778866,31.310203</v>
      </c>
    </row>
    <row r="583">
      <c r="A583" t="str">
        <v>长宁区</v>
      </c>
      <c r="B583" t="str">
        <f>31.218123</f>
        <v>121.4222</v>
      </c>
      <c r="C583" t="str">
        <v>上海市</v>
      </c>
      <c r="D583" t="str">
        <v>121.778866,31.310203</v>
      </c>
    </row>
    <row r="584">
      <c r="A584" t="str">
        <v>静安区</v>
      </c>
      <c r="B584" t="str">
        <f>31.229003</f>
        <v>121.448224</v>
      </c>
      <c r="C584" t="str">
        <v>上海市</v>
      </c>
      <c r="D584" t="str">
        <v>121.778866,31.310203</v>
      </c>
    </row>
    <row r="585">
      <c r="A585" t="str">
        <v>普陀区</v>
      </c>
      <c r="B585" t="str">
        <f>31.241701</f>
        <v>121.392499</v>
      </c>
      <c r="C585" t="str">
        <v>上海市</v>
      </c>
      <c r="D585" t="str">
        <v>121.778866,31.310203</v>
      </c>
    </row>
    <row r="586">
      <c r="A586" t="str">
        <v>虹口区</v>
      </c>
      <c r="B586" t="str">
        <f>31.26097</f>
        <v>121.491832</v>
      </c>
      <c r="C586" t="str">
        <v>上海市</v>
      </c>
      <c r="D586" t="str">
        <v>121.778866,31.310203</v>
      </c>
    </row>
    <row r="587">
      <c r="A587" t="str">
        <v>杨浦区</v>
      </c>
      <c r="B587" t="str">
        <f>31.270755</f>
        <v>121.522797</v>
      </c>
      <c r="C587" t="str">
        <v>上海市</v>
      </c>
      <c r="D587" t="str">
        <v>121.778866,31.310203</v>
      </c>
    </row>
    <row r="588">
      <c r="A588" t="str">
        <v>闵行区</v>
      </c>
      <c r="B588" t="str">
        <f>31.111658</f>
        <v>121.375972</v>
      </c>
      <c r="C588" t="str">
        <v>上海市</v>
      </c>
      <c r="D588" t="str">
        <v>121.778866,31.310203</v>
      </c>
    </row>
    <row r="589">
      <c r="A589" t="str">
        <v>宝山区</v>
      </c>
      <c r="B589" t="str">
        <f>31.398896</f>
        <v>121.489934</v>
      </c>
      <c r="C589" t="str">
        <v>上海市</v>
      </c>
      <c r="D589" t="str">
        <v>121.778866,31.310203</v>
      </c>
    </row>
    <row r="590">
      <c r="A590" t="str">
        <v>嘉定区</v>
      </c>
      <c r="B590" t="str">
        <f>31.383524</f>
        <v>121.250333</v>
      </c>
      <c r="C590" t="str">
        <v>上海市</v>
      </c>
      <c r="D590" t="str">
        <v>121.778866,31.310203</v>
      </c>
    </row>
    <row r="591">
      <c r="A591" t="str">
        <v>浦东新区</v>
      </c>
      <c r="B591" t="str">
        <f>31.245944</f>
        <v>121.567706</v>
      </c>
      <c r="C591" t="str">
        <v>上海市</v>
      </c>
      <c r="D591" t="str">
        <v>121.778866,31.310203</v>
      </c>
    </row>
    <row r="592">
      <c r="A592" t="str">
        <v>金山区</v>
      </c>
      <c r="B592" t="str">
        <f>30.724697</f>
        <v>121.330736</v>
      </c>
      <c r="C592" t="str">
        <v>上海市</v>
      </c>
      <c r="D592" t="str">
        <v>121.778866,31.310203</v>
      </c>
    </row>
    <row r="593">
      <c r="A593" t="str">
        <v>松江区</v>
      </c>
      <c r="B593" t="str">
        <f>31.03047</f>
        <v>121.223543</v>
      </c>
      <c r="C593" t="str">
        <v>上海市</v>
      </c>
      <c r="D593" t="str">
        <v>121.778866,31.310203</v>
      </c>
    </row>
    <row r="594">
      <c r="A594" t="str">
        <v>青浦区</v>
      </c>
      <c r="B594" t="str">
        <f>31.151209</f>
        <v>121.113021</v>
      </c>
      <c r="C594" t="str">
        <v>上海市</v>
      </c>
      <c r="D594" t="str">
        <v>121.778866,31.310203</v>
      </c>
    </row>
    <row r="595">
      <c r="A595" t="str">
        <v>奉贤区</v>
      </c>
      <c r="B595" t="str">
        <f>30.912345</f>
        <v>121.458472</v>
      </c>
      <c r="C595" t="str">
        <v>上海市</v>
      </c>
      <c r="D595" t="str">
        <v>121.778866,31.310203</v>
      </c>
    </row>
    <row r="596">
      <c r="A596" t="str">
        <v>崇明区</v>
      </c>
      <c r="B596" t="str">
        <f>31.626946</f>
        <v>121.397516</v>
      </c>
      <c r="C596" t="str">
        <v>上海市</v>
      </c>
      <c r="D596" t="str">
        <v>121.778866,31.310203</v>
      </c>
    </row>
    <row r="597">
      <c r="A597" t="str">
        <v>万州区</v>
      </c>
      <c r="B597" t="str">
        <f>30.807807</f>
        <v>108.380246</v>
      </c>
      <c r="C597" t="str">
        <v>重庆市</v>
      </c>
      <c r="D597" t="str">
        <v>109.098643,30.579115</v>
      </c>
    </row>
    <row r="598">
      <c r="A598" t="str">
        <v>涪陵区</v>
      </c>
      <c r="B598" t="str">
        <f>29.703652</f>
        <v>107.394905</v>
      </c>
      <c r="C598" t="str">
        <v>重庆市</v>
      </c>
      <c r="D598" t="str">
        <v>109.098643,30.579115</v>
      </c>
    </row>
    <row r="599">
      <c r="A599" t="str">
        <v>渝中区</v>
      </c>
      <c r="B599" t="str">
        <f>29.556742</f>
        <v>106.56288</v>
      </c>
      <c r="C599" t="str">
        <v>重庆市</v>
      </c>
      <c r="D599" t="str">
        <v>109.098643,30.579115</v>
      </c>
    </row>
    <row r="600">
      <c r="A600" t="str">
        <v>大渡口区</v>
      </c>
      <c r="B600" t="str">
        <f>29.481002</f>
        <v>106.48613</v>
      </c>
      <c r="C600" t="str">
        <v>重庆市</v>
      </c>
      <c r="D600" t="str">
        <v>109.098643,30.579115</v>
      </c>
    </row>
    <row r="601">
      <c r="A601" t="str">
        <v>江北区</v>
      </c>
      <c r="B601" t="str">
        <f>29.575352</f>
        <v>106.532844</v>
      </c>
      <c r="C601" t="str">
        <v>重庆市</v>
      </c>
      <c r="D601" t="str">
        <v>109.098643,30.579115</v>
      </c>
    </row>
    <row r="602">
      <c r="A602" t="str">
        <v>沙坪坝区</v>
      </c>
      <c r="B602" t="str">
        <f>29.541224</f>
        <v>106.4542</v>
      </c>
      <c r="C602" t="str">
        <v>重庆市</v>
      </c>
      <c r="D602" t="str">
        <v>109.098643,30.579115</v>
      </c>
    </row>
    <row r="603">
      <c r="A603" t="str">
        <v>九龙坡区</v>
      </c>
      <c r="B603" t="str">
        <f>29.523492</f>
        <v>106.480989</v>
      </c>
      <c r="C603" t="str">
        <v>重庆市</v>
      </c>
      <c r="D603" t="str">
        <v>109.098643,30.579115</v>
      </c>
    </row>
    <row r="604">
      <c r="A604" t="str">
        <v>南岸区</v>
      </c>
      <c r="B604" t="str">
        <f>29.523992</f>
        <v>106.560813</v>
      </c>
      <c r="C604" t="str">
        <v>重庆市</v>
      </c>
      <c r="D604" t="str">
        <v>109.098643,30.579115</v>
      </c>
    </row>
    <row r="605">
      <c r="A605" t="str">
        <v>北碚区</v>
      </c>
      <c r="B605" t="str">
        <f>29.82543</f>
        <v>106.437868</v>
      </c>
      <c r="C605" t="str">
        <v>重庆市</v>
      </c>
      <c r="D605" t="str">
        <v>109.098643,30.579115</v>
      </c>
    </row>
    <row r="606">
      <c r="A606" t="str">
        <v>綦江区</v>
      </c>
      <c r="B606" t="str">
        <f>29.028091</f>
        <v>106.651417</v>
      </c>
      <c r="C606" t="str">
        <v>重庆市</v>
      </c>
      <c r="D606" t="str">
        <v>109.098643,30.579115</v>
      </c>
    </row>
    <row r="607">
      <c r="A607" t="str">
        <v>大足区</v>
      </c>
      <c r="B607" t="str">
        <f>29.700498</f>
        <v>105.715319</v>
      </c>
      <c r="C607" t="str">
        <v>重庆市</v>
      </c>
      <c r="D607" t="str">
        <v>109.098643,30.579115</v>
      </c>
    </row>
    <row r="608">
      <c r="A608" t="str">
        <v>渝北区</v>
      </c>
      <c r="B608" t="str">
        <f>29.601451</f>
        <v>106.512851</v>
      </c>
      <c r="C608" t="str">
        <v>重庆市</v>
      </c>
      <c r="D608" t="str">
        <v>109.098643,30.579115</v>
      </c>
    </row>
    <row r="609">
      <c r="A609" t="str">
        <v>巴南区</v>
      </c>
      <c r="B609" t="str">
        <f>29.381919</f>
        <v>106.519423</v>
      </c>
      <c r="C609" t="str">
        <v>重庆市</v>
      </c>
      <c r="D609" t="str">
        <v>109.098643,30.579115</v>
      </c>
    </row>
    <row r="610">
      <c r="A610" t="str">
        <v>黔江区</v>
      </c>
      <c r="B610" t="str">
        <f>29.527548</f>
        <v>108.782577</v>
      </c>
      <c r="C610" t="str">
        <v>重庆市</v>
      </c>
      <c r="D610" t="str">
        <v>109.098643,30.579115</v>
      </c>
    </row>
    <row r="611">
      <c r="A611" t="str">
        <v>长寿区</v>
      </c>
      <c r="B611" t="str">
        <f>29.833671</f>
        <v>107.074854</v>
      </c>
      <c r="C611" t="str">
        <v>重庆市</v>
      </c>
      <c r="D611" t="str">
        <v>109.098643,30.579115</v>
      </c>
    </row>
    <row r="612">
      <c r="A612" t="str">
        <v>江津区</v>
      </c>
      <c r="B612" t="str">
        <f>29.283387</f>
        <v>106.253156</v>
      </c>
      <c r="C612" t="str">
        <v>重庆市</v>
      </c>
      <c r="D612" t="str">
        <v>109.098643,30.579115</v>
      </c>
    </row>
    <row r="613">
      <c r="A613" t="str">
        <v>合川区</v>
      </c>
      <c r="B613" t="str">
        <f>29.990993</f>
        <v>106.265554</v>
      </c>
      <c r="C613" t="str">
        <v>重庆市</v>
      </c>
      <c r="D613" t="str">
        <v>109.098643,30.579115</v>
      </c>
    </row>
    <row r="614">
      <c r="A614" t="str">
        <v>永川区</v>
      </c>
      <c r="B614" t="str">
        <f>29.348748</f>
        <v>105.894714</v>
      </c>
      <c r="C614" t="str">
        <v>重庆市</v>
      </c>
      <c r="D614" t="str">
        <v>109.098643,30.579115</v>
      </c>
    </row>
    <row r="615">
      <c r="A615" t="str">
        <v>南川区</v>
      </c>
      <c r="B615" t="str">
        <f>29.156646</f>
        <v>107.098153</v>
      </c>
      <c r="C615" t="str">
        <v>重庆市</v>
      </c>
      <c r="D615" t="str">
        <v>109.098643,30.579115</v>
      </c>
    </row>
    <row r="616">
      <c r="A616" t="str">
        <v>璧山区</v>
      </c>
      <c r="B616" t="str">
        <f>29.593581</f>
        <v>106.231126</v>
      </c>
      <c r="C616" t="str">
        <v>重庆市</v>
      </c>
      <c r="D616" t="str">
        <v>109.098643,30.579115</v>
      </c>
    </row>
    <row r="617">
      <c r="A617" t="str">
        <v>铜梁区</v>
      </c>
      <c r="B617" t="str">
        <f>29.839944</f>
        <v>106.054948</v>
      </c>
      <c r="C617" t="str">
        <v>重庆市</v>
      </c>
      <c r="D617" t="str">
        <v>109.098643,30.579115</v>
      </c>
    </row>
    <row r="618">
      <c r="A618" t="str">
        <v>潼南区</v>
      </c>
      <c r="B618" t="str">
        <f>30.189554</f>
        <v>105.841818</v>
      </c>
      <c r="C618" t="str">
        <v>重庆市</v>
      </c>
      <c r="D618" t="str">
        <v>109.098643,30.579115</v>
      </c>
    </row>
    <row r="619">
      <c r="A619" t="str">
        <v>荣昌区</v>
      </c>
      <c r="B619" t="str">
        <f>29.403627</f>
        <v>105.594061</v>
      </c>
      <c r="C619" t="str">
        <v>重庆市</v>
      </c>
      <c r="D619" t="str">
        <v>109.098643,30.579115</v>
      </c>
    </row>
    <row r="620">
      <c r="A620" t="str">
        <v>开州区</v>
      </c>
      <c r="B620" t="str">
        <f>31.167735</f>
        <v>108.413317</v>
      </c>
      <c r="C620" t="str">
        <v>重庆市</v>
      </c>
      <c r="D620" t="str">
        <v>109.098643,30.579115</v>
      </c>
    </row>
    <row r="621">
      <c r="A621" t="str">
        <v>梁平区</v>
      </c>
      <c r="B621" t="str">
        <f>30.672168</f>
        <v>107.800034</v>
      </c>
      <c r="C621" t="str">
        <v>重庆市</v>
      </c>
      <c r="D621" t="str">
        <v>109.098643,30.579115</v>
      </c>
    </row>
    <row r="622">
      <c r="A622" t="str">
        <v>武隆区</v>
      </c>
      <c r="B622" t="str">
        <f>29.32376</f>
        <v>107.75655</v>
      </c>
      <c r="C622" t="str">
        <v>重庆市</v>
      </c>
      <c r="D622" t="str">
        <v>109.098643,30.579115</v>
      </c>
    </row>
    <row r="623">
      <c r="A623" t="str">
        <v>城口县</v>
      </c>
      <c r="B623" t="str">
        <f>31.946293</f>
        <v>108.6649</v>
      </c>
      <c r="C623" t="str">
        <v>重庆市</v>
      </c>
      <c r="D623" t="str">
        <v>109.098643,30.579115</v>
      </c>
    </row>
    <row r="624">
      <c r="A624" t="str">
        <v>丰都县</v>
      </c>
      <c r="B624" t="str">
        <f>29.866424</f>
        <v>107.73248</v>
      </c>
      <c r="C624" t="str">
        <v>重庆市</v>
      </c>
      <c r="D624" t="str">
        <v>109.098643,30.579115</v>
      </c>
    </row>
    <row r="625">
      <c r="A625" t="str">
        <v>垫江县</v>
      </c>
      <c r="B625" t="str">
        <f>30.330012</f>
        <v>107.348692</v>
      </c>
      <c r="C625" t="str">
        <v>重庆市</v>
      </c>
      <c r="D625" t="str">
        <v>109.098643,30.579115</v>
      </c>
    </row>
    <row r="626">
      <c r="A626" t="str">
        <v>忠县</v>
      </c>
      <c r="B626" t="str">
        <f>30.291537</f>
        <v>108.037518</v>
      </c>
      <c r="C626" t="str">
        <v>重庆市</v>
      </c>
      <c r="D626" t="str">
        <v>109.098643,30.579115</v>
      </c>
    </row>
    <row r="627">
      <c r="A627" t="str">
        <v>云阳县</v>
      </c>
      <c r="B627" t="str">
        <f>30.930529</f>
        <v>108.697698</v>
      </c>
      <c r="C627" t="str">
        <v>重庆市</v>
      </c>
      <c r="D627" t="str">
        <v>109.098643,30.579115</v>
      </c>
    </row>
    <row r="628">
      <c r="A628" t="str">
        <v>奉节县</v>
      </c>
      <c r="B628" t="str">
        <f>31.019967</f>
        <v>109.465774</v>
      </c>
      <c r="C628" t="str">
        <v>重庆市</v>
      </c>
      <c r="D628" t="str">
        <v>109.098643,30.579115</v>
      </c>
    </row>
    <row r="629">
      <c r="A629" t="str">
        <v>巫山县</v>
      </c>
      <c r="B629" t="str">
        <f>31.074843</f>
        <v>109.878928</v>
      </c>
      <c r="C629" t="str">
        <v>重庆市</v>
      </c>
      <c r="D629" t="str">
        <v>109.098643,30.579115</v>
      </c>
    </row>
    <row r="630">
      <c r="A630" t="str">
        <v>巫溪县</v>
      </c>
      <c r="B630" t="str">
        <f>31.3966</f>
        <v>109.628912</v>
      </c>
      <c r="C630" t="str">
        <v>重庆市</v>
      </c>
      <c r="D630" t="str">
        <v>109.098643,30.579115</v>
      </c>
    </row>
    <row r="631">
      <c r="A631" t="str">
        <v>石柱土家族自治县</v>
      </c>
      <c r="B631" t="str">
        <f>29.99853</f>
        <v>108.112448</v>
      </c>
      <c r="C631" t="str">
        <v>重庆市</v>
      </c>
      <c r="D631" t="str">
        <v>109.098643,30.579115</v>
      </c>
    </row>
    <row r="632">
      <c r="A632" t="str">
        <v>秀山土家族苗族自治县</v>
      </c>
      <c r="B632" t="str">
        <f>28.444772</f>
        <v>108.996043</v>
      </c>
      <c r="C632" t="str">
        <v>重庆市</v>
      </c>
      <c r="D632" t="str">
        <v>109.098643,30.579115</v>
      </c>
    </row>
    <row r="633">
      <c r="A633" t="str">
        <v>酉阳土家族苗族自治县</v>
      </c>
      <c r="B633" t="str">
        <f>28.839828</f>
        <v>108.767201</v>
      </c>
      <c r="C633" t="str">
        <v>重庆市</v>
      </c>
      <c r="D633" t="str">
        <v>109.098643,30.579115</v>
      </c>
    </row>
    <row r="634">
      <c r="A634" t="str">
        <v>彭水苗族土家族自治县</v>
      </c>
      <c r="B634" t="str">
        <f>29.293856</f>
        <v>108.166551</v>
      </c>
      <c r="C634" t="str">
        <v>重庆市</v>
      </c>
      <c r="D634" t="str">
        <v>109.098643,30.579115</v>
      </c>
    </row>
  </sheetData>
  <ignoredErrors>
    <ignoredError numberStoredAsText="1" sqref="A1:D63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